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6130" windowHeight="11760" firstSheet="4" activeTab="9"/>
  </bookViews>
  <sheets>
    <sheet name="1a.mell " sheetId="115" r:id="rId1"/>
    <sheet name="1b.mell " sheetId="136" r:id="rId2"/>
    <sheet name="1c.mell " sheetId="98" r:id="rId3"/>
    <sheet name="2.mell" sheetId="135" r:id="rId4"/>
    <sheet name="3a.m." sheetId="43" r:id="rId5"/>
    <sheet name="3c.m." sheetId="44" r:id="rId6"/>
    <sheet name="3d.m." sheetId="125" r:id="rId7"/>
    <sheet name="4.mell." sheetId="47" r:id="rId8"/>
    <sheet name="5.mell. " sheetId="48" r:id="rId9"/>
    <sheet name="6.mell. " sheetId="49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'[2]Bevétel'!$A$10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#REF!</definedName>
    <definedName name="cskimutatas_hivatal_szakmai_igenyek_Dim07">"="</definedName>
    <definedName name="cskimutatas_hivatal_szakmai_igenyek_Dim08">"="</definedName>
    <definedName name="cskimutatas_hivatal_szakmai_igenyek_Dim09">#REF!</definedName>
    <definedName name="cskimutatas_hivatal_szakmai_igenyek_Dim10">"="</definedName>
    <definedName name="cskimutatas_hivatal_szakmai_igenyek_Dim11">"="</definedName>
    <definedName name="cskimutatas_hivatal_szakmai_igenyekAnchor">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'[2]Kiadás'!$A$8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'[4]10intberuh-felúj'!$A$10</definedName>
    <definedName name="Hiv.felújtás">1</definedName>
    <definedName name="kkkkk">#REF!</definedName>
    <definedName name="kkkkkkk">#REF!</definedName>
    <definedName name="l">#REF!</definedName>
    <definedName name="nem">1</definedName>
    <definedName name="nnn">#REF!</definedName>
    <definedName name="_xlnm.Print_Area" localSheetId="0">'1a.mell '!$A$1:$J$57</definedName>
    <definedName name="_xlnm.Print_Area" localSheetId="1">'1b.mell '!$A$1:$H$253</definedName>
    <definedName name="_xlnm.Print_Area" localSheetId="2">'1c.mell '!$A$1:$H$146</definedName>
    <definedName name="_xlnm.Print_Area" localSheetId="3">'2.mell'!$A$1:$G$713</definedName>
    <definedName name="székház">#REF!</definedName>
    <definedName name="székházbérlők">#REF!</definedName>
    <definedName name="szintrehotzás">#REF!</definedName>
    <definedName name="szintrehozás2">#REF!</definedName>
    <definedName name="szintrhozás2">#REF!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'3a.m.'!$3:$7</definedName>
    <definedName name="_xlnm.Print_Titles" localSheetId="5">'3c.m.'!$4:$8</definedName>
    <definedName name="_xlnm.Print_Titles" localSheetId="6">'3d.m.'!$4:$8</definedName>
    <definedName name="_xlnm.Print_Titles" localSheetId="7">'4.mell.'!$3:$7</definedName>
    <definedName name="_xlnm.Print_Titles" localSheetId="8">'5.mell. '!$4:$8</definedName>
    <definedName name="_xlnm.Print_Titles" localSheetId="9">'6.mell. '!$7:$10</definedName>
  </definedNames>
  <calcPr calcId="152511"/>
</workbook>
</file>

<file path=xl/sharedStrings.xml><?xml version="1.0" encoding="utf-8"?>
<sst xmlns="http://schemas.openxmlformats.org/spreadsheetml/2006/main" count="2604" uniqueCount="736">
  <si>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</si>
  <si>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</si>
  <si>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</si>
  <si>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</si>
  <si>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</si>
  <si>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</si>
  <si>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</si>
  <si>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</si>
  <si>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Gépkocsi elszállítás</t>
  </si>
  <si>
    <t xml:space="preserve">                        ebből: kiemelt rendezvények</t>
  </si>
  <si>
    <t xml:space="preserve">   Beruházási kiadások</t>
  </si>
  <si>
    <t>Közfoglalkoztatottak pályázat tám.önrésze, kapcs.egyéb kiad.tám.</t>
  </si>
  <si>
    <t xml:space="preserve">Ferencvárosi Intézmény Üzemeltetési Központ 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</si>
  <si>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</si>
  <si>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</si>
  <si>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</si>
  <si>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</si>
  <si>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</si>
  <si>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 xml:space="preserve">    Építményadó                        </t>
  </si>
  <si>
    <t xml:space="preserve">    Telekadó                   </t>
  </si>
  <si>
    <t xml:space="preserve">Felhalmozási finanszírozási kiadások </t>
  </si>
  <si>
    <t xml:space="preserve">Működési finanszírozási kiadások </t>
  </si>
  <si>
    <t>FESZOFE Nonprofit Kft</t>
  </si>
  <si>
    <t>Idősügyi Koncepció</t>
  </si>
  <si>
    <t>Ifjusági és drogprevenciós feladatok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</si>
  <si>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</si>
  <si>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</si>
  <si>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</si>
  <si>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2"/>
      </rPr>
      <t>Egyéb működési célú kiadás</t>
    </r>
  </si>
  <si>
    <r>
      <t xml:space="preserve">Céltartalék - </t>
    </r>
    <r>
      <rPr>
        <i/>
        <sz val="9"/>
        <rFont val="Arial CE"/>
        <family val="2"/>
      </rPr>
      <t>Egyéb működési célú kiadás</t>
    </r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</si>
  <si>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</si>
  <si>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</si>
  <si>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</si>
  <si>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</si>
  <si>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</si>
  <si>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</si>
  <si>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r>
      <t xml:space="preserve">Általános tartalék  - </t>
    </r>
    <r>
      <rPr>
        <sz val="10"/>
        <rFont val="Arial CE"/>
        <family val="2"/>
      </rPr>
      <t>egyéb működési célú kiadás</t>
    </r>
  </si>
  <si>
    <r>
      <t xml:space="preserve">Céltartalék - </t>
    </r>
    <r>
      <rPr>
        <sz val="10"/>
        <rFont val="Arial CE"/>
        <family val="2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</si>
  <si>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</si>
  <si>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</si>
  <si>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</si>
  <si>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</si>
  <si>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</si>
  <si>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</si>
  <si>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</si>
  <si>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</si>
  <si>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</si>
  <si>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Működési költségvetési kiadások</t>
  </si>
  <si>
    <t>Felhalmozási költségvetési kiadások</t>
  </si>
  <si>
    <t>Felhalmozási költségvetés kiadások mindösszesen</t>
  </si>
  <si>
    <t>Bevételek mindösszesen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</si>
  <si>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</si>
  <si>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</si>
  <si>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</si>
  <si>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</si>
  <si>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</si>
  <si>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</si>
  <si>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</si>
  <si>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</si>
  <si>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</si>
  <si>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</si>
  <si>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</si>
  <si>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</si>
  <si>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</si>
  <si>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</si>
  <si>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</si>
  <si>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</si>
  <si>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</si>
  <si>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</si>
  <si>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</si>
  <si>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</si>
  <si>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</si>
  <si>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</si>
  <si>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</si>
  <si>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</si>
  <si>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</si>
  <si>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</si>
  <si>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</si>
  <si>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</si>
  <si>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</si>
  <si>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</si>
  <si>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</si>
  <si>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</si>
  <si>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</si>
  <si>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</si>
  <si>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</si>
  <si>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</si>
  <si>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</si>
  <si>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</si>
  <si>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</si>
  <si>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</si>
  <si>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</si>
  <si>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</si>
  <si>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</si>
  <si>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</si>
  <si>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</si>
  <si>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</si>
  <si>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</si>
  <si>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</si>
  <si>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>Nemzetiségi Önkormányzat működési kiadásai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</si>
  <si>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</si>
  <si>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</si>
  <si>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</si>
  <si>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</si>
  <si>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</si>
  <si>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</si>
  <si>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Köztemetés</t>
  </si>
  <si>
    <t>Feladat megnevezése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</si>
  <si>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</si>
  <si>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</si>
  <si>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</si>
  <si>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</si>
  <si>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</si>
  <si>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</si>
  <si>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</si>
  <si>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</si>
  <si>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</si>
  <si>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</si>
  <si>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</si>
  <si>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</si>
  <si>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</si>
  <si>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</si>
  <si>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Környezetvédelmi Bizottság</t>
  </si>
  <si>
    <t xml:space="preserve">    Ellátottak pénzbeli juttatásai</t>
  </si>
  <si>
    <t>Megnevezés</t>
  </si>
  <si>
    <t>1.</t>
  </si>
  <si>
    <t>2.</t>
  </si>
  <si>
    <t>3.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</si>
  <si>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</si>
  <si>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</si>
  <si>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</si>
  <si>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</si>
  <si>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</si>
  <si>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</si>
  <si>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</si>
  <si>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</si>
  <si>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</si>
  <si>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</si>
  <si>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</si>
  <si>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</si>
  <si>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</si>
  <si>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</si>
  <si>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</si>
  <si>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</si>
  <si>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</si>
  <si>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</si>
  <si>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</si>
  <si>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</si>
  <si>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</si>
  <si>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</si>
  <si>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</si>
  <si>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</si>
  <si>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</si>
  <si>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</si>
  <si>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</si>
  <si>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</si>
  <si>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</si>
  <si>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</si>
  <si>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</si>
  <si>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</si>
  <si>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</si>
  <si>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</si>
  <si>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</si>
  <si>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</si>
  <si>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</si>
  <si>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</si>
  <si>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</si>
  <si>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</si>
  <si>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</si>
  <si>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</si>
  <si>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</si>
  <si>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</si>
  <si>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</si>
  <si>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</si>
  <si>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</si>
  <si>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</si>
  <si>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</si>
  <si>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</si>
  <si>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</si>
  <si>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</si>
  <si>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</si>
  <si>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</si>
  <si>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</si>
  <si>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</si>
  <si>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</si>
  <si>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</si>
  <si>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</si>
  <si>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</si>
  <si>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</si>
  <si>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</si>
  <si>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</si>
  <si>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</si>
  <si>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Közterületi növényvédelem</t>
  </si>
  <si>
    <t>"Bakáts projekt" tervezések, megvalósítás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</si>
  <si>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</si>
  <si>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</si>
  <si>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</si>
  <si>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</si>
  <si>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</si>
  <si>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</si>
  <si>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</si>
  <si>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</si>
  <si>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</si>
  <si>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2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</si>
  <si>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</si>
  <si>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</si>
  <si>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</si>
  <si>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</si>
  <si>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</si>
  <si>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</si>
  <si>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</si>
  <si>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</si>
  <si>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</si>
  <si>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</si>
  <si>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</si>
  <si>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</si>
  <si>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</si>
  <si>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</si>
  <si>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</si>
  <si>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</si>
  <si>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</si>
  <si>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</si>
  <si>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</si>
  <si>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</si>
  <si>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</si>
  <si>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</si>
  <si>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</si>
  <si>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</si>
  <si>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</si>
  <si>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</si>
  <si>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</si>
  <si>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</si>
  <si>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</si>
  <si>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</si>
  <si>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</si>
  <si>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 Önkormányzati lakások értékesítése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</si>
  <si>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</si>
  <si>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</si>
  <si>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</si>
  <si>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</si>
  <si>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</si>
  <si>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</si>
  <si>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Informatikai működés és fejlesztés</t>
  </si>
  <si>
    <t xml:space="preserve">   Dologi kiadások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</si>
  <si>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</si>
  <si>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</si>
  <si>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</si>
  <si>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</si>
  <si>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</si>
  <si>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</si>
  <si>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</si>
  <si>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</si>
  <si>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</si>
  <si>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</si>
  <si>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</si>
  <si>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</si>
  <si>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</si>
  <si>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</si>
  <si>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</si>
  <si>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</si>
  <si>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</si>
  <si>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</si>
  <si>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</si>
  <si>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</si>
  <si>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</si>
  <si>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</si>
  <si>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</si>
  <si>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</si>
  <si>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</si>
  <si>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</si>
  <si>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</si>
  <si>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</si>
  <si>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</si>
  <si>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</si>
  <si>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</si>
  <si>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</si>
  <si>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</si>
  <si>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</si>
  <si>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</si>
  <si>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</si>
  <si>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</si>
  <si>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</si>
  <si>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</si>
  <si>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</si>
  <si>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</si>
  <si>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</si>
  <si>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</si>
  <si>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</si>
  <si>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</si>
  <si>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</si>
  <si>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</si>
  <si>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</si>
  <si>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</si>
  <si>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</si>
  <si>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</si>
  <si>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</si>
  <si>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Önkormányzati szakmai feladatokkal kapcsolatos kiadások</t>
  </si>
  <si>
    <t>Környezetvédelem</t>
  </si>
  <si>
    <t>Nemzetiségi önkormányzatok pályázati támogatása</t>
  </si>
  <si>
    <t>Születési és életkezdési támogatás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</si>
  <si>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</si>
  <si>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</si>
  <si>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</si>
  <si>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</si>
  <si>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Pályázatok</t>
  </si>
  <si>
    <t xml:space="preserve">       Költségvetési szervek támogatása</t>
  </si>
  <si>
    <t xml:space="preserve">       Költségvetési szervek étkezés támogatása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</si>
  <si>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</si>
  <si>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</si>
  <si>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</si>
  <si>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</si>
  <si>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</si>
  <si>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</si>
  <si>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 xml:space="preserve">          Márton 5./a</t>
  </si>
  <si>
    <t>FESZ KN Kft.</t>
  </si>
  <si>
    <t>Rendkívüli támogatás</t>
  </si>
  <si>
    <t>Ifjusági koncepció végrehajtásával összefüggő feladat</t>
  </si>
  <si>
    <t>VIII. kerület Józsefváros Önkormányzata ellátási szerződés</t>
  </si>
  <si>
    <t>Sport és szabadidős feladatok</t>
  </si>
  <si>
    <t>Térfigyelő rendszer karbantartásának, üzemeltetésének költs.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</si>
  <si>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</si>
  <si>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</si>
  <si>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</si>
  <si>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</si>
  <si>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</si>
  <si>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Egyéb felhalmozási célú támog.bevételei Áh-n belülről - Fővárosi Önkormányzattól</t>
  </si>
  <si>
    <t>Kulturális koncepció</t>
  </si>
  <si>
    <r>
      <t xml:space="preserve">    Fővárosi IPA visszafizetése </t>
    </r>
    <r>
      <rPr>
        <sz val="9"/>
        <rFont val="Arial CE"/>
        <family val="2"/>
      </rPr>
      <t>- Dologi kiadások</t>
    </r>
  </si>
  <si>
    <t>Ferencvárosi Pinceszínház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</si>
  <si>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</si>
  <si>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</si>
  <si>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</si>
  <si>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 xml:space="preserve"> Készlet értékesítés</t>
  </si>
  <si>
    <t>Készletértékesítés</t>
  </si>
  <si>
    <t>Belföldi értékpapírok bevételei</t>
  </si>
  <si>
    <t>Játszóterek karbantartása</t>
  </si>
  <si>
    <t>Képviselők és választott tisztségviselők juttatásai</t>
  </si>
  <si>
    <t>Parkolási feladatok (FEV IX. Zrt. által ellátott feladatokkal együtt)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</si>
  <si>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</si>
  <si>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</si>
  <si>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</si>
  <si>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</si>
  <si>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</si>
  <si>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</si>
  <si>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</si>
  <si>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</si>
  <si>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</si>
  <si>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</si>
  <si>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</si>
  <si>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</si>
  <si>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</si>
  <si>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</si>
  <si>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</si>
  <si>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</si>
  <si>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2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</si>
  <si>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</si>
  <si>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</si>
  <si>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</si>
  <si>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</si>
  <si>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</si>
  <si>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 xml:space="preserve">   Közigazgatási bírság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</si>
  <si>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</si>
  <si>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</si>
  <si>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</si>
  <si>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</si>
  <si>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Hitel-, kölcsöntörlesztés államháztartáson kívülre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</si>
  <si>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</si>
  <si>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</si>
  <si>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</si>
  <si>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</si>
  <si>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</si>
  <si>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</si>
  <si>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</si>
  <si>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>Küldetés Egyesület ellátási szerződés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</si>
  <si>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</si>
  <si>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</si>
  <si>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</si>
  <si>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</si>
  <si>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</si>
  <si>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</si>
  <si>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</si>
  <si>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</si>
  <si>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</si>
  <si>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</si>
  <si>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</si>
  <si>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Jelzőrendszeres házi segítségnyújtás</t>
  </si>
  <si>
    <t xml:space="preserve">       - Egyéb szolgáltatás </t>
  </si>
  <si>
    <t xml:space="preserve">       - Bérleti díjak  </t>
  </si>
  <si>
    <t xml:space="preserve">   Bakáts projekt</t>
  </si>
  <si>
    <t>Részesedések értékesítése, részesedések megszűnéséhez kapcsolódó bevételek</t>
  </si>
  <si>
    <t>Részesedések értékesítéséhez kapcsolódó realizált nyereség</t>
  </si>
  <si>
    <r>
      <t xml:space="preserve">    Fizetendő általános forgalmi adó  </t>
    </r>
    <r>
      <rPr>
        <sz val="9"/>
        <rFont val="Arial CE"/>
        <family val="2"/>
      </rPr>
      <t>- Dologi kiadások</t>
    </r>
  </si>
  <si>
    <t xml:space="preserve">    Földterület, telek, ingatlan értékesítése</t>
  </si>
  <si>
    <t>Működési és felhalmozási költségvetési kiadások mindösszesen</t>
  </si>
  <si>
    <t>Óvodák, oktatási, szociális és kulturális intézmények  összesen</t>
  </si>
  <si>
    <t xml:space="preserve">Játszóterek, műfüves és sportpályák, fitness eszközök, zöldf. felúj., </t>
  </si>
  <si>
    <t>Haller park felújítás</t>
  </si>
  <si>
    <t xml:space="preserve">   ebből: Általános tartalék</t>
  </si>
  <si>
    <t xml:space="preserve">Egyéb felhalmozási célú támog.bevételei ÁH-n belülről </t>
  </si>
  <si>
    <t>Tűzliliom park</t>
  </si>
  <si>
    <t>Polgármesteri Hivatal épületeiben beruházási kiadások</t>
  </si>
  <si>
    <t>Felújítási kiadások</t>
  </si>
  <si>
    <t>8.</t>
  </si>
  <si>
    <t>9.</t>
  </si>
  <si>
    <t>Magyar Máltai Szeretetszolgálat Egyesület-Közösségi hasznosítás</t>
  </si>
  <si>
    <t>Közterületüzemeltetési egyéb feladatok</t>
  </si>
  <si>
    <t>Ételliftek felújítása</t>
  </si>
  <si>
    <t>Általános forgalmi adó visszatérítés</t>
  </si>
  <si>
    <t xml:space="preserve">   Felújítás</t>
  </si>
  <si>
    <t xml:space="preserve">   TÉR-KÖZ 2018</t>
  </si>
  <si>
    <t>Közrend, közbiztonság</t>
  </si>
  <si>
    <t>Zöldfelületi kataszter, fakataszter elkészítése</t>
  </si>
  <si>
    <t>Kerékbilincs bevétele</t>
  </si>
  <si>
    <t>Faültetés</t>
  </si>
  <si>
    <t>Bölcsőde konyha felújítása</t>
  </si>
  <si>
    <t xml:space="preserve">Városfejlesztési, Innovációs és </t>
  </si>
  <si>
    <t>Városgazdálkodási Bizottság</t>
  </si>
  <si>
    <t xml:space="preserve">Kulturális,Oktatási, Egyházügyi és </t>
  </si>
  <si>
    <t>Nemzetiségi Bizottság</t>
  </si>
  <si>
    <t xml:space="preserve">Városfejlesztési, Innovációs </t>
  </si>
  <si>
    <t>és Környezetvédelmi Bizottság</t>
  </si>
  <si>
    <t>Gazdasági és Közbeszerzési Bizottság</t>
  </si>
  <si>
    <t xml:space="preserve">Kulturális, Oktatási, Egyházügyi és Nemzetiségi </t>
  </si>
  <si>
    <t>Bizottság</t>
  </si>
  <si>
    <t>és Civil Bizottság</t>
  </si>
  <si>
    <t>Egészségügyi Szociális, Sport, Ifjúsági</t>
  </si>
  <si>
    <t>Városfejl.,Innovációs és Környezetvédelmi Bizottság</t>
  </si>
  <si>
    <t>Egészségügyi Szociális, Sport Ifj. és Civil Bizottság</t>
  </si>
  <si>
    <t>Kulturális, Okt., Egyház. és Nemzetiségügyi Bizottság</t>
  </si>
  <si>
    <t>Kifli, túró rudi, tej beszerzés iskolák részére</t>
  </si>
  <si>
    <t>Lakás és helyiség karbantartás</t>
  </si>
  <si>
    <t>Deák Alapítvány</t>
  </si>
  <si>
    <t>Fogyatékos személyek nappali ellátása (gyermekek) Újbuda Önkrom.</t>
  </si>
  <si>
    <t>Tervezési díjak TÉR-KÖZ</t>
  </si>
  <si>
    <t xml:space="preserve">Lakóépületek elektromos hálózat felújítása </t>
  </si>
  <si>
    <t>IX. kerületi Rendőrkapitányság támogatása</t>
  </si>
  <si>
    <t>Faültetés támogatása</t>
  </si>
  <si>
    <t>Felhasználást és beszámolást koordináló</t>
  </si>
  <si>
    <t>(beszámolás)</t>
  </si>
  <si>
    <t>Városgazdálkodási Bizottság (beszámolás)</t>
  </si>
  <si>
    <t>Felhasználást és beszámolást  koordináló</t>
  </si>
  <si>
    <t>Városfejlesztési, Innovációs és Környezetvéd.</t>
  </si>
  <si>
    <t>Bizottság (beszámolás)</t>
  </si>
  <si>
    <t>VIK Bizottság (beszámolás)</t>
  </si>
  <si>
    <t xml:space="preserve">VIK Bizottság </t>
  </si>
  <si>
    <t>ESZSIC Bizottság (beszámolás)</t>
  </si>
  <si>
    <t>Egészségügyi Szociális, Sport Ifj. és Civil Bizottság (beszámolás)</t>
  </si>
  <si>
    <t>ESZSIC Bizottság</t>
  </si>
  <si>
    <t>KOEN Bizottság (beszámolás)</t>
  </si>
  <si>
    <t>KOEN Bizottság</t>
  </si>
  <si>
    <t>Gazdasági és Közbeszerzési Bizottság (beszámolás)</t>
  </si>
  <si>
    <t>Városgazdálkodási Biz.,VIK Biz.,Gazdas.és Közb.B (beszámolás)</t>
  </si>
  <si>
    <t>Városgazdálkodási Biz., ESZSIC Biz., Gazd.és Közb.Biz. (beszámolás)</t>
  </si>
  <si>
    <t>József Attila Városrészi Önk.</t>
  </si>
  <si>
    <t>VIK Bizottság, József A. Városrészi Önk.</t>
  </si>
  <si>
    <t>Városgazdálkodási Biz., József A. Városrészi Önk.</t>
  </si>
  <si>
    <t>József Attila Városrészi Önkormányzat (beszámolás)</t>
  </si>
  <si>
    <t>VIK Bizottság, József A. Városr. Önk. (beszámolás)</t>
  </si>
  <si>
    <t>VIK Bizottság, József Attila Városrészi Önk.</t>
  </si>
  <si>
    <t>Veszélyhelyzethet kapcsolódó kiadások</t>
  </si>
  <si>
    <t>ebből: Működési célú céltartalék</t>
  </si>
  <si>
    <t>ebből: Felhalmozási célú céltartalék</t>
  </si>
  <si>
    <t xml:space="preserve">   Felújítási kiadások</t>
  </si>
  <si>
    <t>Járdák felújítása</t>
  </si>
  <si>
    <t>MÁV lakótelep víz, közmű</t>
  </si>
  <si>
    <t xml:space="preserve">Közvilágítás kiépítése MÁV </t>
  </si>
  <si>
    <t>"Krízis Alap"-ból kifizetés</t>
  </si>
  <si>
    <t>"Krízis Alap" bevétel</t>
  </si>
  <si>
    <t>Egyéb felhasználási célú támogatások bevételei Áh-n belülről</t>
  </si>
  <si>
    <t>Tárgyévi finanszírozási megelőlegezések</t>
  </si>
  <si>
    <t>FESZ épületének felújítása</t>
  </si>
  <si>
    <t xml:space="preserve">   Egyéb felhalmozási célú kiadások (Államháztartáson kívülre)</t>
  </si>
  <si>
    <t xml:space="preserve">       ebből államháztartáson belüli</t>
  </si>
  <si>
    <t xml:space="preserve">                 államháztartáson kívüli</t>
  </si>
  <si>
    <r>
      <t xml:space="preserve">    Kamat kiadás, banki költségek, tranzakciós díjak </t>
    </r>
    <r>
      <rPr>
        <sz val="9"/>
        <rFont val="Arial CE"/>
        <family val="2"/>
      </rPr>
      <t>- Dologi kiadások</t>
    </r>
  </si>
  <si>
    <t>FEV IX. Zrt. (Bérlemény közszolg. + Megbízási)</t>
  </si>
  <si>
    <t>Bérlemény közszolgáltatás + Megbízási szerz.</t>
  </si>
  <si>
    <t>4.</t>
  </si>
  <si>
    <t>5.</t>
  </si>
  <si>
    <t>eFt</t>
  </si>
  <si>
    <t xml:space="preserve">Önkormányzati vagyonnal való gazdálkodás </t>
  </si>
  <si>
    <t>Áh-n nelüli megelőlegezések tárgyéven túl</t>
  </si>
  <si>
    <t>Államháztartáson belüli megelőlegezések tárgyéven belül</t>
  </si>
  <si>
    <t xml:space="preserve">Közterületi takarítógépek beszerzése </t>
  </si>
  <si>
    <t>Egészségügy, szoc.,szabadidő, sport, kultúra, oktatás, vallás</t>
  </si>
  <si>
    <t>Felhasználást beszámolást koordináló</t>
  </si>
  <si>
    <t xml:space="preserve">   Beruházás</t>
  </si>
  <si>
    <t>Egyéb műk. célú támog.bevételei Áh-n belülről - EU-s pályázat KEHOP-1.2.1-18-2018-00006</t>
  </si>
  <si>
    <t>KEHOP-1.1.1.-18-2018-00006 Klímastratégia</t>
  </si>
  <si>
    <t>Egyéb működési célú tám.bev. Áh-n belülről</t>
  </si>
  <si>
    <t>Egyéb műk. célú támog.bevételei Áh-n belülről - EU-s pály. KEHOP-1.2.1-18-2018-00006</t>
  </si>
  <si>
    <t>6.</t>
  </si>
  <si>
    <t>7.</t>
  </si>
  <si>
    <t>Önkormányzati bérlemények üzemeltetési költségei</t>
  </si>
  <si>
    <t>Utak felújítása, javítása</t>
  </si>
  <si>
    <t>Fasorfenntartás</t>
  </si>
  <si>
    <t>Erdőgazdálkodás</t>
  </si>
  <si>
    <t>Oktatási támogatás</t>
  </si>
  <si>
    <t>Gyermeknevelési támogatás</t>
  </si>
  <si>
    <t>Gyógyszertámogatás</t>
  </si>
  <si>
    <t>65+ támogatás</t>
  </si>
  <si>
    <t>Bérlemény üzemeltetéssel kapcs. Kiadások mind. + Megb.sz.</t>
  </si>
  <si>
    <t>Kulturális tevékenység, egyházi és civil szerv.támog támogatása</t>
  </si>
  <si>
    <t xml:space="preserve">   Közterületfoglalási díj</t>
  </si>
  <si>
    <t>Önkormányzati lakások komfortosítása, lakások és helyiségek felújítása</t>
  </si>
  <si>
    <t xml:space="preserve">          Parkoló Alap</t>
  </si>
  <si>
    <t>Előző évi vállalkozási maradvány</t>
  </si>
  <si>
    <t>Előző évi vállalkozási maradvány igénybevétele</t>
  </si>
  <si>
    <t>SOS Krízis Alapítvány</t>
  </si>
  <si>
    <t>Haller u. 50. függőfolyosó felújítás</t>
  </si>
  <si>
    <t>Boráros téri lámpás zebra</t>
  </si>
  <si>
    <t>Pöttyös utcai metró felszíni rendezés</t>
  </si>
  <si>
    <t>"Törd a betont"</t>
  </si>
  <si>
    <t>Ugrifüles Óvoda felújítás - étellift, villámvédelem</t>
  </si>
  <si>
    <t>Irodalmi  pályázat</t>
  </si>
  <si>
    <t>Kerékpáros infr. tervezés, kiépítés, fejlesztés, okosbicikli tárolók</t>
  </si>
  <si>
    <t>KOEN Bizottság és ESZSIC Bizottság</t>
  </si>
  <si>
    <t>Kulturális, oktatási, egyházügyi és Nemzetiségi feladatok</t>
  </si>
  <si>
    <t>Helyi esélyegyenlőségi program végrehajtásával összefüggő feladatok</t>
  </si>
  <si>
    <t xml:space="preserve">Egyéb közterületek felújítása, fejlesztése </t>
  </si>
  <si>
    <t>Lakásfenntartási támogatás és lakhatáshoz kapcs.rendkívüli t.</t>
  </si>
  <si>
    <t>Országgyűlési képviselő választás-Népszavazás</t>
  </si>
  <si>
    <t>Egyéb műk. célú támog.bevételei Áh-n belülről - VEKOP-7 3 4-17-2017-00011</t>
  </si>
  <si>
    <t>VEKOP-7 3 4-17-2017-00011</t>
  </si>
  <si>
    <t>HERO pályázat</t>
  </si>
  <si>
    <t>Egyéb műk. célú támog.bevételei Áh-n belülről - VEKOP-7 3 4-17-2017-00012</t>
  </si>
  <si>
    <t>"Egészséges Budapest Program" Integrélt Alapell. Járóbeteg szakell. Központ megv.</t>
  </si>
  <si>
    <t>"Egészséges Budapest Program" Integrélt Alapell. Járób. szakell. Közp. megv.</t>
  </si>
  <si>
    <t>"Egészséges Budapest Program" Integr. Alapell. Járób. szakell. Központ megv.</t>
  </si>
  <si>
    <t xml:space="preserve">       - Munkásszálló bérleti díj</t>
  </si>
  <si>
    <t>Jövedelemkiegészítő támogatás</t>
  </si>
  <si>
    <t>Lekötött betétek</t>
  </si>
  <si>
    <t>BEVÉTELEK MINDÖSSZ.:(Irányítószervi támogatás, lekötött betét nélkül)</t>
  </si>
  <si>
    <t>KIADÁSOK MINDÖSSZ.:(Irányítószervi tám., lekötött bet. nélkül)</t>
  </si>
  <si>
    <t>Vállalkozási maradvány</t>
  </si>
  <si>
    <t>Gyáli úti aluljáró felújítása</t>
  </si>
  <si>
    <t xml:space="preserve">Haller parkba illemhelyiség építése </t>
  </si>
  <si>
    <t>Egészségügyi, Szociális, Sport, Ifj. és Civil feladatok</t>
  </si>
  <si>
    <t>Egészségügyi Szociális, Sport , Ifj, és Civil Biz.</t>
  </si>
  <si>
    <t xml:space="preserve">               Csicsergő Óvoda tetőfelújítás</t>
  </si>
  <si>
    <t xml:space="preserve">               Kerekerdő Óvoda belső udvarok kijárati ajtajának cseréje</t>
  </si>
  <si>
    <t xml:space="preserve">               Fehérholló Bölcsőde ablakok cseréje</t>
  </si>
  <si>
    <t xml:space="preserve">               Aprók Háza Bölcsőde  főlépcső és rámpa kialakítás</t>
  </si>
  <si>
    <t>Méhecske Óvoda tetőfelújítás</t>
  </si>
  <si>
    <t xml:space="preserve">  Beruházások (bútorok, berendezési tárgyak)</t>
  </si>
  <si>
    <t xml:space="preserve">             Céltartalék 6. sz. melléklet szerint</t>
  </si>
  <si>
    <t>SNI-s és BTM-es gyermekek ellátása</t>
  </si>
  <si>
    <t>Ferencvárosi naptár készítése (Ferencvárosi Média Nonprofit KFT-nél 2022-ben)</t>
  </si>
  <si>
    <t>Részvételi költségvetés</t>
  </si>
  <si>
    <t>Tűzoltóság támogtása</t>
  </si>
  <si>
    <t>Konkáv Közösségi tér - Köztes átmenetek Nonprofit Kft.</t>
  </si>
  <si>
    <t>Epreserdő utcában parkolóhelyek kialakítása</t>
  </si>
  <si>
    <t>Valéria tér felújítása</t>
  </si>
  <si>
    <t>Börzsöny u. 19. sz. orvosi rendelő felújítása</t>
  </si>
  <si>
    <t>Ifjúmunkás u. útburkolat felújítása</t>
  </si>
  <si>
    <t>Telepy u. 34. személyfelvonó létesítése</t>
  </si>
  <si>
    <t>KOEN Bizottság beszámolás</t>
  </si>
  <si>
    <t>Ferencvárosi Klímastratégia végrehajtása</t>
  </si>
  <si>
    <t>ÉFOÉSZ ellátási szerződés</t>
  </si>
  <si>
    <t>Kitüntetések adományozásával kapcs. Költségek</t>
  </si>
  <si>
    <t>Nemzeti, önkormányzati ünnepek, rendezvények</t>
  </si>
  <si>
    <t xml:space="preserve"> Ebből bérleményüzemeltetési közszolg.szerz. Bruttó</t>
  </si>
  <si>
    <t xml:space="preserve">             Megbízási szerződési díj bruttó</t>
  </si>
  <si>
    <t>Ebből Parkolási közszolgáltatási szerződési díj</t>
  </si>
  <si>
    <t>Ebből: Polgármester, alpolgármesterek</t>
  </si>
  <si>
    <t xml:space="preserve">             Képviselő-testület tagok</t>
  </si>
  <si>
    <t xml:space="preserve">             Külsős bizottsági tagok</t>
  </si>
  <si>
    <t>Ebből: 9 magazin</t>
  </si>
  <si>
    <t xml:space="preserve">            9TV</t>
  </si>
  <si>
    <t xml:space="preserve">            Bérköltség</t>
  </si>
  <si>
    <t xml:space="preserve">           Közüzemi költségek, egyéb kiadások</t>
  </si>
  <si>
    <t xml:space="preserve">           Naptár</t>
  </si>
  <si>
    <t xml:space="preserve">             Önként vállalt feladatellátás</t>
  </si>
  <si>
    <t>Ebből: Közszolgáltató díj</t>
  </si>
  <si>
    <t xml:space="preserve">            Eseti megrendelés</t>
  </si>
  <si>
    <t>Lónyay u. 19. orvosi rendelő nyílászáró</t>
  </si>
  <si>
    <t>Ferencvárosi Humanitárius Alap</t>
  </si>
  <si>
    <t>II. Önkormányzat kiadásai</t>
  </si>
  <si>
    <t>III. Költségvetési szervek bevételei</t>
  </si>
  <si>
    <t>III. Költségvetési szervek bevételei mindösszesen:</t>
  </si>
  <si>
    <t>IV. Kerületi bevételek</t>
  </si>
  <si>
    <t xml:space="preserve">IV. Bevételek mindösszesen  (I+II+III.) Irányítószervi támogatása nélkül) </t>
  </si>
  <si>
    <t>III. Költségvetési szervek kiadásai (2.sz.mell.sz.)</t>
  </si>
  <si>
    <t>III. Költségvetési szervek kiadásai mindösszesen</t>
  </si>
  <si>
    <t>IV. Kerületi kiadások</t>
  </si>
  <si>
    <t xml:space="preserve">IV. Kiadások mindösszesen  (I+II+III.) Irányítószervi támogatás folyósítása nélkül) </t>
  </si>
  <si>
    <t>PH és Önkormányzat költségvetési kiadásai mindössz:</t>
  </si>
  <si>
    <t>Önkormányzati lakások komfortosítása</t>
  </si>
  <si>
    <t>Munkásszálló kialakítása</t>
  </si>
  <si>
    <t>Ráday restart</t>
  </si>
  <si>
    <t>Önkormányzati lakóházak tetőfelújítás</t>
  </si>
  <si>
    <t>Gát u. 24.-26. sz. ingatlan felújítás</t>
  </si>
  <si>
    <t>Köztéri nyilvános illemhelyek kialakítása</t>
  </si>
  <si>
    <t>Ecserei úti metromegálló felszíni rendezése</t>
  </si>
  <si>
    <t xml:space="preserve">          Felújításokkal kapcsolatos várható többletkiadás</t>
  </si>
  <si>
    <t>Hackathon</t>
  </si>
  <si>
    <t>Gyáli úti okososzlop telepítése</t>
  </si>
  <si>
    <t>Díszkivilágítás</t>
  </si>
  <si>
    <t>Idősgondozás átalakítása</t>
  </si>
  <si>
    <t>Csengettyű utcai rendelő</t>
  </si>
  <si>
    <t>Boráros téri lift tervezése</t>
  </si>
  <si>
    <t>Népszámlálás</t>
  </si>
  <si>
    <t xml:space="preserve">          AVICO Riverbay telekátlkítási megállapodás</t>
  </si>
  <si>
    <t>Egyéb működési célú kiadás</t>
  </si>
  <si>
    <t>Hátrányos helyzetű diákok sport támogatása</t>
  </si>
  <si>
    <t>Jégpálya</t>
  </si>
  <si>
    <t xml:space="preserve">        - Közterületfoglalási díj</t>
  </si>
  <si>
    <t xml:space="preserve">    - Egyéb felhalmozási célú kiadások</t>
  </si>
  <si>
    <t>Soroksári út 84- Koppány utca 3. Épületbontás</t>
  </si>
  <si>
    <t>Tűzifa program</t>
  </si>
  <si>
    <t>Toronyház u. 11. tetőfelújítás</t>
  </si>
  <si>
    <t>INCLUDATE</t>
  </si>
  <si>
    <t>Az önkormányzat 2023. évi bevételei</t>
  </si>
  <si>
    <t>Az önkormányzat 2023. évi kiadásai</t>
  </si>
  <si>
    <t>Költségvetési szervek 2023. évi költségvetése</t>
  </si>
  <si>
    <t>A Polgármesteri Hivatal kiadásai 2023.</t>
  </si>
  <si>
    <t xml:space="preserve">Az önkormányzat  költségvetésében szereplő 2023. évi kiadások </t>
  </si>
  <si>
    <t xml:space="preserve">Az önkormányzat  költségvetésében szereplő támogatások 2023. évi kiadásai </t>
  </si>
  <si>
    <t>2023. évi felújítások (felújítási kiadások, egyéb felhalmozási célú kiadások és egyéb felújítási munkákhoz kapcsolódó kiadások)</t>
  </si>
  <si>
    <t>2023. évi beruházási, fejlesztési kiadások</t>
  </si>
  <si>
    <t>Az önkormányzat költségvetésében szereplő 2023. évi tartalékok</t>
  </si>
  <si>
    <t xml:space="preserve">               Napfény Óvoda elektromos mérőórák szekrény cseréje, tervezéssel</t>
  </si>
  <si>
    <t xml:space="preserve">               FMK balett terem sportpadló készítése</t>
  </si>
  <si>
    <t xml:space="preserve">               FMK színházterem hűtés kiépítése</t>
  </si>
  <si>
    <t xml:space="preserve">               FMK villágítás korszerűsítés energia megtakarítás céljából</t>
  </si>
  <si>
    <t xml:space="preserve">               Dési Huber Műv.Házban szélfogó üvegfal cseréje</t>
  </si>
  <si>
    <t xml:space="preserve">               Fehérholló Bölcsőde villámvédelem</t>
  </si>
  <si>
    <t xml:space="preserve">               Csicsergő Óvoda villanyhálózat felújítása</t>
  </si>
  <si>
    <t xml:space="preserve">               Kerekerdő Óvoda elektromos hálózat felújítása</t>
  </si>
  <si>
    <t xml:space="preserve">               Kerekerdő Óvoda fűtési rendszer átalakítása energia megtakarítás miatt</t>
  </si>
  <si>
    <t xml:space="preserve">               Kerekerdő Óvoda kerti tároló felújítása</t>
  </si>
  <si>
    <t xml:space="preserve">               Főzőkonyhák felújítása (Kosztolányi)</t>
  </si>
  <si>
    <t xml:space="preserve">               Jégpálya Csarnok világításfelújítása </t>
  </si>
  <si>
    <t xml:space="preserve">               Jégpálya jégkészítő traktor garázs aljazburkolat felújítása</t>
  </si>
  <si>
    <t xml:space="preserve">               Liliom Óvoda udvari gumiburkolat felújítása </t>
  </si>
  <si>
    <t xml:space="preserve">               Aprók Háza világítás korszerűsítés</t>
  </si>
  <si>
    <t xml:space="preserve">               Aprók Háza homlokzat hőszigetelés teraszfelújítással </t>
  </si>
  <si>
    <t xml:space="preserve">               Szivárvány Gondozási Központ tetőfelújítás</t>
  </si>
  <si>
    <t xml:space="preserve">               Szivárvány Gondozási Központ járdafelújítás</t>
  </si>
  <si>
    <t xml:space="preserve">               Platán Idősek Klubja tetőfelújítás </t>
  </si>
  <si>
    <t xml:space="preserve">               Platán Idősek Klubja járdaburkolat javítás</t>
  </si>
  <si>
    <t xml:space="preserve">               Szerető Kezek Id. Gond. előtető felújítása </t>
  </si>
  <si>
    <t xml:space="preserve">               Szerető Kezek Id. Gond. gerincnyomóvezeték cseréje</t>
  </si>
  <si>
    <t xml:space="preserve">               Hajléktalanok Nappali Melegedője belső padlóburkolat cseréje</t>
  </si>
  <si>
    <t>Orvosi rendelők fűtéskorszerűsítése</t>
  </si>
  <si>
    <t>Molnár F. Magyar-Angol Két Tanítási Nyelvi Ált. Isk. Okostanterem kial.</t>
  </si>
  <si>
    <t>VEKOP-7 3 4-17-2017-00011 József Attila</t>
  </si>
  <si>
    <t xml:space="preserve">          Munkásszálló szagelszívó berendezés konyhába</t>
  </si>
  <si>
    <t xml:space="preserve">          Napelem- Kicsi Bocs Óvoda</t>
  </si>
  <si>
    <t xml:space="preserve">          Napelem- Aprók háza Óvoda</t>
  </si>
  <si>
    <t xml:space="preserve">          Napelem- Kerekerdő Óvoda</t>
  </si>
  <si>
    <t xml:space="preserve">         Fűtés korszerűsítés - Csicsergő Óvoda</t>
  </si>
  <si>
    <t xml:space="preserve">         Szoftver beszerzés</t>
  </si>
  <si>
    <t xml:space="preserve">         Szerver és gépjármű beszerzés</t>
  </si>
  <si>
    <t xml:space="preserve">         Napelem-  FEBI Fehér Holló  </t>
  </si>
  <si>
    <t xml:space="preserve">               Aprók Háza irodák felújítása világítás korszerűsítéssel 5080</t>
  </si>
  <si>
    <t xml:space="preserve">               Munkásszálló szagelszívó berendezés vezeték kiépítése konyha bútorok átalakításával</t>
  </si>
  <si>
    <t xml:space="preserve">               Kerekerdő óvoda felújított fa nyílászárók mázolása </t>
  </si>
  <si>
    <t>Elektromos rásegítésű teherszállító kerékpár</t>
  </si>
  <si>
    <t>EUCF pályázat</t>
  </si>
  <si>
    <t>Életjáradéki szolgáltatás</t>
  </si>
  <si>
    <t>Közbeszerzési beszerzésekhez kapcsolódó többletkiadások</t>
  </si>
  <si>
    <t>Felújításokkal kapcsolatos tervezések , MÁV csatorna tervezés</t>
  </si>
  <si>
    <t>Balázs Béla utca 27/B, felújítás-tervezés</t>
  </si>
  <si>
    <t>Hátrányos helyzetű diákok sport támogatása (2023-ban 3415-ö soron)</t>
  </si>
  <si>
    <t xml:space="preserve">          Beruházás (eszközbeszerzések, monitor, laptop, kamera, stb. )</t>
  </si>
  <si>
    <t>Távíró utca "Zöldaparkoló"</t>
  </si>
  <si>
    <t xml:space="preserve">    Ebből: Hibaelhárítás, karbantartás br. 331.000 eFt</t>
  </si>
  <si>
    <t xml:space="preserve">                 Garanciális javítások pótlása br. 50.000 eFt</t>
  </si>
  <si>
    <t>2023. évi  előirányzat 4/2023.</t>
  </si>
  <si>
    <t>2023. évi előirányzat 4/2023.</t>
  </si>
  <si>
    <t>Tinódi parkba illemhelyiség építése</t>
  </si>
  <si>
    <t>Termelői piac</t>
  </si>
  <si>
    <t>Ebből: Kötelező feladatellátás</t>
  </si>
  <si>
    <t xml:space="preserve"> Felhalmozási költségvetési kiadások</t>
  </si>
  <si>
    <t>Veszélyhelyzeti kiadások</t>
  </si>
  <si>
    <t>Orvosi rendelők energ. költs. Támogatása</t>
  </si>
  <si>
    <t>Napfény Óvoda felújítás - dologi kiadások</t>
  </si>
  <si>
    <t xml:space="preserve">               Kicsi Bocs Óvoda medence felújítás</t>
  </si>
  <si>
    <t xml:space="preserve">               Aprók Háza homlokzat, ablak körüli munkák felújítása</t>
  </si>
  <si>
    <t xml:space="preserve">                Főzőkonyhák felújítása</t>
  </si>
  <si>
    <t>Ferencvárosi Média Nonprofit Kft. (Ferencvárosi naptár is 2022-től)</t>
  </si>
  <si>
    <t>Önkormányzati lakóházak közös területeinek felújítása</t>
  </si>
  <si>
    <t>Márton u. 8/a sz. és Gát u. 22. sz. lakóházak tervezése</t>
  </si>
  <si>
    <t>Tartószerkezeti statikai vizsgálatok</t>
  </si>
  <si>
    <t>Tartószerkezeti statikai felújítások</t>
  </si>
  <si>
    <t>Balázs Béla utca 27/B lakóépület felújítása</t>
  </si>
  <si>
    <t>Kutyafuttatók felújítása</t>
  </si>
  <si>
    <t>Kutya WC-k kilakítása</t>
  </si>
  <si>
    <t xml:space="preserve">Napfény u. - Gyáli út sarok fásítás </t>
  </si>
  <si>
    <t>Tanoda támogatás</t>
  </si>
  <si>
    <t>CT vizsgálat</t>
  </si>
  <si>
    <t>Vágóhíd u. 31-33. sz. épület vízvzeték felújítása</t>
  </si>
  <si>
    <t xml:space="preserve">              Bakáts Bunkr tűzvédelem kiépítése</t>
  </si>
  <si>
    <t xml:space="preserve">    ebből: Pinceszínház légkondícionáló beszerzés</t>
  </si>
  <si>
    <t xml:space="preserve">               Aprók Háza konyha bútor</t>
  </si>
  <si>
    <t xml:space="preserve">    ebből: </t>
  </si>
  <si>
    <t xml:space="preserve">          Tárgyi eszközök</t>
  </si>
  <si>
    <t xml:space="preserve">           Kicsi Bocs Óvoda kémények visszabontása tetősík alá</t>
  </si>
  <si>
    <t xml:space="preserve">          Informatikai eszközök</t>
  </si>
  <si>
    <t xml:space="preserve">           Kerekerdó Óvoda veszélytelenítéskor kivágott fák helyénel helyreállítása játék telepítéssel </t>
  </si>
  <si>
    <t xml:space="preserve">          Csicsergő óvoda Thaly 17. kazánház átemelő akna létesítése szivattyúval</t>
  </si>
  <si>
    <t xml:space="preserve">           Pinceszínház hátsó kijárat felújítása</t>
  </si>
  <si>
    <t xml:space="preserve">           Egyéb beruházás: immateriális javak</t>
  </si>
  <si>
    <t xml:space="preserve">            Platán Idősek Klubja előtető cseréje</t>
  </si>
  <si>
    <t xml:space="preserve">           Gyermekek Átmeneti Otthona villámvédelem kiépítése </t>
  </si>
  <si>
    <t xml:space="preserve">            Bakáts Bunker tűzgátló ajtó beépítése </t>
  </si>
  <si>
    <t xml:space="preserve">            Bakáts Bunker elektromos hálózat bővítése</t>
  </si>
  <si>
    <t xml:space="preserve">          Mester Galéria nyílászárók cseréje műanyagra </t>
  </si>
  <si>
    <t xml:space="preserve">           József Attila Közösségi Ház új fűtési rendszer kialakítása </t>
  </si>
  <si>
    <t xml:space="preserve">              Napkollektor, kazán tervezés</t>
  </si>
  <si>
    <t xml:space="preserve">             Egyéb berendezési tárgyak</t>
  </si>
  <si>
    <t xml:space="preserve">             Balatonlelle főzőkönyha átalakítása tálaló konyhává</t>
  </si>
  <si>
    <t xml:space="preserve">Közlekedésbiztonsági fejlesztések </t>
  </si>
  <si>
    <t>Zöldkazetták fejlesztése, favédelem zöldsávban</t>
  </si>
  <si>
    <t>MÁV lkt. Parkoló kialakítás</t>
  </si>
  <si>
    <t>Budapest 150. évforduló</t>
  </si>
  <si>
    <t>2023. évi  előirányzat 15/2023.</t>
  </si>
  <si>
    <t>2023. évi előirányzat 15/2023.</t>
  </si>
  <si>
    <t>GAPS Alapítvány</t>
  </si>
  <si>
    <t>Diákok látogatása Holocaust emlékközpontban</t>
  </si>
  <si>
    <t>Polgárőr Egyesület támogatása</t>
  </si>
  <si>
    <t>Okostanterem kialakítása</t>
  </si>
  <si>
    <t>Településrendezési eszközök</t>
  </si>
  <si>
    <t>Belső-Ferencváros akadálymentesítése, forgalomcsillapítás</t>
  </si>
  <si>
    <t xml:space="preserve">    Talajterhelési díj</t>
  </si>
  <si>
    <t>2023. évi  előirányzat 22/2023.</t>
  </si>
  <si>
    <t>2023. évi előirányzat 22/2023.</t>
  </si>
  <si>
    <t>2023. I-IX. havi teljesítés</t>
  </si>
  <si>
    <t>Index       7./6.</t>
  </si>
  <si>
    <t>Index    7./6.</t>
  </si>
  <si>
    <t>Index     7./6.</t>
  </si>
  <si>
    <t xml:space="preserve">        Egyéb felhalmozási célú kiadások</t>
  </si>
  <si>
    <t>Index       6./5.</t>
  </si>
  <si>
    <t>Index     6./5.</t>
  </si>
  <si>
    <t xml:space="preserve"> Egyéb felhalmozási célú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</si>
</sst>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0.0%"/>
  </numFmts>
  <fonts count="48">
    <font>
      <sz val="10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name val="Times New Roman"/>
      <family val="1"/>
    </font>
    <font>
      <sz val="10"/>
      <color rgb="FF000000"/>
      <name val="Arial CE"/>
      <family val="2"/>
    </font>
    <font>
      <sz val="9"/>
      <color rgb="FFFF0000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medium"/>
      <bottom style="medium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5" applyNumberFormat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4" borderId="7" applyNumberFormat="0" applyFont="0" applyAlignment="0" applyProtection="0"/>
    <xf numFmtId="0" fontId="23" fillId="11" borderId="0" applyNumberFormat="0" applyBorder="0" applyAlignment="0" applyProtection="0"/>
    <xf numFmtId="0" fontId="24" fillId="1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9" applyNumberFormat="0" applyFill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30" fillId="12" borderId="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165">
    <xf numFmtId="0" fontId="0" fillId="0" borderId="0" xfId="0"/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/>
    <xf numFmtId="3" fontId="3" fillId="0" borderId="12" xfId="0" applyNumberFormat="1" applyFont="1" applyBorder="1"/>
    <xf numFmtId="3" fontId="3" fillId="0" borderId="11" xfId="0" applyNumberFormat="1" applyFont="1" applyBorder="1"/>
    <xf numFmtId="3" fontId="2" fillId="0" borderId="11" xfId="0" applyNumberFormat="1" applyFont="1" applyBorder="1"/>
    <xf numFmtId="0" fontId="0" fillId="0" borderId="0" xfId="0" applyFont="1"/>
    <xf numFmtId="3" fontId="0" fillId="0" borderId="0" xfId="0" applyNumberFormat="1" applyFont="1"/>
    <xf numFmtId="0" fontId="2" fillId="0" borderId="1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/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/>
    <xf numFmtId="0" fontId="2" fillId="0" borderId="0" xfId="0" applyFont="1" applyAlignment="1">
      <alignment/>
    </xf>
    <xf numFmtId="3" fontId="3" fillId="0" borderId="0" xfId="0" applyNumberFormat="1" applyFont="1"/>
    <xf numFmtId="3" fontId="2" fillId="0" borderId="13" xfId="0" applyNumberFormat="1" applyFont="1" applyBorder="1"/>
    <xf numFmtId="3" fontId="3" fillId="0" borderId="0" xfId="0" applyNumberFormat="1" applyFont="1" applyBorder="1"/>
    <xf numFmtId="3" fontId="2" fillId="0" borderId="1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left"/>
    </xf>
    <xf numFmtId="3" fontId="2" fillId="0" borderId="0" xfId="0" applyNumberFormat="1" applyFont="1"/>
    <xf numFmtId="3" fontId="3" fillId="0" borderId="10" xfId="0" applyNumberFormat="1" applyFont="1" applyBorder="1"/>
    <xf numFmtId="3" fontId="6" fillId="0" borderId="0" xfId="0" applyNumberFormat="1" applyFont="1" applyBorder="1"/>
    <xf numFmtId="3" fontId="5" fillId="0" borderId="0" xfId="0" applyNumberFormat="1" applyFont="1" applyBorder="1"/>
    <xf numFmtId="3" fontId="4" fillId="0" borderId="11" xfId="0" applyNumberFormat="1" applyFont="1" applyBorder="1"/>
    <xf numFmtId="3" fontId="4" fillId="0" borderId="0" xfId="0" applyNumberFormat="1" applyFont="1"/>
    <xf numFmtId="3" fontId="6" fillId="0" borderId="15" xfId="0" applyNumberFormat="1" applyFont="1" applyBorder="1"/>
    <xf numFmtId="3" fontId="5" fillId="0" borderId="0" xfId="0" applyNumberFormat="1" applyFont="1"/>
    <xf numFmtId="3" fontId="6" fillId="0" borderId="14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3" xfId="0" applyFont="1" applyBorder="1"/>
    <xf numFmtId="0" fontId="4" fillId="0" borderId="17" xfId="0" applyFont="1" applyBorder="1" applyAlignment="1">
      <alignment horizontal="centerContinuous" vertical="top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Continuous" vertical="top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/>
    </xf>
    <xf numFmtId="3" fontId="2" fillId="0" borderId="18" xfId="0" applyNumberFormat="1" applyFont="1" applyBorder="1"/>
    <xf numFmtId="0" fontId="2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Border="1"/>
    <xf numFmtId="0" fontId="2" fillId="0" borderId="0" xfId="0" applyFont="1" applyBorder="1"/>
    <xf numFmtId="3" fontId="4" fillId="0" borderId="11" xfId="0" applyNumberFormat="1" applyFont="1" applyBorder="1" applyAlignment="1">
      <alignment horizontal="center"/>
    </xf>
    <xf numFmtId="3" fontId="3" fillId="0" borderId="11" xfId="0" applyNumberFormat="1" applyFont="1" applyBorder="1"/>
    <xf numFmtId="3" fontId="2" fillId="0" borderId="12" xfId="0" applyNumberFormat="1" applyFont="1" applyBorder="1"/>
    <xf numFmtId="3" fontId="2" fillId="0" borderId="11" xfId="0" applyNumberFormat="1" applyFont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3" fontId="3" fillId="0" borderId="12" xfId="0" applyNumberFormat="1" applyFont="1" applyBorder="1"/>
    <xf numFmtId="0" fontId="4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6" fillId="0" borderId="11" xfId="0" applyNumberFormat="1" applyFont="1" applyBorder="1"/>
    <xf numFmtId="0" fontId="7" fillId="0" borderId="10" xfId="0" applyFont="1" applyBorder="1"/>
    <xf numFmtId="3" fontId="2" fillId="0" borderId="1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left"/>
    </xf>
    <xf numFmtId="0" fontId="3" fillId="0" borderId="10" xfId="0" applyFont="1" applyBorder="1"/>
    <xf numFmtId="0" fontId="4" fillId="0" borderId="16" xfId="0" applyFont="1" applyBorder="1" applyAlignment="1">
      <alignment horizontal="centerContinuous" vertical="top"/>
    </xf>
    <xf numFmtId="3" fontId="4" fillId="0" borderId="1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left"/>
    </xf>
    <xf numFmtId="3" fontId="7" fillId="0" borderId="10" xfId="0" applyNumberFormat="1" applyFont="1" applyBorder="1"/>
    <xf numFmtId="3" fontId="2" fillId="0" borderId="0" xfId="0" applyNumberFormat="1" applyFont="1" applyAlignment="1">
      <alignment horizontal="center"/>
    </xf>
    <xf numFmtId="3" fontId="6" fillId="0" borderId="10" xfId="0" applyNumberFormat="1" applyFont="1" applyBorder="1"/>
    <xf numFmtId="3" fontId="6" fillId="0" borderId="11" xfId="0" applyNumberFormat="1" applyFont="1" applyBorder="1"/>
    <xf numFmtId="3" fontId="2" fillId="0" borderId="21" xfId="0" applyNumberFormat="1" applyFont="1" applyBorder="1"/>
    <xf numFmtId="3" fontId="2" fillId="0" borderId="15" xfId="0" applyNumberFormat="1" applyFont="1" applyBorder="1"/>
    <xf numFmtId="3" fontId="4" fillId="0" borderId="14" xfId="0" applyNumberFormat="1" applyFont="1" applyBorder="1"/>
    <xf numFmtId="3" fontId="3" fillId="0" borderId="21" xfId="0" applyNumberFormat="1" applyFont="1" applyBorder="1"/>
    <xf numFmtId="3" fontId="6" fillId="0" borderId="12" xfId="0" applyNumberFormat="1" applyFont="1" applyBorder="1"/>
    <xf numFmtId="0" fontId="1" fillId="0" borderId="0" xfId="54">
      <alignment/>
      <protection/>
    </xf>
    <xf numFmtId="0" fontId="3" fillId="0" borderId="14" xfId="0" applyFont="1" applyBorder="1" applyAlignment="1">
      <alignment horizontal="center"/>
    </xf>
    <xf numFmtId="3" fontId="4" fillId="0" borderId="12" xfId="0" applyNumberFormat="1" applyFont="1" applyBorder="1" applyAlignment="1">
      <alignment horizontal="left"/>
    </xf>
    <xf numFmtId="3" fontId="4" fillId="0" borderId="11" xfId="0" applyNumberFormat="1" applyFont="1" applyBorder="1"/>
    <xf numFmtId="0" fontId="2" fillId="0" borderId="13" xfId="0" applyFont="1" applyBorder="1" applyAlignment="1">
      <alignment horizontal="center" vertical="top"/>
    </xf>
    <xf numFmtId="0" fontId="2" fillId="0" borderId="0" xfId="55" applyFont="1" applyBorder="1" applyAlignment="1">
      <alignment horizontal="center"/>
      <protection/>
    </xf>
    <xf numFmtId="0" fontId="0" fillId="0" borderId="0" xfId="55" applyAlignment="1">
      <alignment/>
      <protection/>
    </xf>
    <xf numFmtId="0" fontId="3" fillId="0" borderId="0" xfId="55" applyFont="1" applyAlignment="1">
      <alignment/>
      <protection/>
    </xf>
    <xf numFmtId="0" fontId="4" fillId="0" borderId="0" xfId="55" applyFont="1" applyBorder="1" applyAlignment="1">
      <alignment horizontal="right"/>
      <protection/>
    </xf>
    <xf numFmtId="0" fontId="2" fillId="0" borderId="0" xfId="55" applyFont="1" applyAlignment="1">
      <alignment/>
      <protection/>
    </xf>
    <xf numFmtId="3" fontId="2" fillId="0" borderId="12" xfId="55" applyNumberFormat="1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3" fontId="0" fillId="0" borderId="12" xfId="55" applyNumberFormat="1" applyFont="1" applyBorder="1" applyAlignment="1">
      <alignment/>
      <protection/>
    </xf>
    <xf numFmtId="0" fontId="4" fillId="0" borderId="12" xfId="55" applyFont="1" applyBorder="1" applyAlignment="1">
      <alignment/>
      <protection/>
    </xf>
    <xf numFmtId="0" fontId="0" fillId="0" borderId="0" xfId="55" applyFont="1" applyAlignment="1">
      <alignment/>
      <protection/>
    </xf>
    <xf numFmtId="3" fontId="3" fillId="0" borderId="12" xfId="55" applyNumberFormat="1" applyFont="1" applyBorder="1" applyAlignment="1">
      <alignment/>
      <protection/>
    </xf>
    <xf numFmtId="0" fontId="3" fillId="0" borderId="12" xfId="55" applyFont="1" applyBorder="1" applyAlignment="1">
      <alignment/>
      <protection/>
    </xf>
    <xf numFmtId="3" fontId="2" fillId="0" borderId="12" xfId="55" applyNumberFormat="1" applyFont="1" applyBorder="1" applyAlignment="1">
      <alignment/>
      <protection/>
    </xf>
    <xf numFmtId="0" fontId="2" fillId="0" borderId="12" xfId="55" applyFont="1" applyBorder="1" applyAlignment="1">
      <alignment/>
      <protection/>
    </xf>
    <xf numFmtId="3" fontId="2" fillId="0" borderId="12" xfId="55" applyNumberFormat="1" applyFont="1" applyBorder="1" applyAlignment="1">
      <alignment/>
      <protection/>
    </xf>
    <xf numFmtId="0" fontId="2" fillId="0" borderId="11" xfId="55" applyFont="1" applyBorder="1" applyAlignment="1">
      <alignment/>
      <protection/>
    </xf>
    <xf numFmtId="3" fontId="2" fillId="0" borderId="11" xfId="55" applyNumberFormat="1" applyFont="1" applyBorder="1" applyAlignment="1">
      <alignment/>
      <protection/>
    </xf>
    <xf numFmtId="0" fontId="2" fillId="0" borderId="11" xfId="55" applyFont="1" applyBorder="1" applyAlignment="1">
      <alignment/>
      <protection/>
    </xf>
    <xf numFmtId="0" fontId="3" fillId="0" borderId="11" xfId="55" applyFont="1" applyBorder="1" applyAlignment="1">
      <alignment/>
      <protection/>
    </xf>
    <xf numFmtId="0" fontId="3" fillId="0" borderId="12" xfId="55" applyFont="1" applyBorder="1" applyAlignment="1">
      <alignment/>
      <protection/>
    </xf>
    <xf numFmtId="0" fontId="2" fillId="0" borderId="15" xfId="55" applyFont="1" applyBorder="1" applyAlignment="1">
      <alignment/>
      <protection/>
    </xf>
    <xf numFmtId="3" fontId="3" fillId="0" borderId="12" xfId="55" applyNumberFormat="1" applyFont="1" applyBorder="1" applyAlignment="1">
      <alignment/>
      <protection/>
    </xf>
    <xf numFmtId="3" fontId="3" fillId="0" borderId="11" xfId="55" applyNumberFormat="1" applyFont="1" applyBorder="1" applyAlignment="1">
      <alignment/>
      <protection/>
    </xf>
    <xf numFmtId="0" fontId="3" fillId="0" borderId="11" xfId="55" applyFont="1" applyBorder="1" applyAlignment="1">
      <alignment/>
      <protection/>
    </xf>
    <xf numFmtId="0" fontId="2" fillId="0" borderId="12" xfId="55" applyFont="1" applyBorder="1" applyAlignment="1">
      <alignment/>
      <protection/>
    </xf>
    <xf numFmtId="0" fontId="3" fillId="0" borderId="10" xfId="55" applyFont="1" applyBorder="1" applyAlignment="1">
      <alignment/>
      <protection/>
    </xf>
    <xf numFmtId="3" fontId="3" fillId="0" borderId="21" xfId="55" applyNumberFormat="1" applyFont="1" applyBorder="1" applyAlignment="1">
      <alignment/>
      <protection/>
    </xf>
    <xf numFmtId="0" fontId="3" fillId="0" borderId="21" xfId="55" applyFont="1" applyBorder="1" applyAlignment="1">
      <alignment/>
      <protection/>
    </xf>
    <xf numFmtId="0" fontId="2" fillId="0" borderId="15" xfId="55" applyFont="1" applyBorder="1" applyAlignment="1">
      <alignment/>
      <protection/>
    </xf>
    <xf numFmtId="3" fontId="2" fillId="0" borderId="15" xfId="55" applyNumberFormat="1" applyFont="1" applyBorder="1" applyAlignment="1">
      <alignment/>
      <protection/>
    </xf>
    <xf numFmtId="0" fontId="2" fillId="0" borderId="13" xfId="55" applyFont="1" applyBorder="1" applyAlignment="1">
      <alignment/>
      <protection/>
    </xf>
    <xf numFmtId="0" fontId="3" fillId="0" borderId="13" xfId="55" applyFont="1" applyBorder="1" applyAlignment="1">
      <alignment/>
      <protection/>
    </xf>
    <xf numFmtId="0" fontId="4" fillId="0" borderId="15" xfId="55" applyFont="1" applyBorder="1" applyAlignment="1">
      <alignment/>
      <protection/>
    </xf>
    <xf numFmtId="3" fontId="2" fillId="0" borderId="10" xfId="55" applyNumberFormat="1" applyFont="1" applyBorder="1" applyAlignment="1">
      <alignment/>
      <protection/>
    </xf>
    <xf numFmtId="3" fontId="3" fillId="0" borderId="18" xfId="55" applyNumberFormat="1" applyFont="1" applyBorder="1" applyAlignment="1">
      <alignment/>
      <protection/>
    </xf>
    <xf numFmtId="0" fontId="3" fillId="0" borderId="18" xfId="55" applyFont="1" applyBorder="1" applyAlignment="1">
      <alignment/>
      <protection/>
    </xf>
    <xf numFmtId="3" fontId="2" fillId="0" borderId="18" xfId="55" applyNumberFormat="1" applyFont="1" applyBorder="1" applyAlignment="1">
      <alignment/>
      <protection/>
    </xf>
    <xf numFmtId="3" fontId="3" fillId="0" borderId="14" xfId="55" applyNumberFormat="1" applyFont="1" applyBorder="1" applyAlignment="1">
      <alignment/>
      <protection/>
    </xf>
    <xf numFmtId="3" fontId="2" fillId="0" borderId="14" xfId="55" applyNumberFormat="1" applyFont="1" applyBorder="1" applyAlignment="1">
      <alignment/>
      <protection/>
    </xf>
    <xf numFmtId="3" fontId="3" fillId="0" borderId="15" xfId="55" applyNumberFormat="1" applyFont="1" applyBorder="1" applyAlignment="1">
      <alignment/>
      <protection/>
    </xf>
    <xf numFmtId="3" fontId="4" fillId="0" borderId="10" xfId="55" applyNumberFormat="1" applyFont="1" applyBorder="1" applyAlignment="1">
      <alignment horizontal="right"/>
      <protection/>
    </xf>
    <xf numFmtId="0" fontId="4" fillId="0" borderId="0" xfId="55" applyFont="1" applyAlignment="1">
      <alignment/>
      <protection/>
    </xf>
    <xf numFmtId="3" fontId="4" fillId="0" borderId="12" xfId="55" applyNumberFormat="1" applyFont="1" applyBorder="1" applyAlignment="1">
      <alignment/>
      <protection/>
    </xf>
    <xf numFmtId="0" fontId="3" fillId="0" borderId="14" xfId="55" applyFont="1" applyBorder="1" applyAlignment="1">
      <alignment/>
      <protection/>
    </xf>
    <xf numFmtId="3" fontId="3" fillId="0" borderId="0" xfId="55" applyNumberFormat="1" applyFont="1" applyAlignment="1">
      <alignment/>
      <protection/>
    </xf>
    <xf numFmtId="0" fontId="2" fillId="0" borderId="10" xfId="55" applyFont="1" applyBorder="1" applyAlignment="1">
      <alignment/>
      <protection/>
    </xf>
    <xf numFmtId="0" fontId="7" fillId="0" borderId="0" xfId="54" applyFont="1">
      <alignment/>
      <protection/>
    </xf>
    <xf numFmtId="3" fontId="4" fillId="0" borderId="22" xfId="0" applyNumberFormat="1" applyFont="1" applyBorder="1"/>
    <xf numFmtId="3" fontId="3" fillId="0" borderId="21" xfId="0" applyNumberFormat="1" applyFont="1" applyBorder="1"/>
    <xf numFmtId="3" fontId="4" fillId="0" borderId="15" xfId="0" applyNumberFormat="1" applyFont="1" applyBorder="1" applyAlignment="1">
      <alignment vertical="center"/>
    </xf>
    <xf numFmtId="0" fontId="4" fillId="0" borderId="10" xfId="55" applyFont="1" applyBorder="1" applyAlignment="1">
      <alignment/>
      <protection/>
    </xf>
    <xf numFmtId="3" fontId="3" fillId="0" borderId="23" xfId="0" applyNumberFormat="1" applyFont="1" applyBorder="1"/>
    <xf numFmtId="0" fontId="4" fillId="0" borderId="15" xfId="55" applyFont="1" applyBorder="1" applyAlignment="1">
      <alignment vertical="center"/>
      <protection/>
    </xf>
    <xf numFmtId="0" fontId="9" fillId="0" borderId="15" xfId="55" applyFont="1" applyBorder="1" applyAlignment="1">
      <alignment/>
      <protection/>
    </xf>
    <xf numFmtId="3" fontId="2" fillId="0" borderId="15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3" fillId="0" borderId="12" xfId="0" applyNumberFormat="1" applyFont="1" applyFill="1" applyBorder="1"/>
    <xf numFmtId="3" fontId="2" fillId="0" borderId="18" xfId="0" applyNumberFormat="1" applyFont="1" applyBorder="1"/>
    <xf numFmtId="3" fontId="37" fillId="0" borderId="14" xfId="0" applyNumberFormat="1" applyFont="1" applyBorder="1" applyAlignment="1">
      <alignment vertical="center"/>
    </xf>
    <xf numFmtId="0" fontId="0" fillId="0" borderId="12" xfId="55" applyFont="1" applyBorder="1" applyAlignment="1">
      <alignment/>
      <protection/>
    </xf>
    <xf numFmtId="0" fontId="2" fillId="0" borderId="18" xfId="55" applyFont="1" applyBorder="1" applyAlignment="1">
      <alignment/>
      <protection/>
    </xf>
    <xf numFmtId="9" fontId="2" fillId="0" borderId="12" xfId="0" applyNumberFormat="1" applyFont="1" applyBorder="1"/>
    <xf numFmtId="0" fontId="5" fillId="0" borderId="10" xfId="0" applyFont="1" applyBorder="1"/>
    <xf numFmtId="3" fontId="5" fillId="0" borderId="21" xfId="0" applyNumberFormat="1" applyFont="1" applyBorder="1"/>
    <xf numFmtId="0" fontId="7" fillId="0" borderId="12" xfId="55" applyFont="1" applyBorder="1" applyAlignment="1">
      <alignment/>
      <protection/>
    </xf>
    <xf numFmtId="3" fontId="4" fillId="0" borderId="10" xfId="0" applyNumberFormat="1" applyFont="1" applyBorder="1"/>
    <xf numFmtId="0" fontId="4" fillId="0" borderId="18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2" fillId="0" borderId="18" xfId="55" applyFont="1" applyBorder="1" applyAlignment="1">
      <alignment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0" fontId="8" fillId="0" borderId="25" xfId="0" applyFont="1" applyBorder="1" applyAlignment="1">
      <alignment horizontal="center"/>
    </xf>
    <xf numFmtId="0" fontId="8" fillId="0" borderId="25" xfId="0" applyFont="1" applyBorder="1"/>
    <xf numFmtId="3" fontId="5" fillId="0" borderId="12" xfId="0" applyNumberFormat="1" applyFont="1" applyBorder="1"/>
    <xf numFmtId="0" fontId="7" fillId="0" borderId="11" xfId="55" applyFont="1" applyBorder="1" applyAlignment="1">
      <alignment/>
      <protection/>
    </xf>
    <xf numFmtId="0" fontId="2" fillId="0" borderId="26" xfId="0" applyFont="1" applyFill="1" applyBorder="1" applyAlignment="1">
      <alignment horizontal="left" vertical="top"/>
    </xf>
    <xf numFmtId="0" fontId="9" fillId="0" borderId="10" xfId="55" applyFont="1" applyBorder="1" applyAlignment="1">
      <alignment/>
      <protection/>
    </xf>
    <xf numFmtId="0" fontId="4" fillId="0" borderId="11" xfId="0" applyFont="1" applyBorder="1" applyAlignment="1">
      <alignment horizontal="center"/>
    </xf>
    <xf numFmtId="3" fontId="3" fillId="0" borderId="13" xfId="55" applyNumberFormat="1" applyFont="1" applyBorder="1" applyAlignment="1">
      <alignment/>
      <protection/>
    </xf>
    <xf numFmtId="0" fontId="3" fillId="0" borderId="23" xfId="0" applyFont="1" applyBorder="1" applyAlignment="1">
      <alignment horizontal="center"/>
    </xf>
    <xf numFmtId="3" fontId="8" fillId="0" borderId="12" xfId="0" applyNumberFormat="1" applyFont="1" applyBorder="1"/>
    <xf numFmtId="3" fontId="4" fillId="0" borderId="22" xfId="0" applyNumberFormat="1" applyFont="1" applyBorder="1" applyAlignment="1">
      <alignment vertical="center"/>
    </xf>
    <xf numFmtId="0" fontId="0" fillId="0" borderId="0" xfId="57">
      <alignment/>
      <protection/>
    </xf>
    <xf numFmtId="0" fontId="2" fillId="0" borderId="0" xfId="57" applyFont="1" applyBorder="1" applyAlignment="1">
      <alignment horizontal="centerContinuous"/>
      <protection/>
    </xf>
    <xf numFmtId="3" fontId="9" fillId="0" borderId="10" xfId="57" applyNumberFormat="1" applyFont="1" applyFill="1" applyBorder="1" applyAlignment="1">
      <alignment horizontal="center"/>
      <protection/>
    </xf>
    <xf numFmtId="3" fontId="9" fillId="0" borderId="10" xfId="57" applyNumberFormat="1" applyFont="1" applyFill="1" applyBorder="1" applyAlignment="1" applyProtection="1">
      <alignment horizontal="center"/>
      <protection locked="0"/>
    </xf>
    <xf numFmtId="3" fontId="9" fillId="0" borderId="25" xfId="57" applyNumberFormat="1" applyFont="1" applyFill="1" applyBorder="1" applyAlignment="1" applyProtection="1">
      <alignment horizontal="center"/>
      <protection locked="0"/>
    </xf>
    <xf numFmtId="3" fontId="12" fillId="0" borderId="10" xfId="57" applyNumberFormat="1" applyFont="1" applyFill="1" applyBorder="1" applyAlignment="1" applyProtection="1">
      <alignment horizontal="center"/>
      <protection locked="0"/>
    </xf>
    <xf numFmtId="0" fontId="9" fillId="0" borderId="25" xfId="57" applyFont="1" applyFill="1" applyBorder="1" applyProtection="1">
      <alignment/>
      <protection locked="0"/>
    </xf>
    <xf numFmtId="0" fontId="9" fillId="0" borderId="14" xfId="55" applyFont="1" applyBorder="1" applyAlignment="1">
      <alignment/>
      <protection/>
    </xf>
    <xf numFmtId="0" fontId="8" fillId="0" borderId="12" xfId="55" applyFont="1" applyBorder="1" applyAlignment="1">
      <alignment/>
      <protection/>
    </xf>
    <xf numFmtId="0" fontId="9" fillId="0" borderId="18" xfId="55" applyFont="1" applyBorder="1" applyAlignment="1">
      <alignment/>
      <protection/>
    </xf>
    <xf numFmtId="0" fontId="42" fillId="0" borderId="15" xfId="55" applyFont="1" applyBorder="1" applyAlignment="1">
      <alignment/>
      <protection/>
    </xf>
    <xf numFmtId="0" fontId="42" fillId="0" borderId="10" xfId="55" applyFont="1" applyBorder="1" applyAlignment="1">
      <alignment/>
      <protection/>
    </xf>
    <xf numFmtId="0" fontId="42" fillId="0" borderId="15" xfId="55" applyFont="1" applyBorder="1" applyAlignment="1">
      <alignment vertical="center"/>
      <protection/>
    </xf>
    <xf numFmtId="0" fontId="42" fillId="0" borderId="15" xfId="55" applyFont="1" applyBorder="1" applyAlignment="1">
      <alignment vertical="center"/>
      <protection/>
    </xf>
    <xf numFmtId="0" fontId="4" fillId="0" borderId="13" xfId="55" applyFont="1" applyBorder="1" applyAlignment="1">
      <alignment/>
      <protection/>
    </xf>
    <xf numFmtId="0" fontId="9" fillId="0" borderId="12" xfId="55" applyFont="1" applyBorder="1" applyAlignment="1">
      <alignment vertical="center"/>
      <protection/>
    </xf>
    <xf numFmtId="0" fontId="9" fillId="0" borderId="15" xfId="55" applyFont="1" applyBorder="1" applyAlignment="1">
      <alignment vertical="center"/>
      <protection/>
    </xf>
    <xf numFmtId="0" fontId="42" fillId="0" borderId="12" xfId="55" applyFont="1" applyBorder="1" applyAlignment="1">
      <alignment vertical="center"/>
      <protection/>
    </xf>
    <xf numFmtId="0" fontId="11" fillId="0" borderId="15" xfId="55" applyFont="1" applyBorder="1" applyAlignment="1">
      <alignment/>
      <protection/>
    </xf>
    <xf numFmtId="0" fontId="4" fillId="0" borderId="27" xfId="55" applyFont="1" applyBorder="1" applyAlignment="1">
      <alignment/>
      <protection/>
    </xf>
    <xf numFmtId="0" fontId="42" fillId="0" borderId="28" xfId="55" applyFont="1" applyBorder="1" applyAlignment="1">
      <alignment/>
      <protection/>
    </xf>
    <xf numFmtId="0" fontId="4" fillId="0" borderId="29" xfId="55" applyFont="1" applyBorder="1" applyAlignment="1">
      <alignment/>
      <protection/>
    </xf>
    <xf numFmtId="0" fontId="42" fillId="0" borderId="28" xfId="55" applyFont="1" applyBorder="1" applyAlignment="1">
      <alignment vertical="center"/>
      <protection/>
    </xf>
    <xf numFmtId="0" fontId="3" fillId="0" borderId="15" xfId="55" applyFont="1" applyBorder="1" applyAlignment="1">
      <alignment/>
      <protection/>
    </xf>
    <xf numFmtId="0" fontId="32" fillId="0" borderId="15" xfId="54" applyFont="1" applyBorder="1" applyAlignment="1">
      <alignment vertical="center"/>
      <protection/>
    </xf>
    <xf numFmtId="3" fontId="2" fillId="0" borderId="29" xfId="55" applyNumberFormat="1" applyFont="1" applyBorder="1" applyAlignment="1">
      <alignment/>
      <protection/>
    </xf>
    <xf numFmtId="3" fontId="2" fillId="0" borderId="28" xfId="55" applyNumberFormat="1" applyFont="1" applyBorder="1" applyAlignment="1">
      <alignment/>
      <protection/>
    </xf>
    <xf numFmtId="3" fontId="2" fillId="0" borderId="27" xfId="55" applyNumberFormat="1" applyFont="1" applyBorder="1" applyAlignment="1">
      <alignment/>
      <protection/>
    </xf>
    <xf numFmtId="0" fontId="7" fillId="0" borderId="14" xfId="55" applyFont="1" applyBorder="1" applyAlignment="1">
      <alignment/>
      <protection/>
    </xf>
    <xf numFmtId="9" fontId="2" fillId="0" borderId="12" xfId="55" applyNumberFormat="1" applyFont="1" applyBorder="1" applyAlignment="1">
      <alignment/>
      <protection/>
    </xf>
    <xf numFmtId="0" fontId="8" fillId="0" borderId="10" xfId="55" applyFont="1" applyBorder="1" applyAlignment="1">
      <alignment/>
      <protection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/>
    <xf numFmtId="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/>
    <xf numFmtId="0" fontId="3" fillId="0" borderId="0" xfId="55" applyFont="1" applyFill="1" applyAlignment="1">
      <alignment/>
      <protection/>
    </xf>
    <xf numFmtId="3" fontId="2" fillId="0" borderId="12" xfId="0" applyNumberFormat="1" applyFont="1" applyFill="1" applyBorder="1"/>
    <xf numFmtId="3" fontId="2" fillId="0" borderId="11" xfId="0" applyNumberFormat="1" applyFont="1" applyFill="1" applyBorder="1"/>
    <xf numFmtId="3" fontId="2" fillId="0" borderId="11" xfId="0" applyNumberFormat="1" applyFont="1" applyFill="1" applyBorder="1"/>
    <xf numFmtId="3" fontId="3" fillId="0" borderId="12" xfId="0" applyNumberFormat="1" applyFont="1" applyFill="1" applyBorder="1"/>
    <xf numFmtId="0" fontId="3" fillId="0" borderId="19" xfId="57" applyFont="1" applyFill="1" applyBorder="1" applyAlignment="1">
      <alignment horizontal="center"/>
      <protection/>
    </xf>
    <xf numFmtId="0" fontId="3" fillId="0" borderId="19" xfId="57" applyFont="1" applyFill="1" applyBorder="1">
      <alignment/>
      <protection/>
    </xf>
    <xf numFmtId="0" fontId="2" fillId="0" borderId="19" xfId="57" applyFont="1" applyFill="1" applyBorder="1" applyAlignment="1">
      <alignment horizontal="right"/>
      <protection/>
    </xf>
    <xf numFmtId="0" fontId="2" fillId="0" borderId="14" xfId="57" applyFont="1" applyFill="1" applyBorder="1" applyAlignment="1">
      <alignment horizontal="center"/>
      <protection/>
    </xf>
    <xf numFmtId="0" fontId="2" fillId="0" borderId="30" xfId="57" applyFont="1" applyFill="1" applyBorder="1" applyAlignment="1">
      <alignment horizontal="center"/>
      <protection/>
    </xf>
    <xf numFmtId="0" fontId="9" fillId="0" borderId="16" xfId="57" applyFont="1" applyFill="1" applyBorder="1">
      <alignment/>
      <protection/>
    </xf>
    <xf numFmtId="0" fontId="2" fillId="0" borderId="10" xfId="57" applyFont="1" applyFill="1" applyBorder="1" applyAlignment="1">
      <alignment horizontal="center"/>
      <protection/>
    </xf>
    <xf numFmtId="0" fontId="3" fillId="0" borderId="16" xfId="57" applyFont="1" applyFill="1" applyBorder="1">
      <alignment/>
      <protection/>
    </xf>
    <xf numFmtId="0" fontId="3" fillId="0" borderId="14" xfId="57" applyFont="1" applyFill="1" applyBorder="1">
      <alignment/>
      <protection/>
    </xf>
    <xf numFmtId="0" fontId="2" fillId="0" borderId="15" xfId="57" applyFont="1" applyFill="1" applyBorder="1">
      <alignment/>
      <protection/>
    </xf>
    <xf numFmtId="3" fontId="3" fillId="0" borderId="10" xfId="57" applyNumberFormat="1" applyFont="1" applyFill="1" applyBorder="1" applyAlignment="1">
      <alignment horizontal="center"/>
      <protection/>
    </xf>
    <xf numFmtId="0" fontId="5" fillId="0" borderId="16" xfId="57" applyFont="1" applyFill="1" applyBorder="1">
      <alignment/>
      <protection/>
    </xf>
    <xf numFmtId="0" fontId="3" fillId="0" borderId="16" xfId="57" applyFont="1" applyFill="1" applyBorder="1">
      <alignment/>
      <protection/>
    </xf>
    <xf numFmtId="0" fontId="3" fillId="0" borderId="10" xfId="57" applyFont="1" applyFill="1" applyBorder="1">
      <alignment/>
      <protection/>
    </xf>
    <xf numFmtId="0" fontId="3" fillId="0" borderId="14" xfId="57" applyFont="1" applyFill="1" applyBorder="1">
      <alignment/>
      <protection/>
    </xf>
    <xf numFmtId="0" fontId="2" fillId="0" borderId="15" xfId="57" applyFont="1" applyFill="1" applyBorder="1">
      <alignment/>
      <protection/>
    </xf>
    <xf numFmtId="3" fontId="2" fillId="0" borderId="10" xfId="57" applyNumberFormat="1" applyFont="1" applyFill="1" applyBorder="1" applyAlignment="1">
      <alignment horizontal="center"/>
      <protection/>
    </xf>
    <xf numFmtId="0" fontId="4" fillId="0" borderId="30" xfId="57" applyFont="1" applyFill="1" applyBorder="1" applyAlignment="1">
      <alignment vertical="center"/>
      <protection/>
    </xf>
    <xf numFmtId="0" fontId="2" fillId="0" borderId="31" xfId="57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/>
      <protection/>
    </xf>
    <xf numFmtId="0" fontId="3" fillId="0" borderId="14" xfId="55" applyFont="1" applyFill="1" applyBorder="1" applyAlignment="1">
      <alignment/>
      <protection/>
    </xf>
    <xf numFmtId="0" fontId="4" fillId="0" borderId="30" xfId="53" applyFont="1" applyFill="1" applyBorder="1" applyAlignment="1">
      <alignment vertical="center"/>
      <protection/>
    </xf>
    <xf numFmtId="3" fontId="5" fillId="0" borderId="10" xfId="57" applyNumberFormat="1" applyFont="1" applyFill="1" applyBorder="1" applyAlignment="1">
      <alignment horizontal="center"/>
      <protection/>
    </xf>
    <xf numFmtId="0" fontId="9" fillId="0" borderId="31" xfId="53" applyFont="1" applyFill="1" applyBorder="1">
      <alignment/>
      <protection/>
    </xf>
    <xf numFmtId="0" fontId="3" fillId="0" borderId="16" xfId="53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14" xfId="53" applyFont="1" applyFill="1" applyBorder="1" applyAlignment="1">
      <alignment horizontal="left"/>
      <protection/>
    </xf>
    <xf numFmtId="0" fontId="2" fillId="0" borderId="14" xfId="53" applyFont="1" applyFill="1" applyBorder="1" applyAlignment="1">
      <alignment horizontal="left"/>
      <protection/>
    </xf>
    <xf numFmtId="0" fontId="2" fillId="0" borderId="31" xfId="53" applyFont="1" applyFill="1" applyBorder="1" applyAlignment="1">
      <alignment horizontal="left"/>
      <protection/>
    </xf>
    <xf numFmtId="0" fontId="9" fillId="0" borderId="31" xfId="53" applyFont="1" applyFill="1" applyBorder="1" applyAlignment="1">
      <alignment horizontal="left"/>
      <protection/>
    </xf>
    <xf numFmtId="0" fontId="9" fillId="0" borderId="25" xfId="57" applyFont="1" applyFill="1" applyBorder="1">
      <alignment/>
      <protection/>
    </xf>
    <xf numFmtId="0" fontId="9" fillId="0" borderId="16" xfId="57" applyFont="1" applyFill="1" applyBorder="1" applyProtection="1">
      <alignment/>
      <protection locked="0"/>
    </xf>
    <xf numFmtId="3" fontId="9" fillId="0" borderId="25" xfId="57" applyNumberFormat="1" applyFont="1" applyFill="1" applyBorder="1" applyAlignment="1" applyProtection="1">
      <alignment horizontal="left"/>
      <protection locked="0"/>
    </xf>
    <xf numFmtId="0" fontId="9" fillId="0" borderId="31" xfId="53" applyFont="1" applyFill="1" applyBorder="1" applyAlignment="1">
      <alignment vertical="center"/>
      <protection/>
    </xf>
    <xf numFmtId="0" fontId="12" fillId="0" borderId="25" xfId="57" applyFont="1" applyFill="1" applyBorder="1" applyProtection="1">
      <alignment/>
      <protection locked="0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0" xfId="0" applyFont="1" applyFill="1"/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/>
    <xf numFmtId="3" fontId="2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/>
    <xf numFmtId="0" fontId="2" fillId="0" borderId="1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32" xfId="0" applyFont="1" applyFill="1" applyBorder="1"/>
    <xf numFmtId="0" fontId="3" fillId="0" borderId="10" xfId="0" applyFont="1" applyFill="1" applyBorder="1"/>
    <xf numFmtId="0" fontId="2" fillId="0" borderId="31" xfId="0" applyFont="1" applyFill="1" applyBorder="1"/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18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32" xfId="0" applyFont="1" applyFill="1" applyBorder="1"/>
    <xf numFmtId="3" fontId="6" fillId="0" borderId="11" xfId="0" applyNumberFormat="1" applyFont="1" applyFill="1" applyBorder="1"/>
    <xf numFmtId="3" fontId="6" fillId="0" borderId="12" xfId="0" applyNumberFormat="1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/>
    <xf numFmtId="3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3" fillId="0" borderId="0" xfId="0" applyFont="1" applyFill="1" applyBorder="1"/>
    <xf numFmtId="3" fontId="2" fillId="0" borderId="1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9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 vertical="top"/>
    </xf>
    <xf numFmtId="3" fontId="38" fillId="0" borderId="3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/>
    <xf numFmtId="3" fontId="38" fillId="0" borderId="35" xfId="0" applyNumberFormat="1" applyFont="1" applyFill="1" applyBorder="1" applyAlignment="1">
      <alignment horizontal="center"/>
    </xf>
    <xf numFmtId="3" fontId="7" fillId="0" borderId="12" xfId="0" applyNumberFormat="1" applyFont="1" applyFill="1" applyBorder="1"/>
    <xf numFmtId="0" fontId="7" fillId="0" borderId="32" xfId="0" applyFont="1" applyFill="1" applyBorder="1"/>
    <xf numFmtId="3" fontId="7" fillId="0" borderId="11" xfId="0" applyNumberFormat="1" applyFont="1" applyFill="1" applyBorder="1"/>
    <xf numFmtId="0" fontId="7" fillId="0" borderId="12" xfId="0" applyFont="1" applyFill="1" applyBorder="1"/>
    <xf numFmtId="3" fontId="38" fillId="0" borderId="36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8" fillId="0" borderId="31" xfId="0" applyFont="1" applyFill="1" applyBorder="1"/>
    <xf numFmtId="3" fontId="38" fillId="0" borderId="22" xfId="0" applyNumberFormat="1" applyFont="1" applyFill="1" applyBorder="1" applyAlignment="1">
      <alignment horizontal="center"/>
    </xf>
    <xf numFmtId="0" fontId="8" fillId="0" borderId="32" xfId="0" applyFont="1" applyFill="1" applyBorder="1"/>
    <xf numFmtId="0" fontId="8" fillId="0" borderId="23" xfId="0" applyFont="1" applyFill="1" applyBorder="1" applyAlignment="1">
      <alignment horizontal="left" vertical="top"/>
    </xf>
    <xf numFmtId="3" fontId="36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3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" fontId="38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8" fillId="0" borderId="11" xfId="0" applyFont="1" applyFill="1" applyBorder="1"/>
    <xf numFmtId="3" fontId="3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12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23" xfId="0" applyFont="1" applyFill="1" applyBorder="1" applyAlignment="1">
      <alignment horizontal="left"/>
    </xf>
    <xf numFmtId="3" fontId="3" fillId="0" borderId="32" xfId="0" applyNumberFormat="1" applyFont="1" applyFill="1" applyBorder="1"/>
    <xf numFmtId="0" fontId="3" fillId="0" borderId="23" xfId="0" applyFont="1" applyFill="1" applyBorder="1"/>
    <xf numFmtId="164" fontId="2" fillId="0" borderId="15" xfId="0" applyNumberFormat="1" applyFont="1" applyFill="1" applyBorder="1" applyAlignment="1">
      <alignment horizontal="center"/>
    </xf>
    <xf numFmtId="3" fontId="41" fillId="0" borderId="18" xfId="0" applyNumberFormat="1" applyFont="1" applyFill="1" applyBorder="1" applyAlignment="1">
      <alignment horizontal="center"/>
    </xf>
    <xf numFmtId="3" fontId="41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32" xfId="0" applyNumberFormat="1" applyFont="1" applyFill="1" applyBorder="1"/>
    <xf numFmtId="3" fontId="41" fillId="0" borderId="21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4" fillId="0" borderId="34" xfId="0" applyFont="1" applyFill="1" applyBorder="1"/>
    <xf numFmtId="0" fontId="4" fillId="0" borderId="35" xfId="0" applyFont="1" applyFill="1" applyBorder="1"/>
    <xf numFmtId="0" fontId="0" fillId="0" borderId="3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35" xfId="0" applyFont="1" applyFill="1" applyBorder="1"/>
    <xf numFmtId="0" fontId="0" fillId="0" borderId="12" xfId="0" applyFont="1" applyFill="1" applyBorder="1"/>
    <xf numFmtId="0" fontId="0" fillId="0" borderId="34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3" fillId="0" borderId="21" xfId="0" applyNumberFormat="1" applyFont="1" applyFill="1" applyBorder="1"/>
    <xf numFmtId="3" fontId="2" fillId="0" borderId="14" xfId="0" applyNumberFormat="1" applyFont="1" applyFill="1" applyBorder="1"/>
    <xf numFmtId="3" fontId="6" fillId="0" borderId="11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/>
    <xf numFmtId="1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 vertical="top"/>
    </xf>
    <xf numFmtId="0" fontId="2" fillId="0" borderId="3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 vertical="top"/>
    </xf>
    <xf numFmtId="0" fontId="2" fillId="0" borderId="26" xfId="0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3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/>
    <xf numFmtId="0" fontId="2" fillId="0" borderId="12" xfId="0" applyFont="1" applyFill="1" applyBorder="1" applyAlignment="1">
      <alignment/>
    </xf>
    <xf numFmtId="0" fontId="3" fillId="0" borderId="12" xfId="0" applyFont="1" applyFill="1" applyBorder="1"/>
    <xf numFmtId="0" fontId="2" fillId="0" borderId="10" xfId="0" applyFont="1" applyFill="1" applyBorder="1" applyAlignment="1">
      <alignment/>
    </xf>
    <xf numFmtId="0" fontId="2" fillId="0" borderId="12" xfId="0" applyFont="1" applyFill="1" applyBorder="1"/>
    <xf numFmtId="0" fontId="2" fillId="0" borderId="20" xfId="0" applyFont="1" applyFill="1" applyBorder="1" applyAlignment="1">
      <alignment/>
    </xf>
    <xf numFmtId="0" fontId="2" fillId="0" borderId="10" xfId="0" applyFont="1" applyFill="1" applyBorder="1"/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1" xfId="0" applyFont="1" applyFill="1" applyBorder="1"/>
    <xf numFmtId="0" fontId="2" fillId="0" borderId="16" xfId="0" applyFont="1" applyFill="1" applyBorder="1" applyAlignment="1">
      <alignment horizontal="left"/>
    </xf>
    <xf numFmtId="3" fontId="6" fillId="0" borderId="10" xfId="0" applyNumberFormat="1" applyFont="1" applyFill="1" applyBorder="1"/>
    <xf numFmtId="3" fontId="3" fillId="0" borderId="10" xfId="0" applyNumberFormat="1" applyFont="1" applyFill="1" applyBorder="1"/>
    <xf numFmtId="3" fontId="2" fillId="0" borderId="10" xfId="0" applyNumberFormat="1" applyFont="1" applyFill="1" applyBorder="1"/>
    <xf numFmtId="3" fontId="6" fillId="0" borderId="10" xfId="0" applyNumberFormat="1" applyFont="1" applyFill="1" applyBorder="1"/>
    <xf numFmtId="0" fontId="3" fillId="0" borderId="3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9" fontId="7" fillId="0" borderId="10" xfId="0" applyNumberFormat="1" applyFont="1" applyFill="1" applyBorder="1"/>
    <xf numFmtId="0" fontId="7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9" fontId="7" fillId="0" borderId="10" xfId="6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36" fillId="0" borderId="10" xfId="0" applyFont="1" applyFill="1" applyBorder="1"/>
    <xf numFmtId="0" fontId="3" fillId="0" borderId="12" xfId="0" applyFont="1" applyFill="1" applyBorder="1" applyAlignment="1">
      <alignment horizontal="center"/>
    </xf>
    <xf numFmtId="3" fontId="3" fillId="0" borderId="21" xfId="55" applyNumberFormat="1" applyFont="1" applyFill="1" applyBorder="1" applyAlignment="1">
      <alignment/>
      <protection/>
    </xf>
    <xf numFmtId="0" fontId="3" fillId="0" borderId="21" xfId="55" applyFont="1" applyFill="1" applyBorder="1" applyAlignment="1">
      <alignment/>
      <protection/>
    </xf>
    <xf numFmtId="0" fontId="3" fillId="0" borderId="12" xfId="55" applyFont="1" applyFill="1" applyBorder="1" applyAlignment="1">
      <alignment/>
      <protection/>
    </xf>
    <xf numFmtId="0" fontId="2" fillId="0" borderId="12" xfId="55" applyFont="1" applyFill="1" applyBorder="1" applyAlignment="1">
      <alignment/>
      <protection/>
    </xf>
    <xf numFmtId="3" fontId="2" fillId="0" borderId="11" xfId="55" applyNumberFormat="1" applyFont="1" applyFill="1" applyBorder="1" applyAlignment="1">
      <alignment/>
      <protection/>
    </xf>
    <xf numFmtId="3" fontId="3" fillId="0" borderId="12" xfId="55" applyNumberFormat="1" applyFont="1" applyFill="1" applyBorder="1" applyAlignment="1">
      <alignment/>
      <protection/>
    </xf>
    <xf numFmtId="3" fontId="8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/>
    <xf numFmtId="3" fontId="40" fillId="0" borderId="12" xfId="0" applyNumberFormat="1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55" applyFont="1" applyBorder="1" applyAlignment="1">
      <alignment/>
      <protection/>
    </xf>
    <xf numFmtId="0" fontId="5" fillId="0" borderId="16" xfId="53" applyFont="1" applyFill="1" applyBorder="1" applyAlignment="1">
      <alignment horizontal="left"/>
      <protection/>
    </xf>
    <xf numFmtId="0" fontId="2" fillId="0" borderId="16" xfId="57" applyFont="1" applyFill="1" applyBorder="1" applyAlignment="1">
      <alignment horizontal="center"/>
      <protection/>
    </xf>
    <xf numFmtId="0" fontId="3" fillId="0" borderId="30" xfId="53" applyFont="1" applyFill="1" applyBorder="1" applyAlignment="1">
      <alignment horizontal="left"/>
      <protection/>
    </xf>
    <xf numFmtId="9" fontId="2" fillId="0" borderId="0" xfId="0" applyNumberFormat="1" applyFont="1" applyBorder="1"/>
    <xf numFmtId="0" fontId="3" fillId="0" borderId="22" xfId="0" applyFont="1" applyBorder="1"/>
    <xf numFmtId="0" fontId="2" fillId="0" borderId="37" xfId="0" applyFont="1" applyBorder="1"/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2" fillId="0" borderId="22" xfId="0" applyFont="1" applyBorder="1"/>
    <xf numFmtId="0" fontId="2" fillId="0" borderId="20" xfId="0" applyFont="1" applyBorder="1"/>
    <xf numFmtId="0" fontId="3" fillId="0" borderId="20" xfId="0" applyFont="1" applyBorder="1" applyAlignment="1">
      <alignment horizontal="center"/>
    </xf>
    <xf numFmtId="0" fontId="2" fillId="0" borderId="38" xfId="0" applyFont="1" applyBorder="1"/>
    <xf numFmtId="0" fontId="2" fillId="0" borderId="20" xfId="0" applyFont="1" applyBorder="1"/>
    <xf numFmtId="0" fontId="2" fillId="0" borderId="38" xfId="0" applyFont="1" applyBorder="1"/>
    <xf numFmtId="0" fontId="38" fillId="0" borderId="20" xfId="0" applyFont="1" applyBorder="1"/>
    <xf numFmtId="0" fontId="6" fillId="0" borderId="20" xfId="0" applyFont="1" applyBorder="1" applyAlignment="1">
      <alignment vertical="center" wrapText="1"/>
    </xf>
    <xf numFmtId="0" fontId="2" fillId="0" borderId="34" xfId="0" applyFont="1" applyBorder="1"/>
    <xf numFmtId="0" fontId="4" fillId="0" borderId="12" xfId="55" applyFont="1" applyBorder="1" applyAlignment="1">
      <alignment/>
      <protection/>
    </xf>
    <xf numFmtId="0" fontId="12" fillId="0" borderId="14" xfId="55" applyFont="1" applyBorder="1" applyAlignment="1">
      <alignment/>
      <protection/>
    </xf>
    <xf numFmtId="0" fontId="3" fillId="0" borderId="20" xfId="0" applyFont="1" applyBorder="1"/>
    <xf numFmtId="0" fontId="2" fillId="0" borderId="0" xfId="55" applyFont="1" applyBorder="1" applyAlignment="1">
      <alignment horizontal="right"/>
      <protection/>
    </xf>
    <xf numFmtId="0" fontId="0" fillId="0" borderId="35" xfId="0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36" fillId="0" borderId="34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0" fontId="4" fillId="0" borderId="11" xfId="0" applyFont="1" applyFill="1" applyBorder="1" applyAlignment="1">
      <alignment horizontal="left"/>
    </xf>
    <xf numFmtId="0" fontId="12" fillId="0" borderId="15" xfId="55" applyFont="1" applyBorder="1" applyAlignment="1">
      <alignment vertical="center"/>
      <protection/>
    </xf>
    <xf numFmtId="0" fontId="2" fillId="0" borderId="14" xfId="55" applyFont="1" applyBorder="1" applyAlignment="1">
      <alignment/>
      <protection/>
    </xf>
    <xf numFmtId="0" fontId="3" fillId="0" borderId="10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/>
    <xf numFmtId="3" fontId="36" fillId="0" borderId="35" xfId="0" applyNumberFormat="1" applyFont="1" applyFill="1" applyBorder="1" applyAlignment="1">
      <alignment horizontal="center"/>
    </xf>
    <xf numFmtId="3" fontId="36" fillId="0" borderId="39" xfId="0" applyNumberFormat="1" applyFont="1" applyFill="1" applyBorder="1" applyAlignment="1">
      <alignment horizontal="center"/>
    </xf>
    <xf numFmtId="3" fontId="38" fillId="0" borderId="11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2" fillId="0" borderId="12" xfId="55" applyNumberFormat="1" applyFont="1" applyFill="1" applyBorder="1" applyAlignment="1">
      <alignment/>
      <protection/>
    </xf>
    <xf numFmtId="0" fontId="3" fillId="0" borderId="25" xfId="55" applyFont="1" applyBorder="1" applyAlignment="1">
      <alignment/>
      <protection/>
    </xf>
    <xf numFmtId="0" fontId="9" fillId="0" borderId="11" xfId="55" applyFont="1" applyBorder="1" applyAlignment="1">
      <alignment/>
      <protection/>
    </xf>
    <xf numFmtId="0" fontId="2" fillId="0" borderId="11" xfId="0" applyFont="1" applyFill="1" applyBorder="1" applyAlignment="1">
      <alignment/>
    </xf>
    <xf numFmtId="3" fontId="37" fillId="0" borderId="14" xfId="0" applyNumberFormat="1" applyFont="1" applyBorder="1" applyAlignment="1">
      <alignment vertical="center" wrapText="1"/>
    </xf>
    <xf numFmtId="0" fontId="3" fillId="0" borderId="30" xfId="57" applyFont="1" applyFill="1" applyBorder="1" applyAlignment="1">
      <alignment vertical="center"/>
      <protection/>
    </xf>
    <xf numFmtId="0" fontId="3" fillId="0" borderId="21" xfId="55" applyFont="1" applyBorder="1" applyAlignment="1">
      <alignment/>
      <protection/>
    </xf>
    <xf numFmtId="0" fontId="3" fillId="0" borderId="33" xfId="57" applyFont="1" applyFill="1" applyBorder="1" applyAlignment="1">
      <alignment vertical="center"/>
      <protection/>
    </xf>
    <xf numFmtId="3" fontId="3" fillId="0" borderId="10" xfId="0" applyNumberFormat="1" applyFont="1" applyFill="1" applyBorder="1" applyAlignment="1">
      <alignment horizontal="center"/>
    </xf>
    <xf numFmtId="3" fontId="3" fillId="0" borderId="10" xfId="55" applyNumberFormat="1" applyFont="1" applyBorder="1" applyAlignment="1">
      <alignment/>
      <protection/>
    </xf>
    <xf numFmtId="0" fontId="8" fillId="0" borderId="32" xfId="0" applyFont="1" applyFill="1" applyBorder="1" applyAlignment="1">
      <alignment horizontal="left" vertical="center"/>
    </xf>
    <xf numFmtId="0" fontId="7" fillId="0" borderId="16" xfId="0" applyFont="1" applyFill="1" applyBorder="1"/>
    <xf numFmtId="3" fontId="3" fillId="0" borderId="10" xfId="0" applyNumberFormat="1" applyFont="1" applyFill="1" applyBorder="1" applyAlignment="1">
      <alignment horizontal="center"/>
    </xf>
    <xf numFmtId="3" fontId="32" fillId="0" borderId="28" xfId="54" applyNumberFormat="1" applyFont="1" applyFill="1" applyBorder="1" applyAlignment="1">
      <alignment vertical="center"/>
      <protection/>
    </xf>
    <xf numFmtId="0" fontId="2" fillId="0" borderId="26" xfId="53" applyFont="1" applyFill="1" applyBorder="1" applyAlignment="1">
      <alignment horizontal="left"/>
      <protection/>
    </xf>
    <xf numFmtId="3" fontId="5" fillId="0" borderId="34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3" fontId="3" fillId="14" borderId="10" xfId="0" applyNumberFormat="1" applyFont="1" applyFill="1" applyBorder="1" applyAlignment="1">
      <alignment horizontal="right"/>
    </xf>
    <xf numFmtId="3" fontId="3" fillId="14" borderId="10" xfId="0" applyNumberFormat="1" applyFont="1" applyFill="1" applyBorder="1"/>
    <xf numFmtId="3" fontId="7" fillId="14" borderId="10" xfId="0" applyNumberFormat="1" applyFont="1" applyFill="1" applyBorder="1"/>
    <xf numFmtId="3" fontId="3" fillId="14" borderId="12" xfId="55" applyNumberFormat="1" applyFont="1" applyFill="1" applyBorder="1" applyAlignment="1">
      <alignment/>
      <protection/>
    </xf>
    <xf numFmtId="3" fontId="2" fillId="14" borderId="12" xfId="55" applyNumberFormat="1" applyFont="1" applyFill="1" applyBorder="1" applyAlignment="1">
      <alignment/>
      <protection/>
    </xf>
    <xf numFmtId="3" fontId="2" fillId="14" borderId="14" xfId="55" applyNumberFormat="1" applyFont="1" applyFill="1" applyBorder="1" applyAlignment="1">
      <alignment/>
      <protection/>
    </xf>
    <xf numFmtId="3" fontId="3" fillId="14" borderId="32" xfId="55" applyNumberFormat="1" applyFont="1" applyFill="1" applyBorder="1" applyAlignment="1">
      <alignment/>
      <protection/>
    </xf>
    <xf numFmtId="3" fontId="2" fillId="14" borderId="15" xfId="0" applyNumberFormat="1" applyFont="1" applyFill="1" applyBorder="1" applyAlignment="1">
      <alignment horizontal="right"/>
    </xf>
    <xf numFmtId="3" fontId="3" fillId="14" borderId="11" xfId="0" applyNumberFormat="1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20" xfId="0" applyFont="1" applyFill="1" applyBorder="1"/>
    <xf numFmtId="3" fontId="2" fillId="14" borderId="11" xfId="0" applyNumberFormat="1" applyFont="1" applyFill="1" applyBorder="1" applyAlignment="1">
      <alignment horizontal="right"/>
    </xf>
    <xf numFmtId="3" fontId="3" fillId="14" borderId="11" xfId="0" applyNumberFormat="1" applyFont="1" applyFill="1" applyBorder="1" applyAlignment="1">
      <alignment horizontal="right"/>
    </xf>
    <xf numFmtId="3" fontId="3" fillId="14" borderId="12" xfId="0" applyNumberFormat="1" applyFont="1" applyFill="1" applyBorder="1" applyAlignment="1">
      <alignment horizontal="right"/>
    </xf>
    <xf numFmtId="3" fontId="3" fillId="14" borderId="12" xfId="0" applyNumberFormat="1" applyFont="1" applyFill="1" applyBorder="1" applyAlignment="1">
      <alignment horizontal="right"/>
    </xf>
    <xf numFmtId="3" fontId="2" fillId="14" borderId="11" xfId="0" applyNumberFormat="1" applyFont="1" applyFill="1" applyBorder="1" applyAlignment="1">
      <alignment horizontal="right"/>
    </xf>
    <xf numFmtId="3" fontId="2" fillId="14" borderId="12" xfId="0" applyNumberFormat="1" applyFont="1" applyFill="1" applyBorder="1" applyAlignment="1">
      <alignment horizontal="right"/>
    </xf>
    <xf numFmtId="3" fontId="2" fillId="14" borderId="12" xfId="0" applyNumberFormat="1" applyFont="1" applyFill="1" applyBorder="1"/>
    <xf numFmtId="3" fontId="2" fillId="14" borderId="11" xfId="0" applyNumberFormat="1" applyFont="1" applyFill="1" applyBorder="1"/>
    <xf numFmtId="3" fontId="2" fillId="14" borderId="12" xfId="0" applyNumberFormat="1" applyFont="1" applyFill="1" applyBorder="1"/>
    <xf numFmtId="3" fontId="2" fillId="0" borderId="14" xfId="0" applyNumberFormat="1" applyFont="1" applyFill="1" applyBorder="1" applyAlignment="1">
      <alignment vertical="center"/>
    </xf>
    <xf numFmtId="9" fontId="3" fillId="0" borderId="12" xfId="55" applyNumberFormat="1" applyFont="1" applyBorder="1" applyAlignment="1">
      <alignment/>
      <protection/>
    </xf>
    <xf numFmtId="9" fontId="2" fillId="0" borderId="15" xfId="55" applyNumberFormat="1" applyFont="1" applyBorder="1" applyAlignment="1">
      <alignment/>
      <protection/>
    </xf>
    <xf numFmtId="0" fontId="7" fillId="0" borderId="23" xfId="0" applyFont="1" applyFill="1" applyBorder="1"/>
    <xf numFmtId="3" fontId="3" fillId="14" borderId="13" xfId="55" applyNumberFormat="1" applyFont="1" applyFill="1" applyBorder="1" applyAlignment="1">
      <alignment/>
      <protection/>
    </xf>
    <xf numFmtId="3" fontId="3" fillId="14" borderId="14" xfId="55" applyNumberFormat="1" applyFont="1" applyFill="1" applyBorder="1" applyAlignment="1">
      <alignment/>
      <protection/>
    </xf>
    <xf numFmtId="3" fontId="3" fillId="14" borderId="12" xfId="55" applyNumberFormat="1" applyFont="1" applyFill="1" applyBorder="1" applyAlignment="1">
      <alignment/>
      <protection/>
    </xf>
    <xf numFmtId="9" fontId="8" fillId="0" borderId="11" xfId="63" applyNumberFormat="1" applyFont="1" applyFill="1" applyBorder="1" applyAlignment="1">
      <alignment horizontal="right"/>
    </xf>
    <xf numFmtId="0" fontId="44" fillId="0" borderId="12" xfId="0" applyFont="1" applyFill="1" applyBorder="1"/>
    <xf numFmtId="3" fontId="6" fillId="0" borderId="12" xfId="0" applyNumberFormat="1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0" fillId="0" borderId="0" xfId="57" applyFont="1">
      <alignment/>
      <protection/>
    </xf>
    <xf numFmtId="49" fontId="0" fillId="0" borderId="0" xfId="57" applyNumberFormat="1" applyFont="1">
      <alignment/>
      <protection/>
    </xf>
    <xf numFmtId="49" fontId="3" fillId="0" borderId="0" xfId="55" applyNumberFormat="1" applyFont="1" applyAlignment="1">
      <alignment/>
      <protection/>
    </xf>
    <xf numFmtId="49" fontId="4" fillId="0" borderId="0" xfId="55" applyNumberFormat="1" applyFont="1" applyAlignment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3" fontId="3" fillId="14" borderId="11" xfId="0" applyNumberFormat="1" applyFont="1" applyFill="1" applyBorder="1"/>
    <xf numFmtId="3" fontId="3" fillId="14" borderId="12" xfId="0" applyNumberFormat="1" applyFont="1" applyFill="1" applyBorder="1"/>
    <xf numFmtId="3" fontId="2" fillId="14" borderId="13" xfId="0" applyNumberFormat="1" applyFont="1" applyFill="1" applyBorder="1"/>
    <xf numFmtId="3" fontId="5" fillId="14" borderId="12" xfId="0" applyNumberFormat="1" applyFont="1" applyFill="1" applyBorder="1"/>
    <xf numFmtId="3" fontId="6" fillId="14" borderId="12" xfId="0" applyNumberFormat="1" applyFont="1" applyFill="1" applyBorder="1"/>
    <xf numFmtId="3" fontId="3" fillId="14" borderId="13" xfId="0" applyNumberFormat="1" applyFont="1" applyFill="1" applyBorder="1"/>
    <xf numFmtId="3" fontId="3" fillId="14" borderId="12" xfId="0" applyNumberFormat="1" applyFont="1" applyFill="1" applyBorder="1"/>
    <xf numFmtId="3" fontId="5" fillId="14" borderId="21" xfId="0" applyNumberFormat="1" applyFont="1" applyFill="1" applyBorder="1"/>
    <xf numFmtId="3" fontId="4" fillId="14" borderId="15" xfId="0" applyNumberFormat="1" applyFont="1" applyFill="1" applyBorder="1" applyAlignment="1">
      <alignment vertical="center"/>
    </xf>
    <xf numFmtId="3" fontId="2" fillId="14" borderId="15" xfId="0" applyNumberFormat="1" applyFont="1" applyFill="1" applyBorder="1" applyAlignment="1">
      <alignment vertical="center"/>
    </xf>
    <xf numFmtId="3" fontId="3" fillId="14" borderId="21" xfId="0" applyNumberFormat="1" applyFont="1" applyFill="1" applyBorder="1"/>
    <xf numFmtId="3" fontId="4" fillId="14" borderId="14" xfId="0" applyNumberFormat="1" applyFont="1" applyFill="1" applyBorder="1" applyAlignment="1">
      <alignment vertical="center"/>
    </xf>
    <xf numFmtId="3" fontId="3" fillId="14" borderId="16" xfId="57" applyNumberFormat="1" applyFont="1" applyFill="1" applyBorder="1" applyAlignment="1">
      <alignment horizontal="right"/>
      <protection/>
    </xf>
    <xf numFmtId="3" fontId="3" fillId="14" borderId="30" xfId="57" applyNumberFormat="1" applyFont="1" applyFill="1" applyBorder="1" applyAlignment="1">
      <alignment horizontal="right"/>
      <protection/>
    </xf>
    <xf numFmtId="3" fontId="2" fillId="14" borderId="31" xfId="57" applyNumberFormat="1" applyFont="1" applyFill="1" applyBorder="1" applyAlignment="1">
      <alignment horizontal="right"/>
      <protection/>
    </xf>
    <xf numFmtId="0" fontId="2" fillId="14" borderId="16" xfId="57" applyFont="1" applyFill="1" applyBorder="1" applyAlignment="1">
      <alignment horizontal="center"/>
      <protection/>
    </xf>
    <xf numFmtId="0" fontId="3" fillId="14" borderId="30" xfId="57" applyFont="1" applyFill="1" applyBorder="1" applyAlignment="1">
      <alignment/>
      <protection/>
    </xf>
    <xf numFmtId="0" fontId="2" fillId="14" borderId="30" xfId="57" applyFont="1" applyFill="1" applyBorder="1" applyAlignment="1">
      <alignment/>
      <protection/>
    </xf>
    <xf numFmtId="3" fontId="5" fillId="14" borderId="16" xfId="57" applyNumberFormat="1" applyFont="1" applyFill="1" applyBorder="1" applyAlignment="1">
      <alignment horizontal="right"/>
      <protection/>
    </xf>
    <xf numFmtId="3" fontId="2" fillId="14" borderId="30" xfId="57" applyNumberFormat="1" applyFont="1" applyFill="1" applyBorder="1" applyAlignment="1">
      <alignment horizontal="right"/>
      <protection/>
    </xf>
    <xf numFmtId="3" fontId="3" fillId="14" borderId="30" xfId="57" applyNumberFormat="1" applyFont="1" applyFill="1" applyBorder="1" applyAlignment="1">
      <alignment horizontal="right" vertical="center"/>
      <protection/>
    </xf>
    <xf numFmtId="3" fontId="2" fillId="14" borderId="30" xfId="57" applyNumberFormat="1" applyFont="1" applyFill="1" applyBorder="1" applyAlignment="1">
      <alignment horizontal="right" vertical="center"/>
      <protection/>
    </xf>
    <xf numFmtId="3" fontId="3" fillId="14" borderId="16" xfId="57" applyNumberFormat="1" applyFont="1" applyFill="1" applyBorder="1" applyAlignment="1">
      <alignment horizontal="right" vertical="center"/>
      <protection/>
    </xf>
    <xf numFmtId="3" fontId="3" fillId="14" borderId="31" xfId="57" applyNumberFormat="1" applyFont="1" applyFill="1" applyBorder="1" applyAlignment="1">
      <alignment horizontal="right" vertical="center"/>
      <protection/>
    </xf>
    <xf numFmtId="3" fontId="2" fillId="14" borderId="30" xfId="57" applyNumberFormat="1" applyFont="1" applyFill="1" applyBorder="1" applyAlignment="1">
      <alignment/>
      <protection/>
    </xf>
    <xf numFmtId="3" fontId="3" fillId="14" borderId="16" xfId="57" applyNumberFormat="1" applyFont="1" applyFill="1" applyBorder="1" applyAlignment="1" applyProtection="1">
      <alignment horizontal="right"/>
      <protection locked="0"/>
    </xf>
    <xf numFmtId="3" fontId="3" fillId="14" borderId="30" xfId="57" applyNumberFormat="1" applyFont="1" applyFill="1" applyBorder="1" applyAlignment="1">
      <alignment/>
      <protection/>
    </xf>
    <xf numFmtId="3" fontId="35" fillId="14" borderId="16" xfId="57" applyNumberFormat="1" applyFont="1" applyFill="1" applyBorder="1" applyAlignment="1">
      <alignment horizontal="right"/>
      <protection/>
    </xf>
    <xf numFmtId="3" fontId="2" fillId="14" borderId="30" xfId="57" applyNumberFormat="1" applyFont="1" applyFill="1" applyBorder="1" applyAlignment="1">
      <alignment horizontal="right"/>
      <protection/>
    </xf>
    <xf numFmtId="3" fontId="2" fillId="14" borderId="31" xfId="57" applyNumberFormat="1" applyFont="1" applyFill="1" applyBorder="1" applyAlignment="1">
      <alignment horizontal="right" vertical="center"/>
      <protection/>
    </xf>
    <xf numFmtId="0" fontId="3" fillId="14" borderId="30" xfId="57" applyFont="1" applyFill="1" applyBorder="1" applyAlignment="1">
      <alignment horizontal="right"/>
      <protection/>
    </xf>
    <xf numFmtId="0" fontId="2" fillId="14" borderId="31" xfId="57" applyFont="1" applyFill="1" applyBorder="1" applyAlignment="1">
      <alignment horizontal="right"/>
      <protection/>
    </xf>
    <xf numFmtId="3" fontId="2" fillId="14" borderId="26" xfId="57" applyNumberFormat="1" applyFont="1" applyFill="1" applyBorder="1" applyAlignment="1">
      <alignment horizontal="right"/>
      <protection/>
    </xf>
    <xf numFmtId="3" fontId="2" fillId="14" borderId="31" xfId="57" applyNumberFormat="1" applyFont="1" applyFill="1" applyBorder="1" applyAlignment="1">
      <alignment horizontal="right"/>
      <protection/>
    </xf>
    <xf numFmtId="3" fontId="2" fillId="14" borderId="13" xfId="0" applyNumberFormat="1" applyFont="1" applyFill="1" applyBorder="1" applyAlignment="1">
      <alignment horizontal="right"/>
    </xf>
    <xf numFmtId="3" fontId="3" fillId="14" borderId="21" xfId="0" applyNumberFormat="1" applyFont="1" applyFill="1" applyBorder="1" applyAlignment="1">
      <alignment horizontal="right"/>
    </xf>
    <xf numFmtId="3" fontId="2" fillId="14" borderId="15" xfId="0" applyNumberFormat="1" applyFont="1" applyFill="1" applyBorder="1"/>
    <xf numFmtId="3" fontId="2" fillId="14" borderId="11" xfId="0" applyNumberFormat="1" applyFont="1" applyFill="1" applyBorder="1"/>
    <xf numFmtId="3" fontId="2" fillId="14" borderId="10" xfId="0" applyNumberFormat="1" applyFont="1" applyFill="1" applyBorder="1" applyAlignment="1">
      <alignment horizontal="right"/>
    </xf>
    <xf numFmtId="3" fontId="4" fillId="14" borderId="12" xfId="0" applyNumberFormat="1" applyFont="1" applyFill="1" applyBorder="1"/>
    <xf numFmtId="0" fontId="3" fillId="0" borderId="0" xfId="0" applyFont="1" applyFill="1" applyBorder="1" applyAlignment="1">
      <alignment horizontal="left" vertical="top"/>
    </xf>
    <xf numFmtId="3" fontId="3" fillId="0" borderId="20" xfId="0" applyNumberFormat="1" applyFont="1" applyFill="1" applyBorder="1" applyAlignment="1">
      <alignment horizontal="left"/>
    </xf>
    <xf numFmtId="3" fontId="34" fillId="0" borderId="35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3" fontId="5" fillId="14" borderId="10" xfId="0" applyNumberFormat="1" applyFont="1" applyFill="1" applyBorder="1"/>
    <xf numFmtId="3" fontId="4" fillId="14" borderId="11" xfId="0" applyNumberFormat="1" applyFont="1" applyFill="1" applyBorder="1"/>
    <xf numFmtId="3" fontId="6" fillId="14" borderId="14" xfId="0" applyNumberFormat="1" applyFont="1" applyFill="1" applyBorder="1"/>
    <xf numFmtId="3" fontId="6" fillId="14" borderId="10" xfId="0" applyNumberFormat="1" applyFont="1" applyFill="1" applyBorder="1"/>
    <xf numFmtId="3" fontId="3" fillId="14" borderId="14" xfId="0" applyNumberFormat="1" applyFont="1" applyFill="1" applyBorder="1"/>
    <xf numFmtId="0" fontId="3" fillId="0" borderId="30" xfId="55" applyFont="1" applyBorder="1" applyAlignment="1">
      <alignment/>
      <protection/>
    </xf>
    <xf numFmtId="3" fontId="4" fillId="0" borderId="10" xfId="0" applyNumberFormat="1" applyFont="1" applyBorder="1" applyAlignment="1">
      <alignment vertical="center"/>
    </xf>
    <xf numFmtId="3" fontId="2" fillId="14" borderId="10" xfId="0" applyNumberFormat="1" applyFont="1" applyFill="1" applyBorder="1" applyAlignment="1">
      <alignment vertical="center"/>
    </xf>
    <xf numFmtId="0" fontId="1" fillId="0" borderId="0" xfId="54" applyFill="1">
      <alignment/>
      <protection/>
    </xf>
    <xf numFmtId="3" fontId="1" fillId="0" borderId="0" xfId="54" applyNumberFormat="1" applyFill="1">
      <alignment/>
      <protection/>
    </xf>
    <xf numFmtId="0" fontId="31" fillId="0" borderId="28" xfId="54" applyFont="1" applyFill="1" applyBorder="1" applyAlignment="1">
      <alignment vertical="center"/>
      <protection/>
    </xf>
    <xf numFmtId="3" fontId="32" fillId="0" borderId="0" xfId="54" applyNumberFormat="1" applyFont="1" applyFill="1" applyBorder="1" applyAlignment="1">
      <alignment vertical="center"/>
      <protection/>
    </xf>
    <xf numFmtId="3" fontId="3" fillId="0" borderId="0" xfId="0" applyNumberFormat="1" applyFont="1" applyFill="1" applyBorder="1"/>
    <xf numFmtId="3" fontId="35" fillId="0" borderId="11" xfId="54" applyNumberFormat="1" applyFont="1" applyFill="1" applyBorder="1">
      <alignment/>
      <protection/>
    </xf>
    <xf numFmtId="3" fontId="0" fillId="0" borderId="10" xfId="0" applyNumberFormat="1" applyFont="1" applyBorder="1" applyAlignment="1">
      <alignment vertical="center"/>
    </xf>
    <xf numFmtId="3" fontId="0" fillId="14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3" fontId="5" fillId="0" borderId="10" xfId="0" applyNumberFormat="1" applyFont="1" applyBorder="1"/>
    <xf numFmtId="3" fontId="3" fillId="14" borderId="10" xfId="55" applyNumberFormat="1" applyFont="1" applyFill="1" applyBorder="1" applyAlignment="1">
      <alignment/>
      <protection/>
    </xf>
    <xf numFmtId="3" fontId="3" fillId="14" borderId="21" xfId="55" applyNumberFormat="1" applyFont="1" applyFill="1" applyBorder="1" applyAlignment="1">
      <alignment/>
      <protection/>
    </xf>
    <xf numFmtId="3" fontId="3" fillId="14" borderId="11" xfId="55" applyNumberFormat="1" applyFont="1" applyFill="1" applyBorder="1" applyAlignment="1">
      <alignment/>
      <protection/>
    </xf>
    <xf numFmtId="3" fontId="2" fillId="14" borderId="15" xfId="0" applyNumberFormat="1" applyFont="1" applyFill="1" applyBorder="1"/>
    <xf numFmtId="3" fontId="3" fillId="14" borderId="10" xfId="0" applyNumberFormat="1" applyFont="1" applyFill="1" applyBorder="1"/>
    <xf numFmtId="3" fontId="8" fillId="14" borderId="15" xfId="0" applyNumberFormat="1" applyFont="1" applyFill="1" applyBorder="1"/>
    <xf numFmtId="3" fontId="2" fillId="0" borderId="20" xfId="0" applyNumberFormat="1" applyFont="1" applyFill="1" applyBorder="1" applyAlignment="1">
      <alignment horizontal="center"/>
    </xf>
    <xf numFmtId="3" fontId="4" fillId="0" borderId="11" xfId="55" applyNumberFormat="1" applyFont="1" applyBorder="1" applyAlignment="1">
      <alignment/>
      <protection/>
    </xf>
    <xf numFmtId="9" fontId="2" fillId="0" borderId="11" xfId="55" applyNumberFormat="1" applyFont="1" applyBorder="1" applyAlignment="1">
      <alignment/>
      <protection/>
    </xf>
    <xf numFmtId="0" fontId="0" fillId="0" borderId="35" xfId="0" applyFont="1" applyFill="1" applyBorder="1"/>
    <xf numFmtId="0" fontId="43" fillId="0" borderId="12" xfId="0" applyFont="1" applyFill="1" applyBorder="1"/>
    <xf numFmtId="9" fontId="2" fillId="0" borderId="14" xfId="55" applyNumberFormat="1" applyFont="1" applyBorder="1" applyAlignment="1">
      <alignment/>
      <protection/>
    </xf>
    <xf numFmtId="3" fontId="2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top"/>
    </xf>
    <xf numFmtId="3" fontId="3" fillId="14" borderId="21" xfId="55" applyNumberFormat="1" applyFont="1" applyFill="1" applyBorder="1" applyAlignment="1">
      <alignment/>
      <protection/>
    </xf>
    <xf numFmtId="3" fontId="2" fillId="14" borderId="15" xfId="55" applyNumberFormat="1" applyFont="1" applyFill="1" applyBorder="1" applyAlignment="1">
      <alignment/>
      <protection/>
    </xf>
    <xf numFmtId="3" fontId="3" fillId="14" borderId="15" xfId="55" applyNumberFormat="1" applyFont="1" applyFill="1" applyBorder="1" applyAlignment="1">
      <alignment/>
      <protection/>
    </xf>
    <xf numFmtId="3" fontId="2" fillId="14" borderId="29" xfId="55" applyNumberFormat="1" applyFont="1" applyFill="1" applyBorder="1" applyAlignment="1">
      <alignment/>
      <protection/>
    </xf>
    <xf numFmtId="3" fontId="2" fillId="14" borderId="27" xfId="55" applyNumberFormat="1" applyFont="1" applyFill="1" applyBorder="1" applyAlignment="1">
      <alignment/>
      <protection/>
    </xf>
    <xf numFmtId="3" fontId="2" fillId="14" borderId="14" xfId="55" applyNumberFormat="1" applyFont="1" applyFill="1" applyBorder="1" applyAlignment="1">
      <alignment/>
      <protection/>
    </xf>
    <xf numFmtId="3" fontId="3" fillId="14" borderId="13" xfId="55" applyNumberFormat="1" applyFont="1" applyFill="1" applyBorder="1" applyAlignment="1">
      <alignment/>
      <protection/>
    </xf>
    <xf numFmtId="3" fontId="2" fillId="14" borderId="28" xfId="55" applyNumberFormat="1" applyFont="1" applyFill="1" applyBorder="1" applyAlignment="1">
      <alignment/>
      <protection/>
    </xf>
    <xf numFmtId="3" fontId="2" fillId="14" borderId="15" xfId="55" applyNumberFormat="1" applyFont="1" applyFill="1" applyBorder="1" applyAlignment="1">
      <alignment vertical="center"/>
      <protection/>
    </xf>
    <xf numFmtId="3" fontId="2" fillId="14" borderId="14" xfId="0" applyNumberFormat="1" applyFont="1" applyFill="1" applyBorder="1"/>
    <xf numFmtId="3" fontId="2" fillId="14" borderId="14" xfId="0" applyNumberFormat="1" applyFont="1" applyFill="1" applyBorder="1"/>
    <xf numFmtId="3" fontId="3" fillId="14" borderId="13" xfId="0" applyNumberFormat="1" applyFont="1" applyFill="1" applyBorder="1"/>
    <xf numFmtId="3" fontId="3" fillId="14" borderId="16" xfId="55" applyNumberFormat="1" applyFont="1" applyFill="1" applyBorder="1" applyAlignment="1">
      <alignment/>
      <protection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30" xfId="53" applyFont="1" applyFill="1" applyBorder="1" applyAlignment="1">
      <alignment vertical="center"/>
      <protection/>
    </xf>
    <xf numFmtId="3" fontId="3" fillId="14" borderId="21" xfId="0" applyNumberFormat="1" applyFont="1" applyFill="1" applyBorder="1"/>
    <xf numFmtId="0" fontId="0" fillId="0" borderId="11" xfId="55" applyFont="1" applyBorder="1" applyAlignment="1">
      <alignment/>
      <protection/>
    </xf>
    <xf numFmtId="0" fontId="2" fillId="0" borderId="11" xfId="0" applyFont="1" applyFill="1" applyBorder="1" applyAlignment="1">
      <alignment/>
    </xf>
    <xf numFmtId="0" fontId="3" fillId="0" borderId="22" xfId="0" applyFont="1" applyBorder="1" applyAlignment="1">
      <alignment horizontal="left"/>
    </xf>
    <xf numFmtId="0" fontId="35" fillId="0" borderId="12" xfId="55" applyFont="1" applyFill="1" applyBorder="1" applyAlignment="1">
      <alignment/>
      <protection/>
    </xf>
    <xf numFmtId="3" fontId="35" fillId="0" borderId="11" xfId="54" applyNumberFormat="1" applyFont="1" applyFill="1" applyBorder="1" applyAlignment="1">
      <alignment vertical="center"/>
      <protection/>
    </xf>
    <xf numFmtId="3" fontId="3" fillId="14" borderId="11" xfId="55" applyNumberFormat="1" applyFont="1" applyFill="1" applyBorder="1" applyAlignment="1">
      <alignment/>
      <protection/>
    </xf>
    <xf numFmtId="3" fontId="9" fillId="14" borderId="15" xfId="55" applyNumberFormat="1" applyFont="1" applyFill="1" applyBorder="1" applyAlignment="1">
      <alignment vertical="center"/>
      <protection/>
    </xf>
    <xf numFmtId="3" fontId="3" fillId="14" borderId="15" xfId="55" applyNumberFormat="1" applyFont="1" applyFill="1" applyBorder="1" applyAlignment="1">
      <alignment/>
      <protection/>
    </xf>
    <xf numFmtId="3" fontId="2" fillId="14" borderId="21" xfId="55" applyNumberFormat="1" applyFont="1" applyFill="1" applyBorder="1" applyAlignment="1">
      <alignment/>
      <protection/>
    </xf>
    <xf numFmtId="3" fontId="2" fillId="14" borderId="15" xfId="55" applyNumberFormat="1" applyFont="1" applyFill="1" applyBorder="1" applyAlignment="1">
      <alignment/>
      <protection/>
    </xf>
    <xf numFmtId="3" fontId="2" fillId="14" borderId="11" xfId="55" applyNumberFormat="1" applyFont="1" applyFill="1" applyBorder="1" applyAlignment="1">
      <alignment/>
      <protection/>
    </xf>
    <xf numFmtId="3" fontId="2" fillId="14" borderId="13" xfId="55" applyNumberFormat="1" applyFont="1" applyFill="1" applyBorder="1" applyAlignment="1">
      <alignment/>
      <protection/>
    </xf>
    <xf numFmtId="3" fontId="2" fillId="14" borderId="15" xfId="55" applyNumberFormat="1" applyFont="1" applyFill="1" applyBorder="1" applyAlignment="1">
      <alignment vertical="center"/>
      <protection/>
    </xf>
    <xf numFmtId="0" fontId="3" fillId="14" borderId="11" xfId="55" applyFont="1" applyFill="1" applyBorder="1" applyAlignment="1">
      <alignment/>
      <protection/>
    </xf>
    <xf numFmtId="0" fontId="3" fillId="14" borderId="12" xfId="55" applyFont="1" applyFill="1" applyBorder="1" applyAlignment="1">
      <alignment/>
      <protection/>
    </xf>
    <xf numFmtId="0" fontId="3" fillId="14" borderId="10" xfId="55" applyFont="1" applyFill="1" applyBorder="1" applyAlignment="1">
      <alignment/>
      <protection/>
    </xf>
    <xf numFmtId="3" fontId="4" fillId="14" borderId="14" xfId="55" applyNumberFormat="1" applyFont="1" applyFill="1" applyBorder="1" applyAlignment="1">
      <alignment/>
      <protection/>
    </xf>
    <xf numFmtId="3" fontId="2" fillId="14" borderId="14" xfId="55" applyNumberFormat="1" applyFont="1" applyFill="1" applyBorder="1" applyAlignment="1">
      <alignment vertical="center"/>
      <protection/>
    </xf>
    <xf numFmtId="0" fontId="3" fillId="14" borderId="13" xfId="55" applyFont="1" applyFill="1" applyBorder="1" applyAlignment="1">
      <alignment/>
      <protection/>
    </xf>
    <xf numFmtId="0" fontId="3" fillId="14" borderId="15" xfId="55" applyFont="1" applyFill="1" applyBorder="1" applyAlignment="1">
      <alignment/>
      <protection/>
    </xf>
    <xf numFmtId="3" fontId="4" fillId="14" borderId="31" xfId="55" applyNumberFormat="1" applyFont="1" applyFill="1" applyBorder="1" applyAlignment="1">
      <alignment/>
      <protection/>
    </xf>
    <xf numFmtId="3" fontId="2" fillId="14" borderId="31" xfId="55" applyNumberFormat="1" applyFont="1" applyFill="1" applyBorder="1" applyAlignment="1">
      <alignment/>
      <protection/>
    </xf>
    <xf numFmtId="3" fontId="3" fillId="14" borderId="25" xfId="55" applyNumberFormat="1" applyFont="1" applyFill="1" applyBorder="1" applyAlignment="1">
      <alignment/>
      <protection/>
    </xf>
    <xf numFmtId="3" fontId="4" fillId="14" borderId="15" xfId="55" applyNumberFormat="1" applyFont="1" applyFill="1" applyBorder="1" applyAlignment="1">
      <alignment/>
      <protection/>
    </xf>
    <xf numFmtId="3" fontId="4" fillId="14" borderId="10" xfId="55" applyNumberFormat="1" applyFont="1" applyFill="1" applyBorder="1" applyAlignment="1">
      <alignment/>
      <protection/>
    </xf>
    <xf numFmtId="3" fontId="2" fillId="14" borderId="12" xfId="55" applyNumberFormat="1" applyFont="1" applyFill="1" applyBorder="1" applyAlignment="1">
      <alignment/>
      <protection/>
    </xf>
    <xf numFmtId="0" fontId="2" fillId="0" borderId="15" xfId="57" applyFont="1" applyFill="1" applyBorder="1" applyAlignment="1">
      <alignment horizontal="right"/>
      <protection/>
    </xf>
    <xf numFmtId="9" fontId="3" fillId="0" borderId="10" xfId="57" applyNumberFormat="1" applyFont="1" applyFill="1" applyBorder="1" applyAlignment="1">
      <alignment horizontal="right" vertical="center"/>
      <protection/>
    </xf>
    <xf numFmtId="0" fontId="3" fillId="0" borderId="10" xfId="57" applyFont="1" applyFill="1" applyBorder="1" applyAlignment="1">
      <alignment horizontal="right"/>
      <protection/>
    </xf>
    <xf numFmtId="9" fontId="3" fillId="0" borderId="15" xfId="57" applyNumberFormat="1" applyFont="1" applyFill="1" applyBorder="1" applyAlignment="1">
      <alignment horizontal="right" vertical="center"/>
      <protection/>
    </xf>
    <xf numFmtId="3" fontId="3" fillId="0" borderId="10" xfId="57" applyNumberFormat="1" applyFont="1" applyFill="1" applyBorder="1" applyAlignment="1">
      <alignment horizontal="right"/>
      <protection/>
    </xf>
    <xf numFmtId="3" fontId="5" fillId="0" borderId="10" xfId="57" applyNumberFormat="1" applyFont="1" applyFill="1" applyBorder="1" applyAlignment="1">
      <alignment horizontal="right"/>
      <protection/>
    </xf>
    <xf numFmtId="3" fontId="2" fillId="0" borderId="15" xfId="57" applyNumberFormat="1" applyFont="1" applyFill="1" applyBorder="1" applyAlignment="1">
      <alignment horizontal="right"/>
      <protection/>
    </xf>
    <xf numFmtId="3" fontId="2" fillId="0" borderId="15" xfId="57" applyNumberFormat="1" applyFont="1" applyFill="1" applyBorder="1" applyAlignment="1">
      <alignment horizontal="right" vertical="center"/>
      <protection/>
    </xf>
    <xf numFmtId="3" fontId="2" fillId="0" borderId="14" xfId="57" applyNumberFormat="1" applyFont="1" applyFill="1" applyBorder="1" applyAlignment="1">
      <alignment horizontal="right" vertical="center"/>
      <protection/>
    </xf>
    <xf numFmtId="3" fontId="3" fillId="0" borderId="30" xfId="57" applyNumberFormat="1" applyFont="1" applyFill="1" applyBorder="1" applyAlignment="1">
      <alignment horizontal="right" vertical="center"/>
      <protection/>
    </xf>
    <xf numFmtId="3" fontId="2" fillId="0" borderId="30" xfId="57" applyNumberFormat="1" applyFont="1" applyFill="1" applyBorder="1" applyAlignment="1">
      <alignment horizontal="right" vertical="center"/>
      <protection/>
    </xf>
    <xf numFmtId="3" fontId="3" fillId="0" borderId="16" xfId="57" applyNumberFormat="1" applyFont="1" applyFill="1" applyBorder="1" applyAlignment="1">
      <alignment horizontal="right" vertical="center"/>
      <protection/>
    </xf>
    <xf numFmtId="3" fontId="3" fillId="12" borderId="16" xfId="57" applyNumberFormat="1" applyFont="1" applyFill="1" applyBorder="1" applyAlignment="1">
      <alignment horizontal="right"/>
      <protection/>
    </xf>
    <xf numFmtId="3" fontId="2" fillId="14" borderId="30" xfId="57" applyNumberFormat="1" applyFont="1" applyFill="1" applyBorder="1" applyAlignment="1">
      <alignment horizontal="right" vertical="center"/>
      <protection/>
    </xf>
    <xf numFmtId="3" fontId="3" fillId="14" borderId="16" xfId="57" applyNumberFormat="1" applyFont="1" applyFill="1" applyBorder="1" applyAlignment="1">
      <alignment horizontal="right"/>
      <protection/>
    </xf>
    <xf numFmtId="3" fontId="3" fillId="14" borderId="30" xfId="57" applyNumberFormat="1" applyFont="1" applyFill="1" applyBorder="1" applyAlignment="1">
      <alignment horizontal="right"/>
      <protection/>
    </xf>
    <xf numFmtId="0" fontId="3" fillId="14" borderId="30" xfId="57" applyFont="1" applyFill="1" applyBorder="1" applyAlignment="1">
      <alignment/>
      <protection/>
    </xf>
    <xf numFmtId="3" fontId="5" fillId="14" borderId="16" xfId="57" applyNumberFormat="1" applyFont="1" applyFill="1" applyBorder="1" applyAlignment="1">
      <alignment horizontal="right"/>
      <protection/>
    </xf>
    <xf numFmtId="3" fontId="3" fillId="14" borderId="30" xfId="57" applyNumberFormat="1" applyFont="1" applyFill="1" applyBorder="1" applyAlignment="1">
      <alignment horizontal="right" vertical="center"/>
      <protection/>
    </xf>
    <xf numFmtId="3" fontId="3" fillId="14" borderId="16" xfId="57" applyNumberFormat="1" applyFont="1" applyFill="1" applyBorder="1" applyAlignment="1">
      <alignment horizontal="right" vertical="center"/>
      <protection/>
    </xf>
    <xf numFmtId="3" fontId="3" fillId="14" borderId="31" xfId="57" applyNumberFormat="1" applyFont="1" applyFill="1" applyBorder="1" applyAlignment="1">
      <alignment horizontal="right" vertical="center"/>
      <protection/>
    </xf>
    <xf numFmtId="3" fontId="2" fillId="14" borderId="31" xfId="57" applyNumberFormat="1" applyFont="1" applyFill="1" applyBorder="1" applyAlignment="1">
      <alignment horizontal="right" vertical="center"/>
      <protection/>
    </xf>
    <xf numFmtId="3" fontId="2" fillId="14" borderId="14" xfId="57" applyNumberFormat="1" applyFont="1" applyFill="1" applyBorder="1" applyAlignment="1">
      <alignment horizontal="right" vertical="center"/>
      <protection/>
    </xf>
    <xf numFmtId="3" fontId="35" fillId="0" borderId="23" xfId="54" applyNumberFormat="1" applyFont="1" applyFill="1" applyBorder="1">
      <alignment/>
      <protection/>
    </xf>
    <xf numFmtId="9" fontId="3" fillId="0" borderId="14" xfId="57" applyNumberFormat="1" applyFont="1" applyFill="1" applyBorder="1" applyAlignment="1">
      <alignment horizontal="right" vertical="center"/>
      <protection/>
    </xf>
    <xf numFmtId="0" fontId="35" fillId="0" borderId="35" xfId="55" applyFont="1" applyFill="1" applyBorder="1" applyAlignment="1">
      <alignment/>
      <protection/>
    </xf>
    <xf numFmtId="3" fontId="2" fillId="0" borderId="20" xfId="0" applyNumberFormat="1" applyFont="1" applyBorder="1" applyAlignment="1">
      <alignment horizontal="center"/>
    </xf>
    <xf numFmtId="3" fontId="2" fillId="14" borderId="20" xfId="0" applyNumberFormat="1" applyFont="1" applyFill="1" applyBorder="1"/>
    <xf numFmtId="3" fontId="3" fillId="14" borderId="20" xfId="0" applyNumberFormat="1" applyFont="1" applyFill="1" applyBorder="1"/>
    <xf numFmtId="3" fontId="5" fillId="14" borderId="20" xfId="0" applyNumberFormat="1" applyFont="1" applyFill="1" applyBorder="1"/>
    <xf numFmtId="3" fontId="5" fillId="14" borderId="22" xfId="0" applyNumberFormat="1" applyFont="1" applyFill="1" applyBorder="1"/>
    <xf numFmtId="3" fontId="3" fillId="14" borderId="20" xfId="0" applyNumberFormat="1" applyFont="1" applyFill="1" applyBorder="1"/>
    <xf numFmtId="3" fontId="2" fillId="14" borderId="20" xfId="0" applyNumberFormat="1" applyFont="1" applyFill="1" applyBorder="1" applyAlignment="1">
      <alignment horizontal="center"/>
    </xf>
    <xf numFmtId="3" fontId="8" fillId="14" borderId="20" xfId="0" applyNumberFormat="1" applyFont="1" applyFill="1" applyBorder="1"/>
    <xf numFmtId="3" fontId="7" fillId="14" borderId="20" xfId="0" applyNumberFormat="1" applyFont="1" applyFill="1" applyBorder="1"/>
    <xf numFmtId="3" fontId="0" fillId="0" borderId="0" xfId="57" applyNumberFormat="1">
      <alignment/>
      <protection/>
    </xf>
    <xf numFmtId="9" fontId="3" fillId="14" borderId="10" xfId="63" applyFont="1" applyFill="1" applyBorder="1"/>
    <xf numFmtId="9" fontId="3" fillId="14" borderId="14" xfId="63" applyFont="1" applyFill="1" applyBorder="1"/>
    <xf numFmtId="9" fontId="2" fillId="14" borderId="14" xfId="63" applyFont="1" applyFill="1" applyBorder="1"/>
    <xf numFmtId="9" fontId="3" fillId="14" borderId="11" xfId="63" applyFont="1" applyFill="1" applyBorder="1"/>
    <xf numFmtId="9" fontId="2" fillId="0" borderId="15" xfId="57" applyNumberFormat="1" applyFont="1" applyFill="1" applyBorder="1" applyAlignment="1">
      <alignment horizontal="right" vertical="center"/>
      <protection/>
    </xf>
    <xf numFmtId="9" fontId="3" fillId="0" borderId="11" xfId="55" applyNumberFormat="1" applyFont="1" applyBorder="1" applyAlignment="1">
      <alignment/>
      <protection/>
    </xf>
    <xf numFmtId="9" fontId="2" fillId="0" borderId="21" xfId="55" applyNumberFormat="1" applyFont="1" applyBorder="1" applyAlignment="1">
      <alignment/>
      <protection/>
    </xf>
    <xf numFmtId="9" fontId="3" fillId="0" borderId="21" xfId="55" applyNumberFormat="1" applyFont="1" applyBorder="1" applyAlignment="1">
      <alignment/>
      <protection/>
    </xf>
    <xf numFmtId="9" fontId="3" fillId="0" borderId="15" xfId="55" applyNumberFormat="1" applyFont="1" applyBorder="1" applyAlignment="1">
      <alignment/>
      <protection/>
    </xf>
    <xf numFmtId="9" fontId="2" fillId="0" borderId="29" xfId="55" applyNumberFormat="1" applyFont="1" applyBorder="1" applyAlignment="1">
      <alignment/>
      <protection/>
    </xf>
    <xf numFmtId="9" fontId="2" fillId="0" borderId="28" xfId="55" applyNumberFormat="1" applyFont="1" applyBorder="1" applyAlignment="1">
      <alignment/>
      <protection/>
    </xf>
    <xf numFmtId="9" fontId="2" fillId="0" borderId="21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3" fillId="0" borderId="11" xfId="0" applyNumberFormat="1" applyFont="1" applyFill="1" applyBorder="1" applyAlignment="1">
      <alignment horizontal="right" vertical="center"/>
    </xf>
    <xf numFmtId="9" fontId="3" fillId="0" borderId="12" xfId="0" applyNumberFormat="1" applyFont="1" applyFill="1" applyBorder="1" applyAlignment="1">
      <alignment horizontal="right" vertical="center"/>
    </xf>
    <xf numFmtId="9" fontId="3" fillId="0" borderId="14" xfId="0" applyNumberFormat="1" applyFont="1" applyFill="1" applyBorder="1" applyAlignment="1">
      <alignment horizontal="right" vertical="center"/>
    </xf>
    <xf numFmtId="9" fontId="3" fillId="0" borderId="21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3" fillId="0" borderId="18" xfId="0" applyNumberFormat="1" applyFont="1" applyFill="1" applyBorder="1" applyAlignment="1">
      <alignment horizontal="right" vertical="center"/>
    </xf>
    <xf numFmtId="3" fontId="3" fillId="14" borderId="22" xfId="0" applyNumberFormat="1" applyFont="1" applyFill="1" applyBorder="1"/>
    <xf numFmtId="0" fontId="5" fillId="14" borderId="22" xfId="0" applyFont="1" applyFill="1" applyBorder="1"/>
    <xf numFmtId="0" fontId="3" fillId="14" borderId="20" xfId="0" applyFont="1" applyFill="1" applyBorder="1" applyAlignment="1">
      <alignment horizontal="left"/>
    </xf>
    <xf numFmtId="0" fontId="0" fillId="14" borderId="0" xfId="0" applyFont="1" applyFill="1"/>
    <xf numFmtId="9" fontId="3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left" vertical="top"/>
    </xf>
    <xf numFmtId="0" fontId="5" fillId="14" borderId="20" xfId="0" applyFont="1" applyFill="1" applyBorder="1" applyAlignment="1">
      <alignment horizontal="center" vertical="center" wrapText="1"/>
    </xf>
    <xf numFmtId="3" fontId="2" fillId="0" borderId="21" xfId="55" applyNumberFormat="1" applyFont="1" applyBorder="1" applyAlignment="1">
      <alignment/>
      <protection/>
    </xf>
    <xf numFmtId="0" fontId="2" fillId="0" borderId="21" xfId="55" applyFont="1" applyBorder="1" applyAlignment="1">
      <alignment/>
      <protection/>
    </xf>
    <xf numFmtId="0" fontId="2" fillId="0" borderId="20" xfId="0" applyFont="1" applyFill="1" applyBorder="1"/>
    <xf numFmtId="0" fontId="40" fillId="0" borderId="30" xfId="0" applyFont="1" applyFill="1" applyBorder="1"/>
    <xf numFmtId="0" fontId="40" fillId="0" borderId="26" xfId="0" applyFont="1" applyFill="1" applyBorder="1"/>
    <xf numFmtId="0" fontId="40" fillId="0" borderId="23" xfId="0" applyFont="1" applyFill="1" applyBorder="1"/>
    <xf numFmtId="0" fontId="40" fillId="0" borderId="17" xfId="0" applyFont="1" applyFill="1" applyBorder="1"/>
    <xf numFmtId="3" fontId="6" fillId="0" borderId="11" xfId="0" applyNumberFormat="1" applyFont="1" applyFill="1" applyBorder="1" applyAlignment="1">
      <alignment horizontal="center"/>
    </xf>
    <xf numFmtId="0" fontId="5" fillId="0" borderId="32" xfId="0" applyFont="1" applyFill="1" applyBorder="1"/>
    <xf numFmtId="0" fontId="4" fillId="0" borderId="22" xfId="0" applyFont="1" applyFill="1" applyBorder="1" applyAlignment="1">
      <alignment horizontal="center"/>
    </xf>
    <xf numFmtId="0" fontId="40" fillId="0" borderId="32" xfId="0" applyFont="1" applyFill="1" applyBorder="1"/>
    <xf numFmtId="0" fontId="4" fillId="0" borderId="34" xfId="0" applyFont="1" applyFill="1" applyBorder="1" applyAlignment="1">
      <alignment horizontal="center"/>
    </xf>
    <xf numFmtId="3" fontId="9" fillId="12" borderId="14" xfId="55" applyNumberFormat="1" applyFont="1" applyFill="1" applyBorder="1" applyAlignment="1">
      <alignment/>
      <protection/>
    </xf>
    <xf numFmtId="0" fontId="42" fillId="0" borderId="10" xfId="55" applyFont="1" applyBorder="1" applyAlignment="1">
      <alignment vertical="center"/>
      <protection/>
    </xf>
    <xf numFmtId="3" fontId="2" fillId="14" borderId="10" xfId="55" applyNumberFormat="1" applyFont="1" applyFill="1" applyBorder="1" applyAlignment="1">
      <alignment vertical="center"/>
      <protection/>
    </xf>
    <xf numFmtId="3" fontId="35" fillId="0" borderId="40" xfId="54" applyNumberFormat="1" applyFont="1" applyFill="1" applyBorder="1" applyAlignment="1">
      <alignment vertical="center"/>
      <protection/>
    </xf>
    <xf numFmtId="3" fontId="40" fillId="14" borderId="20" xfId="0" applyNumberFormat="1" applyFont="1" applyFill="1" applyBorder="1"/>
    <xf numFmtId="0" fontId="40" fillId="0" borderId="10" xfId="0" applyFont="1" applyFill="1" applyBorder="1" applyAlignment="1">
      <alignment horizontal="left"/>
    </xf>
    <xf numFmtId="3" fontId="36" fillId="0" borderId="12" xfId="54" applyNumberFormat="1" applyFont="1" applyFill="1" applyBorder="1">
      <alignment/>
      <protection/>
    </xf>
    <xf numFmtId="0" fontId="3" fillId="14" borderId="0" xfId="0" applyFont="1" applyFill="1"/>
    <xf numFmtId="0" fontId="8" fillId="0" borderId="26" xfId="0" applyFont="1" applyFill="1" applyBorder="1"/>
    <xf numFmtId="9" fontId="2" fillId="0" borderId="18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center"/>
    </xf>
    <xf numFmtId="0" fontId="3" fillId="14" borderId="10" xfId="55" applyFont="1" applyFill="1" applyBorder="1" applyAlignment="1">
      <alignment/>
      <protection/>
    </xf>
    <xf numFmtId="0" fontId="3" fillId="14" borderId="14" xfId="55" applyFont="1" applyFill="1" applyBorder="1" applyAlignment="1">
      <alignment/>
      <protection/>
    </xf>
    <xf numFmtId="0" fontId="5" fillId="0" borderId="11" xfId="0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Fill="1" applyAlignment="1">
      <alignment horizontal="center" vertical="center"/>
    </xf>
    <xf numFmtId="3" fontId="0" fillId="0" borderId="12" xfId="0" applyNumberFormat="1" applyFill="1" applyBorder="1" applyAlignment="1">
      <alignment/>
    </xf>
    <xf numFmtId="3" fontId="0" fillId="0" borderId="12" xfId="0" applyNumberFormat="1" applyFont="1" applyFill="1" applyBorder="1"/>
    <xf numFmtId="3" fontId="0" fillId="0" borderId="12" xfId="0" applyNumberFormat="1" applyFill="1" applyBorder="1"/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/>
    <xf numFmtId="0" fontId="2" fillId="0" borderId="0" xfId="0" applyFont="1" applyFill="1" applyAlignment="1">
      <alignment horizontal="centerContinuous"/>
    </xf>
    <xf numFmtId="9" fontId="3" fillId="0" borderId="10" xfId="0" applyNumberFormat="1" applyFont="1" applyFill="1" applyBorder="1"/>
    <xf numFmtId="3" fontId="7" fillId="0" borderId="10" xfId="63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3" fontId="3" fillId="0" borderId="10" xfId="63" applyNumberFormat="1" applyFont="1" applyFill="1" applyBorder="1" applyAlignment="1">
      <alignment horizontal="right"/>
    </xf>
    <xf numFmtId="3" fontId="40" fillId="0" borderId="10" xfId="63" applyNumberFormat="1" applyFont="1" applyFill="1" applyBorder="1" applyAlignment="1">
      <alignment horizontal="right"/>
    </xf>
    <xf numFmtId="3" fontId="2" fillId="0" borderId="10" xfId="0" applyNumberFormat="1" applyFont="1" applyFill="1" applyBorder="1"/>
    <xf numFmtId="3" fontId="5" fillId="0" borderId="10" xfId="0" applyNumberFormat="1" applyFont="1" applyFill="1" applyBorder="1"/>
    <xf numFmtId="3" fontId="3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0" fontId="2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2" fillId="0" borderId="12" xfId="45" applyNumberFormat="1" applyFont="1" applyFill="1" applyBorder="1" applyAlignment="1">
      <alignment horizontal="right"/>
    </xf>
    <xf numFmtId="0" fontId="2" fillId="0" borderId="0" xfId="0" applyFont="1" applyFill="1" applyBorder="1"/>
    <xf numFmtId="0" fontId="0" fillId="0" borderId="10" xfId="0" applyFill="1" applyBorder="1"/>
    <xf numFmtId="3" fontId="5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/>
    <xf numFmtId="3" fontId="40" fillId="0" borderId="10" xfId="0" applyNumberFormat="1" applyFont="1" applyFill="1" applyBorder="1"/>
    <xf numFmtId="3" fontId="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/>
    <xf numFmtId="3" fontId="0" fillId="0" borderId="10" xfId="0" applyNumberFormat="1" applyFill="1" applyBorder="1"/>
    <xf numFmtId="3" fontId="7" fillId="0" borderId="41" xfId="0" applyNumberFormat="1" applyFont="1" applyFill="1" applyBorder="1"/>
    <xf numFmtId="3" fontId="3" fillId="0" borderId="4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40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 vertical="center"/>
    </xf>
    <xf numFmtId="0" fontId="11" fillId="0" borderId="19" xfId="54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right"/>
      <protection/>
    </xf>
    <xf numFmtId="0" fontId="34" fillId="0" borderId="11" xfId="54" applyFont="1" applyFill="1" applyBorder="1">
      <alignment/>
      <protection/>
    </xf>
    <xf numFmtId="3" fontId="34" fillId="0" borderId="32" xfId="54" applyNumberFormat="1" applyFont="1" applyFill="1" applyBorder="1">
      <alignment/>
      <protection/>
    </xf>
    <xf numFmtId="0" fontId="34" fillId="0" borderId="32" xfId="54" applyFont="1" applyFill="1" applyBorder="1">
      <alignment/>
      <protection/>
    </xf>
    <xf numFmtId="3" fontId="34" fillId="0" borderId="23" xfId="0" applyNumberFormat="1" applyFont="1" applyFill="1" applyBorder="1"/>
    <xf numFmtId="0" fontId="34" fillId="0" borderId="23" xfId="54" applyFont="1" applyFill="1" applyBorder="1">
      <alignment/>
      <protection/>
    </xf>
    <xf numFmtId="3" fontId="35" fillId="0" borderId="12" xfId="54" applyNumberFormat="1" applyFont="1" applyFill="1" applyBorder="1">
      <alignment/>
      <protection/>
    </xf>
    <xf numFmtId="0" fontId="36" fillId="0" borderId="23" xfId="54" applyFont="1" applyFill="1" applyBorder="1">
      <alignment/>
      <protection/>
    </xf>
    <xf numFmtId="3" fontId="35" fillId="0" borderId="21" xfId="54" applyNumberFormat="1" applyFont="1" applyFill="1" applyBorder="1">
      <alignment/>
      <protection/>
    </xf>
    <xf numFmtId="0" fontId="34" fillId="0" borderId="15" xfId="55" applyFont="1" applyFill="1" applyBorder="1" applyAlignment="1">
      <alignment/>
      <protection/>
    </xf>
    <xf numFmtId="3" fontId="34" fillId="0" borderId="14" xfId="54" applyNumberFormat="1" applyFont="1" applyFill="1" applyBorder="1">
      <alignment/>
      <protection/>
    </xf>
    <xf numFmtId="0" fontId="35" fillId="0" borderId="11" xfId="55" applyFont="1" applyFill="1" applyBorder="1" applyAlignment="1">
      <alignment/>
      <protection/>
    </xf>
    <xf numFmtId="3" fontId="35" fillId="0" borderId="32" xfId="54" applyNumberFormat="1" applyFont="1" applyFill="1" applyBorder="1">
      <alignment/>
      <protection/>
    </xf>
    <xf numFmtId="3" fontId="45" fillId="0" borderId="12" xfId="0" applyNumberFormat="1" applyFont="1" applyFill="1" applyBorder="1"/>
    <xf numFmtId="0" fontId="35" fillId="0" borderId="21" xfId="55" applyFont="1" applyFill="1" applyBorder="1" applyAlignment="1">
      <alignment/>
      <protection/>
    </xf>
    <xf numFmtId="0" fontId="31" fillId="0" borderId="15" xfId="55" applyFont="1" applyFill="1" applyBorder="1" applyAlignment="1">
      <alignment/>
      <protection/>
    </xf>
    <xf numFmtId="3" fontId="34" fillId="0" borderId="15" xfId="54" applyNumberFormat="1" applyFont="1" applyFill="1" applyBorder="1">
      <alignment/>
      <protection/>
    </xf>
    <xf numFmtId="0" fontId="35" fillId="0" borderId="18" xfId="55" applyFont="1" applyFill="1" applyBorder="1" applyAlignment="1">
      <alignment/>
      <protection/>
    </xf>
    <xf numFmtId="0" fontId="34" fillId="0" borderId="16" xfId="54" applyFont="1" applyFill="1" applyBorder="1">
      <alignment/>
      <protection/>
    </xf>
    <xf numFmtId="3" fontId="35" fillId="0" borderId="39" xfId="54" applyNumberFormat="1" applyFont="1" applyFill="1" applyBorder="1">
      <alignment/>
      <protection/>
    </xf>
    <xf numFmtId="3" fontId="35" fillId="0" borderId="20" xfId="54" applyNumberFormat="1" applyFont="1" applyFill="1" applyBorder="1">
      <alignment/>
      <protection/>
    </xf>
    <xf numFmtId="0" fontId="35" fillId="0" borderId="16" xfId="54" applyFont="1" applyFill="1" applyBorder="1">
      <alignment/>
      <protection/>
    </xf>
    <xf numFmtId="0" fontId="35" fillId="0" borderId="20" xfId="54" applyFont="1" applyFill="1" applyBorder="1">
      <alignment/>
      <protection/>
    </xf>
    <xf numFmtId="0" fontId="35" fillId="0" borderId="13" xfId="56" applyFont="1" applyFill="1" applyBorder="1" applyAlignment="1">
      <alignment/>
      <protection/>
    </xf>
    <xf numFmtId="0" fontId="35" fillId="0" borderId="15" xfId="55" applyFont="1" applyFill="1" applyBorder="1" applyAlignment="1">
      <alignment/>
      <protection/>
    </xf>
    <xf numFmtId="3" fontId="35" fillId="0" borderId="15" xfId="54" applyNumberFormat="1" applyFont="1" applyFill="1" applyBorder="1">
      <alignment/>
      <protection/>
    </xf>
    <xf numFmtId="0" fontId="31" fillId="0" borderId="29" xfId="55" applyFont="1" applyFill="1" applyBorder="1" applyAlignment="1">
      <alignment/>
      <protection/>
    </xf>
    <xf numFmtId="3" fontId="34" fillId="0" borderId="29" xfId="54" applyNumberFormat="1" applyFont="1" applyFill="1" applyBorder="1">
      <alignment/>
      <protection/>
    </xf>
    <xf numFmtId="0" fontId="35" fillId="0" borderId="42" xfId="54" applyFont="1" applyFill="1" applyBorder="1">
      <alignment/>
      <protection/>
    </xf>
    <xf numFmtId="0" fontId="35" fillId="0" borderId="43" xfId="54" applyFont="1" applyFill="1" applyBorder="1">
      <alignment/>
      <protection/>
    </xf>
    <xf numFmtId="0" fontId="39" fillId="0" borderId="28" xfId="55" applyFont="1" applyFill="1" applyBorder="1" applyAlignment="1">
      <alignment/>
      <protection/>
    </xf>
    <xf numFmtId="3" fontId="34" fillId="0" borderId="42" xfId="54" applyNumberFormat="1" applyFont="1" applyFill="1" applyBorder="1">
      <alignment/>
      <protection/>
    </xf>
    <xf numFmtId="0" fontId="32" fillId="0" borderId="42" xfId="54" applyFont="1" applyFill="1" applyBorder="1" applyAlignment="1">
      <alignment vertical="center"/>
      <protection/>
    </xf>
    <xf numFmtId="3" fontId="34" fillId="0" borderId="27" xfId="54" applyNumberFormat="1" applyFont="1" applyFill="1" applyBorder="1">
      <alignment/>
      <protection/>
    </xf>
    <xf numFmtId="3" fontId="35" fillId="0" borderId="40" xfId="54" applyNumberFormat="1" applyFont="1" applyFill="1" applyBorder="1">
      <alignment/>
      <protection/>
    </xf>
    <xf numFmtId="0" fontId="35" fillId="0" borderId="44" xfId="54" applyFont="1" applyFill="1" applyBorder="1">
      <alignment/>
      <protection/>
    </xf>
    <xf numFmtId="0" fontId="35" fillId="0" borderId="45" xfId="54" applyFont="1" applyFill="1" applyBorder="1">
      <alignment/>
      <protection/>
    </xf>
    <xf numFmtId="3" fontId="35" fillId="0" borderId="16" xfId="54" applyNumberFormat="1" applyFont="1" applyFill="1" applyBorder="1">
      <alignment/>
      <protection/>
    </xf>
    <xf numFmtId="0" fontId="35" fillId="0" borderId="34" xfId="54" applyFont="1" applyFill="1" applyBorder="1">
      <alignment/>
      <protection/>
    </xf>
    <xf numFmtId="0" fontId="35" fillId="0" borderId="23" xfId="54" applyFont="1" applyFill="1" applyBorder="1">
      <alignment/>
      <protection/>
    </xf>
    <xf numFmtId="0" fontId="35" fillId="0" borderId="32" xfId="54" applyFont="1" applyFill="1" applyBorder="1">
      <alignment/>
      <protection/>
    </xf>
    <xf numFmtId="0" fontId="35" fillId="0" borderId="12" xfId="54" applyFont="1" applyFill="1" applyBorder="1">
      <alignment/>
      <protection/>
    </xf>
    <xf numFmtId="3" fontId="35" fillId="0" borderId="18" xfId="54" applyNumberFormat="1" applyFont="1" applyFill="1" applyBorder="1">
      <alignment/>
      <protection/>
    </xf>
    <xf numFmtId="0" fontId="35" fillId="0" borderId="39" xfId="54" applyFont="1" applyFill="1" applyBorder="1">
      <alignment/>
      <protection/>
    </xf>
    <xf numFmtId="0" fontId="35" fillId="0" borderId="10" xfId="55" applyFont="1" applyFill="1" applyBorder="1" applyAlignment="1">
      <alignment/>
      <protection/>
    </xf>
    <xf numFmtId="3" fontId="35" fillId="0" borderId="10" xfId="54" applyNumberFormat="1" applyFont="1" applyFill="1" applyBorder="1">
      <alignment/>
      <protection/>
    </xf>
    <xf numFmtId="3" fontId="34" fillId="0" borderId="20" xfId="54" applyNumberFormat="1" applyFont="1" applyFill="1" applyBorder="1">
      <alignment/>
      <protection/>
    </xf>
    <xf numFmtId="0" fontId="0" fillId="0" borderId="16" xfId="0" applyFill="1" applyBorder="1"/>
    <xf numFmtId="0" fontId="35" fillId="0" borderId="14" xfId="55" applyFont="1" applyFill="1" applyBorder="1" applyAlignment="1">
      <alignment/>
      <protection/>
    </xf>
    <xf numFmtId="0" fontId="0" fillId="0" borderId="42" xfId="0" applyFill="1" applyBorder="1"/>
    <xf numFmtId="3" fontId="35" fillId="0" borderId="43" xfId="54" applyNumberFormat="1" applyFont="1" applyFill="1" applyBorder="1">
      <alignment/>
      <protection/>
    </xf>
    <xf numFmtId="0" fontId="39" fillId="0" borderId="27" xfId="55" applyFont="1" applyFill="1" applyBorder="1" applyAlignment="1">
      <alignment vertical="center"/>
      <protection/>
    </xf>
    <xf numFmtId="3" fontId="32" fillId="0" borderId="42" xfId="54" applyNumberFormat="1" applyFont="1" applyFill="1" applyBorder="1" applyAlignment="1">
      <alignment vertical="center"/>
      <protection/>
    </xf>
    <xf numFmtId="0" fontId="32" fillId="0" borderId="46" xfId="54" applyFont="1" applyFill="1" applyBorder="1" applyAlignment="1">
      <alignment vertical="center"/>
      <protection/>
    </xf>
    <xf numFmtId="3" fontId="32" fillId="0" borderId="27" xfId="54" applyNumberFormat="1" applyFont="1" applyFill="1" applyBorder="1" applyAlignment="1">
      <alignment vertical="center"/>
      <protection/>
    </xf>
    <xf numFmtId="0" fontId="35" fillId="0" borderId="0" xfId="54" applyFont="1" applyFill="1">
      <alignment/>
      <protection/>
    </xf>
    <xf numFmtId="0" fontId="35" fillId="0" borderId="13" xfId="55" applyFont="1" applyFill="1" applyBorder="1" applyAlignment="1">
      <alignment/>
      <protection/>
    </xf>
    <xf numFmtId="0" fontId="35" fillId="0" borderId="17" xfId="54" applyFont="1" applyFill="1" applyBorder="1">
      <alignment/>
      <protection/>
    </xf>
    <xf numFmtId="0" fontId="35" fillId="0" borderId="47" xfId="55" applyFont="1" applyFill="1" applyBorder="1" applyAlignment="1">
      <alignment/>
      <protection/>
    </xf>
    <xf numFmtId="3" fontId="35" fillId="0" borderId="27" xfId="54" applyNumberFormat="1" applyFont="1" applyFill="1" applyBorder="1">
      <alignment/>
      <protection/>
    </xf>
    <xf numFmtId="0" fontId="32" fillId="0" borderId="27" xfId="54" applyFont="1" applyFill="1" applyBorder="1" applyAlignment="1">
      <alignment vertical="center"/>
      <protection/>
    </xf>
    <xf numFmtId="3" fontId="34" fillId="0" borderId="28" xfId="54" applyNumberFormat="1" applyFont="1" applyFill="1" applyBorder="1">
      <alignment/>
      <protection/>
    </xf>
    <xf numFmtId="0" fontId="35" fillId="0" borderId="48" xfId="55" applyFont="1" applyFill="1" applyBorder="1" applyAlignment="1">
      <alignment/>
      <protection/>
    </xf>
    <xf numFmtId="3" fontId="35" fillId="0" borderId="49" xfId="54" applyNumberFormat="1" applyFont="1" applyFill="1" applyBorder="1">
      <alignment/>
      <protection/>
    </xf>
    <xf numFmtId="0" fontId="35" fillId="0" borderId="49" xfId="54" applyFont="1" applyFill="1" applyBorder="1">
      <alignment/>
      <protection/>
    </xf>
    <xf numFmtId="3" fontId="35" fillId="0" borderId="48" xfId="54" applyNumberFormat="1" applyFont="1" applyFill="1" applyBorder="1">
      <alignment/>
      <protection/>
    </xf>
    <xf numFmtId="0" fontId="32" fillId="0" borderId="27" xfId="55" applyFont="1" applyFill="1" applyBorder="1" applyAlignment="1">
      <alignment vertical="center"/>
      <protection/>
    </xf>
    <xf numFmtId="3" fontId="34" fillId="0" borderId="43" xfId="54" applyNumberFormat="1" applyFont="1" applyFill="1" applyBorder="1">
      <alignment/>
      <protection/>
    </xf>
    <xf numFmtId="0" fontId="31" fillId="0" borderId="47" xfId="55" applyFont="1" applyFill="1" applyBorder="1" applyAlignment="1">
      <alignment/>
      <protection/>
    </xf>
    <xf numFmtId="3" fontId="35" fillId="0" borderId="42" xfId="0" applyNumberFormat="1" applyFont="1" applyFill="1" applyBorder="1"/>
    <xf numFmtId="3" fontId="35" fillId="0" borderId="47" xfId="54" applyNumberFormat="1" applyFont="1" applyFill="1" applyBorder="1">
      <alignment/>
      <protection/>
    </xf>
    <xf numFmtId="0" fontId="33" fillId="0" borderId="0" xfId="54" applyFont="1" applyFill="1">
      <alignment/>
      <protection/>
    </xf>
    <xf numFmtId="0" fontId="2" fillId="0" borderId="30" xfId="57" applyFont="1" applyFill="1" applyBorder="1">
      <alignment/>
      <protection/>
    </xf>
    <xf numFmtId="3" fontId="2" fillId="0" borderId="14" xfId="57" applyNumberFormat="1" applyFont="1" applyFill="1" applyBorder="1" applyAlignment="1">
      <alignment horizontal="right"/>
      <protection/>
    </xf>
    <xf numFmtId="3" fontId="5" fillId="14" borderId="18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3" fillId="0" borderId="16" xfId="57" applyFont="1" applyFill="1" applyBorder="1" applyAlignment="1">
      <alignment vertical="center"/>
      <protection/>
    </xf>
    <xf numFmtId="3" fontId="3" fillId="0" borderId="13" xfId="0" applyNumberFormat="1" applyFont="1" applyFill="1" applyBorder="1"/>
    <xf numFmtId="3" fontId="47" fillId="0" borderId="0" xfId="0" applyNumberFormat="1" applyFont="1" applyFill="1" applyBorder="1"/>
    <xf numFmtId="0" fontId="43" fillId="0" borderId="10" xfId="0" applyFont="1" applyFill="1" applyBorder="1"/>
    <xf numFmtId="3" fontId="2" fillId="0" borderId="31" xfId="0" applyNumberFormat="1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right" vertical="center"/>
    </xf>
    <xf numFmtId="3" fontId="9" fillId="0" borderId="15" xfId="55" applyNumberFormat="1" applyFont="1" applyFill="1" applyBorder="1" applyAlignment="1">
      <alignment vertical="center"/>
      <protection/>
    </xf>
    <xf numFmtId="3" fontId="35" fillId="0" borderId="12" xfId="54" applyNumberFormat="1" applyFont="1" applyFill="1" applyBorder="1" applyAlignment="1">
      <alignment vertical="center"/>
      <protection/>
    </xf>
    <xf numFmtId="9" fontId="2" fillId="14" borderId="12" xfId="63" applyFont="1" applyFill="1" applyBorder="1"/>
    <xf numFmtId="9" fontId="7" fillId="0" borderId="11" xfId="0" applyNumberFormat="1" applyFont="1" applyFill="1" applyBorder="1"/>
    <xf numFmtId="9" fontId="8" fillId="0" borderId="12" xfId="0" applyNumberFormat="1" applyFont="1" applyFill="1" applyBorder="1"/>
    <xf numFmtId="9" fontId="8" fillId="0" borderId="11" xfId="0" applyNumberFormat="1" applyFont="1" applyFill="1" applyBorder="1"/>
    <xf numFmtId="3" fontId="3" fillId="14" borderId="15" xfId="57" applyNumberFormat="1" applyFont="1" applyFill="1" applyBorder="1" applyAlignment="1">
      <alignment/>
      <protection/>
    </xf>
    <xf numFmtId="3" fontId="3" fillId="0" borderId="22" xfId="57" applyNumberFormat="1" applyFont="1" applyBorder="1">
      <alignment/>
      <protection/>
    </xf>
    <xf numFmtId="3" fontId="3" fillId="14" borderId="10" xfId="57" applyNumberFormat="1" applyFont="1" applyFill="1" applyBorder="1" applyAlignment="1">
      <alignment horizontal="right"/>
      <protection/>
    </xf>
    <xf numFmtId="3" fontId="3" fillId="14" borderId="15" xfId="57" applyNumberFormat="1" applyFont="1" applyFill="1" applyBorder="1" applyAlignment="1">
      <alignment horizontal="right" vertical="center"/>
      <protection/>
    </xf>
    <xf numFmtId="3" fontId="3" fillId="14" borderId="10" xfId="57" applyNumberFormat="1" applyFont="1" applyFill="1" applyBorder="1" applyAlignment="1">
      <alignment/>
      <protection/>
    </xf>
    <xf numFmtId="9" fontId="2" fillId="0" borderId="27" xfId="55" applyNumberFormat="1" applyFont="1" applyBorder="1" applyAlignment="1">
      <alignment/>
      <protection/>
    </xf>
    <xf numFmtId="9" fontId="3" fillId="0" borderId="12" xfId="0" applyNumberFormat="1" applyFont="1" applyFill="1" applyBorder="1"/>
    <xf numFmtId="9" fontId="2" fillId="0" borderId="11" xfId="0" applyNumberFormat="1" applyFont="1" applyFill="1" applyBorder="1"/>
    <xf numFmtId="9" fontId="3" fillId="0" borderId="21" xfId="0" applyNumberFormat="1" applyFont="1" applyFill="1" applyBorder="1"/>
    <xf numFmtId="9" fontId="2" fillId="0" borderId="15" xfId="0" applyNumberFormat="1" applyFont="1" applyFill="1" applyBorder="1"/>
    <xf numFmtId="9" fontId="2" fillId="0" borderId="21" xfId="0" applyNumberFormat="1" applyFont="1" applyFill="1" applyBorder="1"/>
    <xf numFmtId="9" fontId="2" fillId="0" borderId="14" xfId="57" applyNumberFormat="1" applyFont="1" applyFill="1" applyBorder="1" applyAlignment="1">
      <alignment horizontal="right" vertical="center"/>
      <protection/>
    </xf>
    <xf numFmtId="9" fontId="2" fillId="0" borderId="10" xfId="57" applyNumberFormat="1" applyFont="1" applyFill="1" applyBorder="1" applyAlignment="1">
      <alignment horizontal="right" vertical="center"/>
      <protection/>
    </xf>
    <xf numFmtId="9" fontId="2" fillId="0" borderId="18" xfId="57" applyNumberFormat="1" applyFont="1" applyFill="1" applyBorder="1" applyAlignment="1">
      <alignment horizontal="right" vertical="center"/>
      <protection/>
    </xf>
    <xf numFmtId="0" fontId="5" fillId="0" borderId="23" xfId="53" applyFont="1" applyFill="1" applyBorder="1" applyAlignment="1">
      <alignment horizontal="left"/>
      <protection/>
    </xf>
    <xf numFmtId="3" fontId="5" fillId="14" borderId="23" xfId="57" applyNumberFormat="1" applyFont="1" applyFill="1" applyBorder="1" applyAlignment="1">
      <alignment horizontal="right"/>
      <protection/>
    </xf>
    <xf numFmtId="9" fontId="3" fillId="0" borderId="12" xfId="57" applyNumberFormat="1" applyFont="1" applyFill="1" applyBorder="1" applyAlignment="1">
      <alignment horizontal="right" vertical="center"/>
      <protection/>
    </xf>
    <xf numFmtId="9" fontId="3" fillId="0" borderId="12" xfId="0" applyNumberFormat="1" applyFont="1" applyBorder="1"/>
    <xf numFmtId="9" fontId="2" fillId="0" borderId="11" xfId="0" applyNumberFormat="1" applyFont="1" applyBorder="1"/>
    <xf numFmtId="9" fontId="3" fillId="0" borderId="21" xfId="0" applyNumberFormat="1" applyFont="1" applyBorder="1"/>
    <xf numFmtId="9" fontId="2" fillId="0" borderId="15" xfId="0" applyNumberFormat="1" applyFont="1" applyBorder="1"/>
    <xf numFmtId="9" fontId="2" fillId="0" borderId="21" xfId="0" applyNumberFormat="1" applyFont="1" applyBorder="1"/>
    <xf numFmtId="9" fontId="3" fillId="0" borderId="15" xfId="0" applyNumberFormat="1" applyFont="1" applyBorder="1"/>
    <xf numFmtId="9" fontId="2" fillId="0" borderId="14" xfId="0" applyNumberFormat="1" applyFont="1" applyBorder="1"/>
    <xf numFmtId="3" fontId="2" fillId="0" borderId="16" xfId="57" applyNumberFormat="1" applyFont="1" applyFill="1" applyBorder="1" applyAlignment="1">
      <alignment horizontal="right"/>
      <protection/>
    </xf>
    <xf numFmtId="3" fontId="5" fillId="0" borderId="16" xfId="57" applyNumberFormat="1" applyFont="1" applyFill="1" applyBorder="1" applyAlignment="1">
      <alignment horizontal="right"/>
      <protection/>
    </xf>
    <xf numFmtId="0" fontId="5" fillId="0" borderId="10" xfId="57" applyFont="1" applyBorder="1">
      <alignment/>
      <protection/>
    </xf>
    <xf numFmtId="3" fontId="5" fillId="0" borderId="10" xfId="57" applyNumberFormat="1" applyFont="1" applyFill="1" applyBorder="1">
      <alignment/>
      <protection/>
    </xf>
    <xf numFmtId="3" fontId="5" fillId="0" borderId="16" xfId="57" applyNumberFormat="1" applyFont="1" applyFill="1" applyBorder="1" applyAlignment="1">
      <alignment/>
      <protection/>
    </xf>
    <xf numFmtId="0" fontId="5" fillId="0" borderId="10" xfId="53" applyFont="1" applyFill="1" applyBorder="1" applyAlignment="1">
      <alignment horizontal="left"/>
      <protection/>
    </xf>
    <xf numFmtId="3" fontId="2" fillId="0" borderId="31" xfId="53" applyNumberFormat="1" applyFont="1" applyFill="1" applyBorder="1" applyAlignment="1">
      <alignment horizontal="right"/>
      <protection/>
    </xf>
    <xf numFmtId="3" fontId="5" fillId="14" borderId="12" xfId="0" applyNumberFormat="1" applyFont="1" applyFill="1" applyBorder="1" applyAlignment="1">
      <alignment horizontal="right"/>
    </xf>
    <xf numFmtId="3" fontId="5" fillId="14" borderId="21" xfId="0" applyNumberFormat="1" applyFont="1" applyFill="1" applyBorder="1" applyAlignment="1">
      <alignment horizontal="right"/>
    </xf>
    <xf numFmtId="0" fontId="0" fillId="0" borderId="0" xfId="57">
      <alignment/>
      <protection/>
    </xf>
    <xf numFmtId="0" fontId="47" fillId="0" borderId="0" xfId="0" applyFont="1" applyFill="1"/>
    <xf numFmtId="3" fontId="3" fillId="0" borderId="12" xfId="55" applyNumberFormat="1" applyFont="1" applyFill="1" applyBorder="1" applyAlignment="1">
      <alignment/>
      <protection/>
    </xf>
    <xf numFmtId="0" fontId="3" fillId="0" borderId="12" xfId="55" applyFont="1" applyFill="1" applyBorder="1" applyAlignment="1">
      <alignment/>
      <protection/>
    </xf>
    <xf numFmtId="3" fontId="3" fillId="14" borderId="10" xfId="55" applyNumberFormat="1" applyFont="1" applyFill="1" applyBorder="1" applyAlignment="1">
      <alignment/>
      <protection/>
    </xf>
    <xf numFmtId="9" fontId="3" fillId="0" borderId="13" xfId="55" applyNumberFormat="1" applyFont="1" applyBorder="1" applyAlignment="1">
      <alignment/>
      <protection/>
    </xf>
    <xf numFmtId="3" fontId="44" fillId="0" borderId="12" xfId="0" applyNumberFormat="1" applyFont="1" applyFill="1" applyBorder="1"/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7" fillId="0" borderId="10" xfId="0" applyFont="1" applyFill="1" applyBorder="1"/>
    <xf numFmtId="3" fontId="7" fillId="0" borderId="20" xfId="0" applyNumberFormat="1" applyFont="1" applyFill="1" applyBorder="1"/>
    <xf numFmtId="9" fontId="3" fillId="0" borderId="10" xfId="63" applyFont="1" applyFill="1" applyBorder="1"/>
    <xf numFmtId="3" fontId="40" fillId="0" borderId="20" xfId="0" applyNumberFormat="1" applyFont="1" applyFill="1" applyBorder="1"/>
    <xf numFmtId="9" fontId="2" fillId="14" borderId="15" xfId="63" applyFont="1" applyFill="1" applyBorder="1"/>
    <xf numFmtId="0" fontId="40" fillId="0" borderId="16" xfId="53" applyFont="1" applyFill="1" applyBorder="1" applyAlignment="1">
      <alignment horizontal="left"/>
      <protection/>
    </xf>
    <xf numFmtId="9" fontId="3" fillId="0" borderId="21" xfId="55" applyNumberFormat="1" applyFont="1" applyFill="1" applyBorder="1" applyAlignment="1">
      <alignment/>
      <protection/>
    </xf>
    <xf numFmtId="3" fontId="2" fillId="0" borderId="15" xfId="55" applyNumberFormat="1" applyFont="1" applyFill="1" applyBorder="1" applyAlignment="1">
      <alignment/>
      <protection/>
    </xf>
    <xf numFmtId="0" fontId="9" fillId="0" borderId="14" xfId="55" applyFont="1" applyFill="1" applyBorder="1" applyAlignment="1">
      <alignment vertical="center"/>
      <protection/>
    </xf>
    <xf numFmtId="3" fontId="2" fillId="0" borderId="14" xfId="55" applyNumberFormat="1" applyFont="1" applyFill="1" applyBorder="1" applyAlignment="1">
      <alignment/>
      <protection/>
    </xf>
    <xf numFmtId="9" fontId="2" fillId="0" borderId="15" xfId="55" applyNumberFormat="1" applyFont="1" applyFill="1" applyBorder="1" applyAlignment="1">
      <alignment/>
      <protection/>
    </xf>
    <xf numFmtId="0" fontId="2" fillId="0" borderId="10" xfId="55" applyFont="1" applyFill="1" applyBorder="1" applyAlignment="1">
      <alignment/>
      <protection/>
    </xf>
    <xf numFmtId="3" fontId="3" fillId="0" borderId="15" xfId="55" applyNumberFormat="1" applyFont="1" applyFill="1" applyBorder="1" applyAlignment="1">
      <alignment/>
      <protection/>
    </xf>
    <xf numFmtId="9" fontId="3" fillId="0" borderId="15" xfId="55" applyNumberFormat="1" applyFont="1" applyFill="1" applyBorder="1" applyAlignment="1">
      <alignment/>
      <protection/>
    </xf>
    <xf numFmtId="0" fontId="42" fillId="0" borderId="15" xfId="55" applyFont="1" applyFill="1" applyBorder="1" applyAlignment="1">
      <alignment vertical="center"/>
      <protection/>
    </xf>
    <xf numFmtId="3" fontId="2" fillId="0" borderId="15" xfId="55" applyNumberFormat="1" applyFont="1" applyFill="1" applyBorder="1" applyAlignment="1">
      <alignment vertical="center"/>
      <protection/>
    </xf>
    <xf numFmtId="3" fontId="2" fillId="0" borderId="18" xfId="55" applyNumberFormat="1" applyFont="1" applyFill="1" applyBorder="1" applyAlignment="1">
      <alignment/>
      <protection/>
    </xf>
    <xf numFmtId="0" fontId="3" fillId="0" borderId="11" xfId="55" applyFont="1" applyFill="1" applyBorder="1" applyAlignment="1">
      <alignment/>
      <protection/>
    </xf>
    <xf numFmtId="9" fontId="3" fillId="0" borderId="11" xfId="55" applyNumberFormat="1" applyFont="1" applyFill="1" applyBorder="1" applyAlignment="1">
      <alignment/>
      <protection/>
    </xf>
    <xf numFmtId="0" fontId="9" fillId="0" borderId="12" xfId="55" applyFont="1" applyFill="1" applyBorder="1" applyAlignment="1">
      <alignment/>
      <protection/>
    </xf>
    <xf numFmtId="9" fontId="3" fillId="0" borderId="12" xfId="55" applyNumberFormat="1" applyFont="1" applyFill="1" applyBorder="1" applyAlignment="1">
      <alignment/>
      <protection/>
    </xf>
    <xf numFmtId="9" fontId="2" fillId="0" borderId="15" xfId="55" applyNumberFormat="1" applyFont="1" applyBorder="1" applyAlignment="1">
      <alignment vertical="center"/>
      <protection/>
    </xf>
    <xf numFmtId="9" fontId="2" fillId="0" borderId="15" xfId="0" applyNumberFormat="1" applyFont="1" applyBorder="1" applyAlignment="1">
      <alignment vertical="center"/>
    </xf>
    <xf numFmtId="0" fontId="2" fillId="0" borderId="5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3" fontId="5" fillId="14" borderId="11" xfId="0" applyNumberFormat="1" applyFont="1" applyFill="1" applyBorder="1" applyAlignment="1">
      <alignment horizontal="right"/>
    </xf>
    <xf numFmtId="3" fontId="2" fillId="14" borderId="10" xfId="0" applyNumberFormat="1" applyFont="1" applyFill="1" applyBorder="1" applyAlignment="1">
      <alignment horizontal="right"/>
    </xf>
    <xf numFmtId="3" fontId="2" fillId="14" borderId="15" xfId="57" applyNumberFormat="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left"/>
    </xf>
    <xf numFmtId="0" fontId="8" fillId="0" borderId="33" xfId="0" applyFont="1" applyFill="1" applyBorder="1"/>
    <xf numFmtId="0" fontId="4" fillId="0" borderId="10" xfId="0" applyFont="1" applyFill="1" applyBorder="1" applyAlignment="1">
      <alignment horizontal="center"/>
    </xf>
    <xf numFmtId="0" fontId="8" fillId="0" borderId="12" xfId="0" applyFont="1" applyFill="1" applyBorder="1"/>
    <xf numFmtId="3" fontId="2" fillId="0" borderId="18" xfId="0" applyNumberFormat="1" applyFont="1" applyFill="1" applyBorder="1" applyAlignment="1">
      <alignment horizontal="right"/>
    </xf>
    <xf numFmtId="0" fontId="8" fillId="0" borderId="16" xfId="0" applyFont="1" applyFill="1" applyBorder="1"/>
    <xf numFmtId="3" fontId="8" fillId="0" borderId="10" xfId="0" applyNumberFormat="1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right"/>
    </xf>
    <xf numFmtId="9" fontId="40" fillId="0" borderId="10" xfId="0" applyNumberFormat="1" applyFont="1" applyFill="1" applyBorder="1"/>
    <xf numFmtId="0" fontId="2" fillId="0" borderId="16" xfId="0" applyFont="1" applyFill="1" applyBorder="1"/>
    <xf numFmtId="9" fontId="2" fillId="0" borderId="13" xfId="0" applyNumberFormat="1" applyFont="1" applyFill="1" applyBorder="1"/>
    <xf numFmtId="3" fontId="6" fillId="0" borderId="16" xfId="57" applyNumberFormat="1" applyFont="1" applyFill="1" applyBorder="1" applyAlignment="1">
      <alignment/>
      <protection/>
    </xf>
    <xf numFmtId="3" fontId="2" fillId="0" borderId="30" xfId="57" applyNumberFormat="1" applyFont="1" applyFill="1" applyBorder="1" applyAlignment="1">
      <alignment horizontal="right"/>
      <protection/>
    </xf>
    <xf numFmtId="3" fontId="2" fillId="0" borderId="15" xfId="55" applyNumberFormat="1" applyFont="1" applyFill="1" applyBorder="1" applyAlignment="1">
      <alignment/>
      <protection/>
    </xf>
    <xf numFmtId="3" fontId="3" fillId="0" borderId="11" xfId="55" applyNumberFormat="1" applyFont="1" applyFill="1" applyBorder="1" applyAlignment="1">
      <alignment/>
      <protection/>
    </xf>
    <xf numFmtId="3" fontId="2" fillId="0" borderId="14" xfId="55" applyNumberFormat="1" applyFont="1" applyFill="1" applyBorder="1" applyAlignment="1">
      <alignment/>
      <protection/>
    </xf>
    <xf numFmtId="3" fontId="3" fillId="0" borderId="15" xfId="55" applyNumberFormat="1" applyFont="1" applyFill="1" applyBorder="1" applyAlignment="1">
      <alignment/>
      <protection/>
    </xf>
    <xf numFmtId="3" fontId="2" fillId="0" borderId="27" xfId="55" applyNumberFormat="1" applyFont="1" applyFill="1" applyBorder="1" applyAlignment="1">
      <alignment/>
      <protection/>
    </xf>
    <xf numFmtId="3" fontId="3" fillId="0" borderId="13" xfId="55" applyNumberFormat="1" applyFont="1" applyFill="1" applyBorder="1" applyAlignment="1">
      <alignment/>
      <protection/>
    </xf>
    <xf numFmtId="3" fontId="2" fillId="0" borderId="28" xfId="55" applyNumberFormat="1" applyFont="1" applyFill="1" applyBorder="1" applyAlignment="1">
      <alignment/>
      <protection/>
    </xf>
    <xf numFmtId="3" fontId="3" fillId="0" borderId="32" xfId="55" applyNumberFormat="1" applyFont="1" applyFill="1" applyBorder="1" applyAlignment="1">
      <alignment/>
      <protection/>
    </xf>
    <xf numFmtId="3" fontId="3" fillId="0" borderId="14" xfId="55" applyNumberFormat="1" applyFont="1" applyFill="1" applyBorder="1" applyAlignment="1">
      <alignment/>
      <protection/>
    </xf>
    <xf numFmtId="3" fontId="3" fillId="0" borderId="16" xfId="55" applyNumberFormat="1" applyFont="1" applyFill="1" applyBorder="1" applyAlignment="1">
      <alignment/>
      <protection/>
    </xf>
    <xf numFmtId="3" fontId="2" fillId="0" borderId="15" xfId="55" applyNumberFormat="1" applyFont="1" applyFill="1" applyBorder="1" applyAlignment="1">
      <alignment vertical="center"/>
      <protection/>
    </xf>
    <xf numFmtId="0" fontId="5" fillId="0" borderId="26" xfId="0" applyFont="1" applyFill="1" applyBorder="1"/>
    <xf numFmtId="3" fontId="5" fillId="0" borderId="18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5" fillId="0" borderId="30" xfId="0" applyFont="1" applyFill="1" applyBorder="1"/>
    <xf numFmtId="3" fontId="5" fillId="0" borderId="14" xfId="0" applyNumberFormat="1" applyFont="1" applyFill="1" applyBorder="1" applyAlignment="1">
      <alignment horizontal="right"/>
    </xf>
    <xf numFmtId="9" fontId="3" fillId="0" borderId="15" xfId="0" applyNumberFormat="1" applyFont="1" applyFill="1" applyBorder="1" applyAlignment="1">
      <alignment horizontal="right" vertical="center"/>
    </xf>
    <xf numFmtId="3" fontId="40" fillId="0" borderId="11" xfId="0" applyNumberFormat="1" applyFont="1" applyFill="1" applyBorder="1" applyAlignment="1">
      <alignment horizontal="right"/>
    </xf>
    <xf numFmtId="3" fontId="41" fillId="0" borderId="11" xfId="0" applyNumberFormat="1" applyFont="1" applyFill="1" applyBorder="1" applyAlignment="1">
      <alignment horizontal="center"/>
    </xf>
    <xf numFmtId="3" fontId="40" fillId="0" borderId="21" xfId="0" applyNumberFormat="1" applyFont="1" applyFill="1" applyBorder="1" applyAlignment="1">
      <alignment horizontal="right"/>
    </xf>
    <xf numFmtId="3" fontId="40" fillId="0" borderId="12" xfId="0" applyNumberFormat="1" applyFont="1" applyFill="1" applyBorder="1" applyAlignment="1">
      <alignment horizontal="right"/>
    </xf>
    <xf numFmtId="0" fontId="40" fillId="14" borderId="26" xfId="0" applyFont="1" applyFill="1" applyBorder="1"/>
    <xf numFmtId="3" fontId="40" fillId="14" borderId="11" xfId="0" applyNumberFormat="1" applyFont="1" applyFill="1" applyBorder="1" applyAlignment="1">
      <alignment horizontal="right"/>
    </xf>
    <xf numFmtId="9" fontId="3" fillId="14" borderId="11" xfId="0" applyNumberFormat="1" applyFont="1" applyFill="1" applyBorder="1" applyAlignment="1">
      <alignment horizontal="right" vertical="center"/>
    </xf>
    <xf numFmtId="3" fontId="41" fillId="14" borderId="11" xfId="0" applyNumberFormat="1" applyFont="1" applyFill="1" applyBorder="1" applyAlignment="1">
      <alignment horizontal="center"/>
    </xf>
    <xf numFmtId="0" fontId="40" fillId="14" borderId="23" xfId="0" applyFont="1" applyFill="1" applyBorder="1"/>
    <xf numFmtId="3" fontId="40" fillId="14" borderId="12" xfId="0" applyNumberFormat="1" applyFont="1" applyFill="1" applyBorder="1" applyAlignment="1">
      <alignment horizontal="right"/>
    </xf>
    <xf numFmtId="3" fontId="41" fillId="14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3" fontId="7" fillId="0" borderId="11" xfId="63" applyNumberFormat="1" applyFont="1" applyFill="1" applyBorder="1" applyAlignment="1">
      <alignment horizontal="right"/>
    </xf>
    <xf numFmtId="3" fontId="3" fillId="14" borderId="10" xfId="64" applyNumberFormat="1" applyFont="1" applyFill="1" applyBorder="1">
      <alignment/>
      <protection/>
    </xf>
    <xf numFmtId="0" fontId="3" fillId="0" borderId="0" xfId="0" applyFont="1" applyAlignment="1">
      <alignment horizontal="left" vertical="center"/>
    </xf>
    <xf numFmtId="0" fontId="7" fillId="0" borderId="13" xfId="0" applyFont="1" applyFill="1" applyBorder="1"/>
    <xf numFmtId="9" fontId="2" fillId="14" borderId="12" xfId="0" applyNumberFormat="1" applyFont="1" applyFill="1" applyBorder="1"/>
    <xf numFmtId="9" fontId="8" fillId="0" borderId="12" xfId="63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3" fontId="3" fillId="0" borderId="30" xfId="57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right"/>
    </xf>
    <xf numFmtId="0" fontId="3" fillId="14" borderId="16" xfId="57" applyFont="1" applyFill="1" applyBorder="1" applyAlignment="1">
      <alignment/>
      <protection/>
    </xf>
    <xf numFmtId="3" fontId="2" fillId="14" borderId="16" xfId="57" applyNumberFormat="1" applyFont="1" applyFill="1" applyBorder="1" applyAlignment="1">
      <alignment horizontal="right" vertical="center"/>
      <protection/>
    </xf>
    <xf numFmtId="0" fontId="3" fillId="14" borderId="16" xfId="57" applyFont="1" applyFill="1" applyBorder="1" applyAlignment="1">
      <alignment/>
      <protection/>
    </xf>
    <xf numFmtId="3" fontId="2" fillId="14" borderId="15" xfId="57" applyNumberFormat="1" applyFont="1" applyFill="1" applyBorder="1" applyAlignment="1">
      <alignment horizontal="right" vertical="center"/>
      <protection/>
    </xf>
    <xf numFmtId="0" fontId="2" fillId="14" borderId="15" xfId="57" applyFont="1" applyFill="1" applyBorder="1" applyAlignment="1">
      <alignment/>
      <protection/>
    </xf>
    <xf numFmtId="3" fontId="2" fillId="14" borderId="15" xfId="57" applyNumberFormat="1" applyFont="1" applyFill="1" applyBorder="1" applyAlignment="1">
      <alignment horizontal="right"/>
      <protection/>
    </xf>
    <xf numFmtId="3" fontId="35" fillId="0" borderId="17" xfId="54" applyNumberFormat="1" applyFont="1" applyFill="1" applyBorder="1">
      <alignment/>
      <protection/>
    </xf>
    <xf numFmtId="3" fontId="35" fillId="0" borderId="44" xfId="54" applyNumberFormat="1" applyFont="1" applyFill="1" applyBorder="1">
      <alignment/>
      <protection/>
    </xf>
    <xf numFmtId="3" fontId="35" fillId="0" borderId="35" xfId="54" applyNumberFormat="1" applyFont="1" applyFill="1" applyBorder="1" applyAlignment="1">
      <alignment vertical="center"/>
      <protection/>
    </xf>
    <xf numFmtId="3" fontId="35" fillId="0" borderId="0" xfId="54" applyNumberFormat="1" applyFont="1" applyFill="1" applyBorder="1">
      <alignment/>
      <protection/>
    </xf>
    <xf numFmtId="3" fontId="2" fillId="14" borderId="15" xfId="57" applyNumberFormat="1" applyFont="1" applyFill="1" applyBorder="1" applyAlignment="1">
      <alignment horizontal="right"/>
      <protection/>
    </xf>
    <xf numFmtId="9" fontId="3" fillId="0" borderId="14" xfId="57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/>
    <xf numFmtId="3" fontId="2" fillId="14" borderId="15" xfId="57" applyNumberFormat="1" applyFont="1" applyFill="1" applyBorder="1" applyAlignment="1">
      <alignment/>
      <protection/>
    </xf>
    <xf numFmtId="3" fontId="8" fillId="0" borderId="12" xfId="0" applyNumberFormat="1" applyFont="1" applyFill="1" applyBorder="1" applyAlignment="1">
      <alignment horizontal="right"/>
    </xf>
    <xf numFmtId="3" fontId="8" fillId="14" borderId="15" xfId="0" applyNumberFormat="1" applyFont="1" applyFill="1" applyBorder="1" applyAlignment="1">
      <alignment horizontal="right"/>
    </xf>
    <xf numFmtId="3" fontId="2" fillId="14" borderId="14" xfId="0" applyNumberFormat="1" applyFont="1" applyFill="1" applyBorder="1" applyAlignment="1">
      <alignment horizontal="right"/>
    </xf>
    <xf numFmtId="3" fontId="40" fillId="0" borderId="11" xfId="63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 vertical="center"/>
    </xf>
    <xf numFmtId="0" fontId="7" fillId="0" borderId="41" xfId="54" applyFont="1" applyBorder="1">
      <alignment/>
      <protection/>
    </xf>
    <xf numFmtId="3" fontId="35" fillId="0" borderId="41" xfId="54" applyNumberFormat="1" applyFont="1" applyFill="1" applyBorder="1">
      <alignment/>
      <protection/>
    </xf>
    <xf numFmtId="0" fontId="35" fillId="0" borderId="0" xfId="54" applyFont="1" applyFill="1" applyBorder="1">
      <alignment/>
      <protection/>
    </xf>
    <xf numFmtId="0" fontId="35" fillId="0" borderId="51" xfId="54" applyFont="1" applyFill="1" applyBorder="1">
      <alignment/>
      <protection/>
    </xf>
    <xf numFmtId="0" fontId="35" fillId="0" borderId="41" xfId="54" applyFont="1" applyFill="1" applyBorder="1">
      <alignment/>
      <protection/>
    </xf>
    <xf numFmtId="3" fontId="34" fillId="0" borderId="0" xfId="54" applyNumberFormat="1" applyFont="1" applyFill="1" applyBorder="1">
      <alignment/>
      <protection/>
    </xf>
    <xf numFmtId="3" fontId="35" fillId="0" borderId="51" xfId="54" applyNumberFormat="1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3" fontId="3" fillId="0" borderId="16" xfId="57" applyNumberFormat="1" applyFont="1" applyFill="1" applyBorder="1" applyAlignment="1">
      <alignment horizontal="right"/>
      <protection/>
    </xf>
    <xf numFmtId="0" fontId="2" fillId="14" borderId="16" xfId="57" applyFont="1" applyFill="1" applyBorder="1" applyAlignment="1">
      <alignment horizontal="right"/>
      <protection/>
    </xf>
    <xf numFmtId="0" fontId="3" fillId="14" borderId="16" xfId="57" applyFont="1" applyFill="1" applyBorder="1" applyAlignment="1">
      <alignment horizontal="right"/>
      <protection/>
    </xf>
    <xf numFmtId="3" fontId="3" fillId="0" borderId="30" xfId="57" applyNumberFormat="1" applyFont="1" applyFill="1" applyBorder="1" applyAlignment="1">
      <alignment/>
      <protection/>
    </xf>
    <xf numFmtId="3" fontId="2" fillId="0" borderId="30" xfId="57" applyNumberFormat="1" applyFont="1" applyFill="1" applyBorder="1" applyAlignment="1">
      <alignment/>
      <protection/>
    </xf>
    <xf numFmtId="3" fontId="2" fillId="0" borderId="31" xfId="57" applyNumberFormat="1" applyFont="1" applyFill="1" applyBorder="1" applyAlignment="1">
      <alignment horizontal="right"/>
      <protection/>
    </xf>
    <xf numFmtId="3" fontId="2" fillId="0" borderId="31" xfId="57" applyNumberFormat="1" applyFont="1" applyFill="1" applyBorder="1" applyAlignment="1">
      <alignment horizontal="right" vertical="center"/>
      <protection/>
    </xf>
    <xf numFmtId="3" fontId="3" fillId="0" borderId="31" xfId="57" applyNumberFormat="1" applyFont="1" applyFill="1" applyBorder="1" applyAlignment="1">
      <alignment horizontal="right" vertical="center"/>
      <protection/>
    </xf>
    <xf numFmtId="3" fontId="2" fillId="0" borderId="31" xfId="57" applyNumberFormat="1" applyFont="1" applyFill="1" applyBorder="1" applyAlignment="1">
      <alignment horizontal="right" vertical="center"/>
      <protection/>
    </xf>
    <xf numFmtId="3" fontId="2" fillId="0" borderId="30" xfId="57" applyNumberFormat="1" applyFont="1" applyFill="1" applyBorder="1" applyAlignment="1">
      <alignment horizontal="right" vertical="center"/>
      <protection/>
    </xf>
    <xf numFmtId="3" fontId="5" fillId="0" borderId="23" xfId="57" applyNumberFormat="1" applyFont="1" applyFill="1" applyBorder="1" applyAlignment="1">
      <alignment horizontal="right"/>
      <protection/>
    </xf>
    <xf numFmtId="9" fontId="3" fillId="0" borderId="13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/>
    <xf numFmtId="3" fontId="2" fillId="0" borderId="15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/>
    <xf numFmtId="3" fontId="3" fillId="0" borderId="13" xfId="55" applyNumberFormat="1" applyFont="1" applyFill="1" applyBorder="1" applyAlignment="1">
      <alignment/>
      <protection/>
    </xf>
    <xf numFmtId="0" fontId="47" fillId="0" borderId="0" xfId="55" applyFont="1" applyAlignment="1">
      <alignment/>
      <protection/>
    </xf>
    <xf numFmtId="3" fontId="2" fillId="0" borderId="31" xfId="57" applyNumberFormat="1" applyFont="1" applyFill="1" applyBorder="1" applyAlignment="1">
      <alignment horizontal="right"/>
      <protection/>
    </xf>
    <xf numFmtId="3" fontId="3" fillId="0" borderId="16" xfId="57" applyNumberFormat="1" applyFont="1" applyFill="1" applyBorder="1" applyAlignment="1">
      <alignment horizontal="right" vertical="center"/>
      <protection/>
    </xf>
    <xf numFmtId="3" fontId="3" fillId="0" borderId="11" xfId="55" applyNumberFormat="1" applyFont="1" applyFill="1" applyBorder="1" applyAlignment="1">
      <alignment/>
      <protection/>
    </xf>
    <xf numFmtId="3" fontId="3" fillId="0" borderId="10" xfId="55" applyNumberFormat="1" applyFont="1" applyFill="1" applyBorder="1" applyAlignment="1">
      <alignment/>
      <protection/>
    </xf>
    <xf numFmtId="9" fontId="2" fillId="0" borderId="12" xfId="55" applyNumberFormat="1" applyFont="1" applyFill="1" applyBorder="1" applyAlignment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center"/>
    </xf>
    <xf numFmtId="3" fontId="4" fillId="0" borderId="11" xfId="55" applyNumberFormat="1" applyFont="1" applyFill="1" applyBorder="1" applyAlignment="1">
      <alignment/>
      <protection/>
    </xf>
    <xf numFmtId="3" fontId="2" fillId="0" borderId="21" xfId="55" applyNumberFormat="1" applyFont="1" applyFill="1" applyBorder="1" applyAlignment="1">
      <alignment/>
      <protection/>
    </xf>
    <xf numFmtId="3" fontId="3" fillId="0" borderId="10" xfId="55" applyNumberFormat="1" applyFont="1" applyFill="1" applyBorder="1" applyAlignment="1">
      <alignment/>
      <protection/>
    </xf>
    <xf numFmtId="3" fontId="9" fillId="0" borderId="14" xfId="55" applyNumberFormat="1" applyFont="1" applyFill="1" applyBorder="1" applyAlignment="1">
      <alignment/>
      <protection/>
    </xf>
    <xf numFmtId="3" fontId="2" fillId="0" borderId="13" xfId="55" applyNumberFormat="1" applyFont="1" applyFill="1" applyBorder="1" applyAlignment="1">
      <alignment/>
      <protection/>
    </xf>
    <xf numFmtId="3" fontId="3" fillId="0" borderId="21" xfId="55" applyNumberFormat="1" applyFont="1" applyFill="1" applyBorder="1" applyAlignment="1">
      <alignment/>
      <protection/>
    </xf>
    <xf numFmtId="0" fontId="3" fillId="0" borderId="10" xfId="55" applyFont="1" applyFill="1" applyBorder="1" applyAlignment="1">
      <alignment/>
      <protection/>
    </xf>
    <xf numFmtId="3" fontId="4" fillId="0" borderId="14" xfId="55" applyNumberFormat="1" applyFont="1" applyFill="1" applyBorder="1" applyAlignment="1">
      <alignment/>
      <protection/>
    </xf>
    <xf numFmtId="3" fontId="2" fillId="0" borderId="14" xfId="55" applyNumberFormat="1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/>
      <protection/>
    </xf>
    <xf numFmtId="0" fontId="3" fillId="0" borderId="15" xfId="55" applyFont="1" applyFill="1" applyBorder="1" applyAlignment="1">
      <alignment/>
      <protection/>
    </xf>
    <xf numFmtId="3" fontId="4" fillId="0" borderId="31" xfId="55" applyNumberFormat="1" applyFont="1" applyFill="1" applyBorder="1" applyAlignment="1">
      <alignment/>
      <protection/>
    </xf>
    <xf numFmtId="3" fontId="2" fillId="0" borderId="31" xfId="55" applyNumberFormat="1" applyFont="1" applyFill="1" applyBorder="1" applyAlignment="1">
      <alignment/>
      <protection/>
    </xf>
    <xf numFmtId="3" fontId="3" fillId="0" borderId="25" xfId="55" applyNumberFormat="1" applyFont="1" applyFill="1" applyBorder="1" applyAlignment="1">
      <alignment/>
      <protection/>
    </xf>
    <xf numFmtId="3" fontId="2" fillId="0" borderId="10" xfId="55" applyNumberFormat="1" applyFont="1" applyFill="1" applyBorder="1" applyAlignment="1">
      <alignment vertical="center"/>
      <protection/>
    </xf>
    <xf numFmtId="3" fontId="4" fillId="0" borderId="15" xfId="55" applyNumberFormat="1" applyFont="1" applyFill="1" applyBorder="1" applyAlignment="1">
      <alignment/>
      <protection/>
    </xf>
    <xf numFmtId="3" fontId="4" fillId="0" borderId="10" xfId="55" applyNumberFormat="1" applyFont="1" applyFill="1" applyBorder="1" applyAlignment="1">
      <alignment/>
      <protection/>
    </xf>
    <xf numFmtId="3" fontId="2" fillId="0" borderId="12" xfId="55" applyNumberFormat="1" applyFont="1" applyFill="1" applyBorder="1" applyAlignment="1">
      <alignment/>
      <protection/>
    </xf>
    <xf numFmtId="3" fontId="5" fillId="14" borderId="10" xfId="0" applyNumberFormat="1" applyFont="1" applyFill="1" applyBorder="1" applyAlignment="1">
      <alignment horizontal="right"/>
    </xf>
    <xf numFmtId="3" fontId="5" fillId="14" borderId="14" xfId="0" applyNumberFormat="1" applyFont="1" applyFill="1" applyBorder="1" applyAlignment="1">
      <alignment horizontal="right"/>
    </xf>
    <xf numFmtId="3" fontId="40" fillId="14" borderId="21" xfId="0" applyNumberFormat="1" applyFont="1" applyFill="1" applyBorder="1" applyAlignment="1">
      <alignment horizontal="right"/>
    </xf>
    <xf numFmtId="3" fontId="5" fillId="14" borderId="11" xfId="0" applyNumberFormat="1" applyFont="1" applyFill="1" applyBorder="1" applyAlignment="1">
      <alignment horizontal="right"/>
    </xf>
    <xf numFmtId="3" fontId="5" fillId="14" borderId="14" xfId="0" applyNumberFormat="1" applyFont="1" applyFill="1" applyBorder="1" applyAlignment="1">
      <alignment horizontal="right"/>
    </xf>
    <xf numFmtId="49" fontId="2" fillId="0" borderId="13" xfId="55" applyNumberFormat="1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horizontal="center" vertical="center" wrapText="1"/>
    </xf>
    <xf numFmtId="0" fontId="11" fillId="0" borderId="0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13" xfId="54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horizontal="center" vertical="center"/>
    </xf>
    <xf numFmtId="49" fontId="2" fillId="0" borderId="27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Alignment="1">
      <alignment/>
      <protection/>
    </xf>
    <xf numFmtId="0" fontId="0" fillId="0" borderId="0" xfId="0" applyAlignment="1">
      <alignment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/>
      <protection/>
    </xf>
    <xf numFmtId="0" fontId="0" fillId="0" borderId="11" xfId="55" applyBorder="1" applyAlignment="1">
      <alignment horizontal="center" vertical="center"/>
      <protection/>
    </xf>
    <xf numFmtId="3" fontId="2" fillId="0" borderId="13" xfId="55" applyNumberFormat="1" applyFont="1" applyBorder="1" applyAlignment="1">
      <alignment horizontal="center" vertical="center"/>
      <protection/>
    </xf>
    <xf numFmtId="49" fontId="2" fillId="0" borderId="13" xfId="55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0" xfId="55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2" fillId="0" borderId="0" xfId="57" applyNumberFormat="1" applyFont="1" applyBorder="1" applyAlignment="1">
      <alignment horizontal="center"/>
      <protection/>
    </xf>
    <xf numFmtId="2" fontId="0" fillId="0" borderId="0" xfId="57" applyNumberFormat="1" applyAlignment="1">
      <alignment/>
      <protection/>
    </xf>
    <xf numFmtId="0" fontId="0" fillId="0" borderId="0" xfId="57" applyAlignment="1">
      <alignment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1" fillId="0" borderId="10" xfId="53" applyFill="1" applyBorder="1" applyAlignment="1">
      <alignment horizontal="center" vertical="center"/>
      <protection/>
    </xf>
    <xf numFmtId="0" fontId="1" fillId="0" borderId="14" xfId="53" applyFill="1" applyBorder="1" applyAlignment="1">
      <alignment horizontal="center" vertical="center"/>
      <protection/>
    </xf>
    <xf numFmtId="0" fontId="0" fillId="0" borderId="10" xfId="55" applyFill="1" applyBorder="1" applyAlignment="1">
      <alignment horizontal="center" vertical="center" wrapText="1"/>
      <protection/>
    </xf>
    <xf numFmtId="0" fontId="0" fillId="0" borderId="14" xfId="57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9" fontId="2" fillId="0" borderId="14" xfId="55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8" fillId="0" borderId="13" xfId="5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" xfId="45"/>
    <cellStyle name="Figyelmeztetés" xfId="46"/>
    <cellStyle name="Hivatkozott cella" xfId="47"/>
    <cellStyle name="Jegyzet" xfId="48"/>
    <cellStyle name="Jó" xfId="49"/>
    <cellStyle name="Kimenet" xfId="50"/>
    <cellStyle name="Magyarázó szöveg" xfId="51"/>
    <cellStyle name="Normál 2" xfId="52"/>
    <cellStyle name="Normál_2.sz. melléklet javított" xfId="53"/>
    <cellStyle name="Normál_2011müködésifelhalmérlegfebr17" xfId="54"/>
    <cellStyle name="Normál_2012éviköltségvetésjan19este" xfId="55"/>
    <cellStyle name="Normál_2012éviköltségvetésjan19este 2" xfId="56"/>
    <cellStyle name="Normál_2014.évi költségvetés tervezés jan11" xfId="57"/>
    <cellStyle name="Normal_KARSZJ3" xfId="58"/>
    <cellStyle name="Összesen" xfId="59"/>
    <cellStyle name="Rossz" xfId="60"/>
    <cellStyle name="Semleges" xfId="61"/>
    <cellStyle name="Számítás" xfId="62"/>
    <cellStyle name="Százalék" xfId="63"/>
    <cellStyle name="Normál_2006évimozgástáblá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3" name="Button 1" hidden="1">
              <a:extLst xmlns:a="http://schemas.openxmlformats.org/drawingml/2006/main"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4" name="Button 2" hidden="1">
              <a:extLst xmlns:a="http://schemas.openxmlformats.org/drawingml/2006/main"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5" name="Button 3" hidden="1">
              <a:extLst xmlns:a="http://schemas.openxmlformats.org/drawingml/2006/main"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6" name="Button 4" hidden="1">
              <a:extLst xmlns:a="http://schemas.openxmlformats.org/drawingml/2006/main"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7" name="Button 5" hidden="1">
              <a:extLst xmlns:a="http://schemas.openxmlformats.org/drawingml/2006/main"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8" name="Button 6" hidden="1">
              <a:extLst xmlns:a="http://schemas.openxmlformats.org/drawingml/2006/main"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9" name="Button 7" hidden="1">
              <a:extLst xmlns:a="http://schemas.openxmlformats.org/drawingml/2006/main"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0" name="Button 8" hidden="1">
              <a:extLst xmlns:a="http://schemas.openxmlformats.org/drawingml/2006/main"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1" name="Button 9" hidden="1">
              <a:extLst xmlns:a="http://schemas.openxmlformats.org/drawingml/2006/main"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2" name="Button 10" hidden="1">
              <a:extLst xmlns:a="http://schemas.openxmlformats.org/drawingml/2006/main">
                <a:ext uri="{63B3BB69-23CF-44E3-9099-C40C66FF867C}">
                  <a14:compatExt spid="_x0000_s3380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3" name="Button 11" hidden="1">
              <a:extLst xmlns:a="http://schemas.openxmlformats.org/drawingml/2006/main">
                <a:ext uri="{63B3BB69-23CF-44E3-9099-C40C66FF867C}">
                  <a14:compatExt spid="_x0000_s3380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4" name="Button 12" hidden="1">
              <a:extLst xmlns:a="http://schemas.openxmlformats.org/drawingml/2006/main">
                <a:ext uri="{63B3BB69-23CF-44E3-9099-C40C66FF867C}">
                  <a14:compatExt spid="_x0000_s3380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5" name="Button 13" hidden="1">
              <a:extLst xmlns:a="http://schemas.openxmlformats.org/drawingml/2006/main"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6" name="Button 14" hidden="1">
              <a:extLst xmlns:a="http://schemas.openxmlformats.org/drawingml/2006/main"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7" name="Button 15" hidden="1">
              <a:extLst xmlns:a="http://schemas.openxmlformats.org/drawingml/2006/main">
                <a:ext uri="{63B3BB69-23CF-44E3-9099-C40C66FF867C}">
                  <a14:compatExt spid="_x0000_s3380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8" name="Button 16" hidden="1">
              <a:extLst xmlns:a="http://schemas.openxmlformats.org/drawingml/2006/main">
                <a:ext uri="{63B3BB69-23CF-44E3-9099-C40C66FF867C}">
                  <a14:compatExt spid="_x0000_s3380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1</xdr:col>
          <xdr:colOff>28575</xdr:colOff>
          <xdr:row>0</xdr:row>
          <xdr:rowOff>0</xdr:rowOff>
        </xdr:to>
        <xdr:sp macro="" textlink="">
          <xdr:nvSpPr>
            <xdr:cNvPr id="17409" name="Button 1" hidden="1">
              <a:extLst xmlns:a="http://schemas.openxmlformats.org/drawingml/2006/main"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247650</xdr:colOff>
          <xdr:row>0</xdr:row>
          <xdr:rowOff>0</xdr:rowOff>
        </xdr:from>
        <xdr:to>
          <xdr:col>1</xdr:col>
          <xdr:colOff>276225</xdr:colOff>
          <xdr:row>0</xdr:row>
          <xdr:rowOff>0</xdr:rowOff>
        </xdr:to>
        <xdr:sp macro="" textlink="">
          <xdr:nvSpPr>
            <xdr:cNvPr id="17410" name="Button 2" hidden="1">
              <a:extLst xmlns:a="http://schemas.openxmlformats.org/drawingml/2006/main"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67\sys\Documents%20and%20Settings\FerencZsoltE\Asztal\Szakmai_ig&#233;nye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6" Type="http://schemas.openxmlformats.org/officeDocument/2006/relationships/ctrlProp" Target="../ctrlProps/ctrlProp13.xml" /><Relationship Id="rId4" Type="http://schemas.openxmlformats.org/officeDocument/2006/relationships/ctrlProp" Target="../ctrlProps/ctrlProp1.xml" /><Relationship Id="rId19" Type="http://schemas.openxmlformats.org/officeDocument/2006/relationships/ctrlProp" Target="../ctrlProps/ctrlProp16.xml" /><Relationship Id="rId7" Type="http://schemas.openxmlformats.org/officeDocument/2006/relationships/ctrlProp" Target="../ctrlProps/ctrlProp4.xml" /><Relationship Id="rId17" Type="http://schemas.openxmlformats.org/officeDocument/2006/relationships/ctrlProp" Target="../ctrlProps/ctrlProp14.xml" /><Relationship Id="rId15" Type="http://schemas.openxmlformats.org/officeDocument/2006/relationships/ctrlProp" Target="../ctrlProps/ctrlProp12.xml" /><Relationship Id="rId13" Type="http://schemas.openxmlformats.org/officeDocument/2006/relationships/ctrlProp" Target="../ctrlProps/ctrlProp10.xml" /><Relationship Id="rId11" Type="http://schemas.openxmlformats.org/officeDocument/2006/relationships/ctrlProp" Target="../ctrlProps/ctrlProp8.xml" /><Relationship Id="rId14" Type="http://schemas.openxmlformats.org/officeDocument/2006/relationships/ctrlProp" Target="../ctrlProps/ctrlProp11.xml" /><Relationship Id="rId18" Type="http://schemas.openxmlformats.org/officeDocument/2006/relationships/ctrlProp" Target="../ctrlProps/ctrlProp15.xml" /><Relationship Id="rId10" Type="http://schemas.openxmlformats.org/officeDocument/2006/relationships/ctrlProp" Target="../ctrlProps/ctrlProp7.xml" /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2" Type="http://schemas.openxmlformats.org/officeDocument/2006/relationships/ctrlProp" Target="../ctrlProps/ctrlProp9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8.xml" /><Relationship Id="rId4" Type="http://schemas.openxmlformats.org/officeDocument/2006/relationships/ctrlProp" Target="../ctrlProps/ctrlProp17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="99" zoomScaleNormal="99" zoomScaleSheetLayoutView="100" workbookViewId="0" topLeftCell="A28">
      <selection activeCell="F43" sqref="F43"/>
    </sheetView>
  </sheetViews>
  <sheetFormatPr defaultColWidth="9.125" defaultRowHeight="12.75"/>
  <cols>
    <col min="1" max="1" width="60.25390625" style="591" customWidth="1"/>
    <col min="2" max="5" width="13.00390625" style="591" customWidth="1"/>
    <col min="6" max="6" width="56.125" style="591" customWidth="1"/>
    <col min="7" max="7" width="11.875" style="591" customWidth="1"/>
    <col min="8" max="8" width="11.875" style="88" customWidth="1"/>
    <col min="9" max="10" width="12.00390625" style="88" customWidth="1"/>
    <col min="11" max="16384" width="9.125" style="88" customWidth="1"/>
  </cols>
  <sheetData>
    <row r="1" spans="1:6" ht="12.75">
      <c r="A1" s="1101" t="s">
        <v>71</v>
      </c>
      <c r="B1" s="1101"/>
      <c r="C1" s="1101"/>
      <c r="D1" s="1101"/>
      <c r="E1" s="1101"/>
      <c r="F1" s="1101"/>
    </row>
    <row r="2" spans="1:6" ht="12.75" customHeight="1">
      <c r="A2" s="1100" t="s">
        <v>72</v>
      </c>
      <c r="B2" s="1100"/>
      <c r="C2" s="1100"/>
      <c r="D2" s="1100"/>
      <c r="E2" s="1100"/>
      <c r="F2" s="1100"/>
    </row>
    <row r="3" spans="1:10" ht="12.75" customHeight="1">
      <c r="A3" s="808"/>
      <c r="B3" s="808"/>
      <c r="C3" s="808"/>
      <c r="D3" s="808"/>
      <c r="E3" s="808"/>
      <c r="F3" s="808"/>
      <c r="G3" s="809"/>
      <c r="H3" s="809"/>
      <c r="I3" s="809"/>
      <c r="J3" s="809" t="s">
        <v>479</v>
      </c>
    </row>
    <row r="4" spans="1:10" ht="12.75" customHeight="1">
      <c r="A4" s="1102" t="s">
        <v>246</v>
      </c>
      <c r="B4" s="1098" t="s">
        <v>669</v>
      </c>
      <c r="C4" s="1098" t="s">
        <v>717</v>
      </c>
      <c r="D4" s="1098" t="s">
        <v>726</v>
      </c>
      <c r="E4" s="1098" t="s">
        <v>728</v>
      </c>
      <c r="F4" s="1102" t="s">
        <v>247</v>
      </c>
      <c r="G4" s="1098" t="s">
        <v>669</v>
      </c>
      <c r="H4" s="1098" t="s">
        <v>717</v>
      </c>
      <c r="I4" s="1098" t="s">
        <v>726</v>
      </c>
      <c r="J4" s="1098" t="s">
        <v>728</v>
      </c>
    </row>
    <row r="5" spans="1:10" ht="24.75" customHeight="1" thickBot="1">
      <c r="A5" s="1103"/>
      <c r="B5" s="1099"/>
      <c r="C5" s="1104"/>
      <c r="D5" s="1104"/>
      <c r="E5" s="1104"/>
      <c r="F5" s="1103"/>
      <c r="G5" s="1099"/>
      <c r="H5" s="1099"/>
      <c r="I5" s="1099"/>
      <c r="J5" s="1099"/>
    </row>
    <row r="6" spans="1:10" s="139" customFormat="1" ht="12.75" thickTop="1">
      <c r="A6" s="810"/>
      <c r="B6" s="811"/>
      <c r="C6" s="811"/>
      <c r="D6" s="811"/>
      <c r="E6" s="811"/>
      <c r="F6" s="812" t="s">
        <v>248</v>
      </c>
      <c r="G6" s="596">
        <f>SUM('1c.mell '!C129)</f>
        <v>6364446</v>
      </c>
      <c r="H6" s="596">
        <f>SUM('1c.mell '!D129)</f>
        <v>6536737</v>
      </c>
      <c r="I6" s="596">
        <f>SUM('1c.mell '!E129)</f>
        <v>6647948</v>
      </c>
      <c r="J6" s="596">
        <f>SUM('1c.mell '!F129)</f>
        <v>4579550</v>
      </c>
    </row>
    <row r="7" spans="1:10" s="139" customFormat="1" ht="12">
      <c r="A7" s="636" t="s">
        <v>162</v>
      </c>
      <c r="B7" s="682">
        <f>SUM('1b.mell '!C204)</f>
        <v>3195874</v>
      </c>
      <c r="C7" s="682">
        <f>SUM('1b.mell '!D204)</f>
        <v>3271015</v>
      </c>
      <c r="D7" s="682">
        <f>SUM('1b.mell '!E204)</f>
        <v>3433256</v>
      </c>
      <c r="E7" s="682">
        <f>SUM('1b.mell '!F204)</f>
        <v>2807091</v>
      </c>
      <c r="F7" s="813" t="s">
        <v>291</v>
      </c>
      <c r="G7" s="596">
        <f>SUM('1c.mell '!C130)</f>
        <v>958485</v>
      </c>
      <c r="H7" s="596">
        <f>SUM('1c.mell '!D130)</f>
        <v>1008473</v>
      </c>
      <c r="I7" s="596">
        <f>SUM('1c.mell '!E130)</f>
        <v>1024750</v>
      </c>
      <c r="J7" s="596">
        <f>SUM('1c.mell '!F130)</f>
        <v>670142</v>
      </c>
    </row>
    <row r="8" spans="1:10" s="139" customFormat="1" ht="12">
      <c r="A8" s="636" t="s">
        <v>166</v>
      </c>
      <c r="B8" s="682">
        <f>SUM('1b.mell '!C17)</f>
        <v>0</v>
      </c>
      <c r="C8" s="682">
        <f>SUM('1b.mell '!D17)</f>
        <v>0</v>
      </c>
      <c r="D8" s="682">
        <f>SUM('1b.mell '!E17)</f>
        <v>0</v>
      </c>
      <c r="E8" s="682">
        <f>SUM('1b.mell '!F17)</f>
        <v>0</v>
      </c>
      <c r="F8" s="814" t="s">
        <v>249</v>
      </c>
      <c r="G8" s="815">
        <f>SUM('1c.mell '!C131)</f>
        <v>7782445</v>
      </c>
      <c r="H8" s="815">
        <f>SUM('1c.mell '!D131)</f>
        <v>9003619</v>
      </c>
      <c r="I8" s="815">
        <f>SUM('1c.mell '!E131)</f>
        <v>9314726</v>
      </c>
      <c r="J8" s="815">
        <f>SUM('1c.mell '!F131)</f>
        <v>6010143</v>
      </c>
    </row>
    <row r="9" spans="1:10" s="139" customFormat="1" ht="12">
      <c r="A9" s="636" t="s">
        <v>489</v>
      </c>
      <c r="B9" s="682">
        <f>SUM('1b.mell '!C207)</f>
        <v>1500</v>
      </c>
      <c r="C9" s="682">
        <f>SUM('1b.mell '!D207)</f>
        <v>11046</v>
      </c>
      <c r="D9" s="682">
        <f>SUM('1b.mell '!E207)</f>
        <v>15440</v>
      </c>
      <c r="E9" s="682">
        <f>SUM('1b.mell '!F207)</f>
        <v>13566</v>
      </c>
      <c r="F9" s="814" t="s">
        <v>74</v>
      </c>
      <c r="G9" s="815">
        <f>SUM('1c.mell '!C132)</f>
        <v>184230</v>
      </c>
      <c r="H9" s="815">
        <f>SUM('1c.mell '!D132)</f>
        <v>185116</v>
      </c>
      <c r="I9" s="815">
        <f>SUM('1c.mell '!E132)</f>
        <v>195116</v>
      </c>
      <c r="J9" s="815">
        <f>SUM('1c.mell '!F132)</f>
        <v>110844</v>
      </c>
    </row>
    <row r="10" spans="1:10" s="139" customFormat="1" ht="12">
      <c r="A10" s="636" t="s">
        <v>528</v>
      </c>
      <c r="B10" s="682">
        <f>SUM('1b.mell '!C206)</f>
        <v>19053</v>
      </c>
      <c r="C10" s="682">
        <f>SUM('1b.mell '!D206)</f>
        <v>19053</v>
      </c>
      <c r="D10" s="682">
        <f>SUM('1b.mell '!E206)</f>
        <v>19053</v>
      </c>
      <c r="E10" s="682">
        <f>SUM('1b.mell '!F206)</f>
        <v>19053</v>
      </c>
      <c r="F10" s="814"/>
      <c r="G10" s="815"/>
      <c r="H10" s="815"/>
      <c r="I10" s="815"/>
      <c r="J10" s="815"/>
    </row>
    <row r="11" spans="1:10" s="139" customFormat="1" ht="12">
      <c r="A11" s="636" t="s">
        <v>490</v>
      </c>
      <c r="B11" s="815">
        <f>SUM('1b.mell '!C208)</f>
        <v>0</v>
      </c>
      <c r="C11" s="815">
        <f>SUM('1b.mell '!D208)</f>
        <v>0</v>
      </c>
      <c r="D11" s="682">
        <f>SUM('1b.mell '!E208)</f>
        <v>0</v>
      </c>
      <c r="E11" s="682">
        <f>SUM('1b.mell '!F208)</f>
        <v>0</v>
      </c>
      <c r="F11" s="814" t="s">
        <v>73</v>
      </c>
      <c r="G11" s="815">
        <f>SUM('1c.mell '!C133)</f>
        <v>3360027</v>
      </c>
      <c r="H11" s="815">
        <f>SUM('1c.mell '!D133)</f>
        <v>3462717</v>
      </c>
      <c r="I11" s="815">
        <f>SUM('1c.mell '!E133)</f>
        <v>3333674</v>
      </c>
      <c r="J11" s="815">
        <f>SUM('1c.mell '!F133)</f>
        <v>2418198</v>
      </c>
    </row>
    <row r="12" spans="1:10" s="139" customFormat="1" ht="12">
      <c r="A12" s="421" t="s">
        <v>522</v>
      </c>
      <c r="B12" s="815">
        <f>SUM('1b.mell '!C209)</f>
        <v>13084</v>
      </c>
      <c r="C12" s="815">
        <f>SUM('1b.mell '!D209)</f>
        <v>13084</v>
      </c>
      <c r="D12" s="682">
        <f>SUM('1b.mell '!E209)</f>
        <v>13084</v>
      </c>
      <c r="E12" s="682">
        <f>SUM('1b.mell '!F209)</f>
        <v>6362</v>
      </c>
      <c r="F12" s="816" t="s">
        <v>397</v>
      </c>
      <c r="G12" s="742">
        <f>'6.mell. '!C12</f>
        <v>50846</v>
      </c>
      <c r="H12" s="742">
        <f>'6.mell. '!D12</f>
        <v>24000</v>
      </c>
      <c r="I12" s="742">
        <f>'6.mell. '!E12</f>
        <v>44446</v>
      </c>
      <c r="J12" s="742">
        <f>'6.mell. '!F12</f>
        <v>0</v>
      </c>
    </row>
    <row r="13" spans="1:10" s="139" customFormat="1" ht="12.75" thickBot="1">
      <c r="A13" s="421"/>
      <c r="B13" s="817"/>
      <c r="C13" s="817"/>
      <c r="D13" s="817"/>
      <c r="E13" s="817"/>
      <c r="F13" s="816" t="s">
        <v>545</v>
      </c>
      <c r="G13" s="742">
        <f>'6.mell. '!C14</f>
        <v>209692</v>
      </c>
      <c r="H13" s="742">
        <f>'6.mell. '!D14</f>
        <v>248282</v>
      </c>
      <c r="I13" s="742">
        <f>'6.mell. '!E14</f>
        <v>49282</v>
      </c>
      <c r="J13" s="742">
        <f>'6.mell. '!F14</f>
        <v>0</v>
      </c>
    </row>
    <row r="14" spans="1:10" s="139" customFormat="1" ht="12.75" thickBot="1">
      <c r="A14" s="818" t="s">
        <v>167</v>
      </c>
      <c r="B14" s="819">
        <f>SUM(B7:B13)</f>
        <v>3229511</v>
      </c>
      <c r="C14" s="819">
        <f>SUM(C7:C13)</f>
        <v>3314198</v>
      </c>
      <c r="D14" s="819">
        <f>SUM(D7:D13)</f>
        <v>3480833</v>
      </c>
      <c r="E14" s="819">
        <f>SUM(E7:E13)</f>
        <v>2846072</v>
      </c>
      <c r="F14" s="816"/>
      <c r="G14" s="742"/>
      <c r="H14" s="742"/>
      <c r="I14" s="742"/>
      <c r="J14" s="742"/>
    </row>
    <row r="15" spans="1:10" s="139" customFormat="1" ht="12">
      <c r="A15" s="820" t="s">
        <v>168</v>
      </c>
      <c r="B15" s="821">
        <f>SUM('1b.mell '!C211)</f>
        <v>4411000</v>
      </c>
      <c r="C15" s="821">
        <f>SUM('1b.mell '!D211)</f>
        <v>4411000</v>
      </c>
      <c r="D15" s="821">
        <f>SUM('1b.mell '!E211)</f>
        <v>4411000</v>
      </c>
      <c r="E15" s="821">
        <f>SUM('1b.mell '!F211)</f>
        <v>4410716</v>
      </c>
      <c r="F15" s="816"/>
      <c r="G15" s="742"/>
      <c r="H15" s="742"/>
      <c r="I15" s="742"/>
      <c r="J15" s="742"/>
    </row>
    <row r="16" spans="1:10" s="139" customFormat="1" ht="12.75">
      <c r="A16" s="820" t="s">
        <v>169</v>
      </c>
      <c r="B16" s="596">
        <f>SUM('1b.mell '!C212)</f>
        <v>8645163</v>
      </c>
      <c r="C16" s="596">
        <f>SUM('1b.mell '!D212)</f>
        <v>8645163</v>
      </c>
      <c r="D16" s="596">
        <f>SUM('1b.mell '!E212)</f>
        <v>8651550</v>
      </c>
      <c r="E16" s="596">
        <f>SUM('1b.mell '!F212)</f>
        <v>4729207</v>
      </c>
      <c r="F16" s="822"/>
      <c r="G16" s="742"/>
      <c r="H16" s="742"/>
      <c r="I16" s="742"/>
      <c r="J16" s="742"/>
    </row>
    <row r="17" spans="1:10" s="139" customFormat="1" ht="13.5" thickBot="1">
      <c r="A17" s="823" t="s">
        <v>5</v>
      </c>
      <c r="B17" s="817">
        <f>SUM('1b.mell '!C213)</f>
        <v>703556</v>
      </c>
      <c r="C17" s="817">
        <f>SUM('1b.mell '!D213)</f>
        <v>703556</v>
      </c>
      <c r="D17" s="817">
        <f>SUM('1b.mell '!E213)</f>
        <v>703556</v>
      </c>
      <c r="E17" s="817">
        <f>SUM('1b.mell '!F213)</f>
        <v>782952</v>
      </c>
      <c r="F17" s="822"/>
      <c r="G17" s="742"/>
      <c r="H17" s="742"/>
      <c r="I17" s="742"/>
      <c r="J17" s="742"/>
    </row>
    <row r="18" spans="1:10" s="139" customFormat="1" ht="13.5" thickBot="1">
      <c r="A18" s="824" t="s">
        <v>175</v>
      </c>
      <c r="B18" s="825">
        <f aca="true" t="shared" si="0" ref="B18">SUM(B15:B17)</f>
        <v>13759719</v>
      </c>
      <c r="C18" s="825">
        <f aca="true" t="shared" si="1" ref="C18">SUM(C15:C17)</f>
        <v>13759719</v>
      </c>
      <c r="D18" s="825">
        <f aca="true" t="shared" si="2" ref="D18">SUM(D15:D17)</f>
        <v>13766106</v>
      </c>
      <c r="E18" s="825">
        <f aca="true" t="shared" si="3" ref="E18">SUM(E15:E17)</f>
        <v>9922875</v>
      </c>
      <c r="F18" s="822"/>
      <c r="G18" s="815"/>
      <c r="H18" s="815"/>
      <c r="I18" s="815"/>
      <c r="J18" s="815"/>
    </row>
    <row r="19" spans="1:10" s="139" customFormat="1" ht="12.75">
      <c r="A19" s="826" t="s">
        <v>363</v>
      </c>
      <c r="B19" s="596">
        <f>SUM('1b.mell '!C215)</f>
        <v>0</v>
      </c>
      <c r="C19" s="596">
        <f>SUM('1b.mell '!D215)</f>
        <v>0</v>
      </c>
      <c r="D19" s="596">
        <f>SUM('1b.mell '!E215)</f>
        <v>37</v>
      </c>
      <c r="E19" s="596">
        <f>SUM('1b.mell '!F215)</f>
        <v>62</v>
      </c>
      <c r="F19" s="822"/>
      <c r="G19" s="742"/>
      <c r="H19" s="742"/>
      <c r="I19" s="742"/>
      <c r="J19" s="742"/>
    </row>
    <row r="20" spans="1:10" s="139" customFormat="1" ht="12.75">
      <c r="A20" s="820" t="s">
        <v>176</v>
      </c>
      <c r="B20" s="596">
        <f>SUM('1b.mell '!C216)</f>
        <v>2040468</v>
      </c>
      <c r="C20" s="596">
        <f>SUM('1b.mell '!D216)</f>
        <v>2040468</v>
      </c>
      <c r="D20" s="596">
        <f>SUM('1b.mell '!E216)</f>
        <v>2052253</v>
      </c>
      <c r="E20" s="596">
        <f>SUM('1b.mell '!F216)</f>
        <v>1629363</v>
      </c>
      <c r="F20" s="822"/>
      <c r="G20" s="742"/>
      <c r="H20" s="742"/>
      <c r="I20" s="742"/>
      <c r="J20" s="742"/>
    </row>
    <row r="21" spans="1:10" s="139" customFormat="1" ht="12.75">
      <c r="A21" s="636" t="s">
        <v>177</v>
      </c>
      <c r="B21" s="596">
        <f>SUM('1b.mell '!C217)</f>
        <v>182914</v>
      </c>
      <c r="C21" s="596">
        <f>SUM('1b.mell '!D217)</f>
        <v>182914</v>
      </c>
      <c r="D21" s="596">
        <f>SUM('1b.mell '!E217)</f>
        <v>186022</v>
      </c>
      <c r="E21" s="596">
        <f>SUM('1b.mell '!F217)</f>
        <v>158761</v>
      </c>
      <c r="F21" s="822"/>
      <c r="G21" s="742"/>
      <c r="H21" s="742"/>
      <c r="I21" s="742"/>
      <c r="J21" s="742"/>
    </row>
    <row r="22" spans="1:10" s="139" customFormat="1" ht="12">
      <c r="A22" s="636" t="s">
        <v>62</v>
      </c>
      <c r="B22" s="815">
        <f>SUM('1b.mell '!C218)</f>
        <v>0</v>
      </c>
      <c r="C22" s="815">
        <f>SUM('1b.mell '!D218)</f>
        <v>0</v>
      </c>
      <c r="D22" s="815">
        <f>SUM('1b.mell '!E218)</f>
        <v>0</v>
      </c>
      <c r="E22" s="815">
        <f>SUM('1b.mell '!F218)</f>
        <v>0</v>
      </c>
      <c r="F22" s="827"/>
      <c r="G22" s="1042"/>
      <c r="H22" s="1043"/>
      <c r="I22" s="1043"/>
      <c r="J22" s="828"/>
    </row>
    <row r="23" spans="1:10" s="139" customFormat="1" ht="12">
      <c r="A23" s="636" t="s">
        <v>180</v>
      </c>
      <c r="B23" s="815">
        <f>SUM('1b.mell '!C219)</f>
        <v>201537</v>
      </c>
      <c r="C23" s="815">
        <f>SUM('1b.mell '!D219)</f>
        <v>201537</v>
      </c>
      <c r="D23" s="815">
        <f>SUM('1b.mell '!E219)</f>
        <v>201537</v>
      </c>
      <c r="E23" s="815">
        <f>SUM('1b.mell '!F219)</f>
        <v>143537</v>
      </c>
      <c r="F23" s="827"/>
      <c r="G23" s="1032"/>
      <c r="H23" s="1032"/>
      <c r="I23" s="1032"/>
      <c r="J23" s="829"/>
    </row>
    <row r="24" spans="1:10" s="139" customFormat="1" ht="12">
      <c r="A24" s="636" t="s">
        <v>181</v>
      </c>
      <c r="B24" s="815">
        <f>SUM('1b.mell '!C220)</f>
        <v>648439</v>
      </c>
      <c r="C24" s="815">
        <f>SUM('1b.mell '!D220)</f>
        <v>648439</v>
      </c>
      <c r="D24" s="815">
        <f>SUM('1b.mell '!E220)</f>
        <v>651620</v>
      </c>
      <c r="E24" s="815">
        <f>SUM('1b.mell '!F220)</f>
        <v>515438</v>
      </c>
      <c r="F24" s="830"/>
      <c r="G24" s="1044"/>
      <c r="H24" s="1044"/>
      <c r="I24" s="1044"/>
      <c r="J24" s="831"/>
    </row>
    <row r="25" spans="1:10" s="139" customFormat="1" ht="12">
      <c r="A25" s="820" t="s">
        <v>182</v>
      </c>
      <c r="B25" s="815">
        <f>SUM('1b.mell '!C221)</f>
        <v>9000</v>
      </c>
      <c r="C25" s="815">
        <f>SUM('1b.mell '!D221)</f>
        <v>9000</v>
      </c>
      <c r="D25" s="815">
        <f>SUM('1b.mell '!E221)</f>
        <v>13179</v>
      </c>
      <c r="E25" s="815">
        <f>SUM('1b.mell '!F221)</f>
        <v>16009</v>
      </c>
      <c r="F25" s="830"/>
      <c r="G25" s="1044"/>
      <c r="H25" s="1044"/>
      <c r="I25" s="1044"/>
      <c r="J25" s="831"/>
    </row>
    <row r="26" spans="1:10" s="139" customFormat="1" ht="12">
      <c r="A26" s="820" t="s">
        <v>364</v>
      </c>
      <c r="B26" s="815">
        <f>SUM('1b.mell '!C222)</f>
        <v>45000</v>
      </c>
      <c r="C26" s="815">
        <f>SUM('1b.mell '!D222)</f>
        <v>45000</v>
      </c>
      <c r="D26" s="815">
        <f>SUM('1b.mell '!E222)</f>
        <v>243251</v>
      </c>
      <c r="E26" s="815">
        <f>SUM('1b.mell '!F222)</f>
        <v>408892</v>
      </c>
      <c r="F26" s="830"/>
      <c r="G26" s="1044"/>
      <c r="H26" s="1044"/>
      <c r="I26" s="1044"/>
      <c r="J26" s="831"/>
    </row>
    <row r="27" spans="1:10" s="139" customFormat="1" ht="12">
      <c r="A27" s="832" t="s">
        <v>390</v>
      </c>
      <c r="B27" s="815"/>
      <c r="C27" s="815"/>
      <c r="D27" s="815"/>
      <c r="E27" s="815"/>
      <c r="F27" s="830"/>
      <c r="G27" s="1044"/>
      <c r="H27" s="1044"/>
      <c r="I27" s="1044"/>
      <c r="J27" s="831"/>
    </row>
    <row r="28" spans="1:10" s="139" customFormat="1" ht="12.75" thickBot="1">
      <c r="A28" s="823" t="s">
        <v>183</v>
      </c>
      <c r="B28" s="817">
        <f>SUM('1b.mell '!C223)</f>
        <v>33050</v>
      </c>
      <c r="C28" s="817">
        <f>SUM('1b.mell '!D223)</f>
        <v>33050</v>
      </c>
      <c r="D28" s="817">
        <f>SUM('1b.mell '!E223)</f>
        <v>42944</v>
      </c>
      <c r="E28" s="817">
        <f>SUM('1b.mell '!F223)</f>
        <v>63161</v>
      </c>
      <c r="F28" s="830"/>
      <c r="G28" s="1044"/>
      <c r="H28" s="1044"/>
      <c r="I28" s="1044"/>
      <c r="J28" s="831"/>
    </row>
    <row r="29" spans="1:10" s="139" customFormat="1" ht="13.5" thickBot="1">
      <c r="A29" s="824" t="s">
        <v>290</v>
      </c>
      <c r="B29" s="819">
        <f>SUM(B19:B28)</f>
        <v>3160408</v>
      </c>
      <c r="C29" s="819">
        <f>SUM(C19:C28)</f>
        <v>3160408</v>
      </c>
      <c r="D29" s="819">
        <f>SUM(D19:D28)</f>
        <v>3390843</v>
      </c>
      <c r="E29" s="819">
        <f>SUM(E19:E28)</f>
        <v>2935223</v>
      </c>
      <c r="F29" s="830"/>
      <c r="G29" s="1044"/>
      <c r="H29" s="1044"/>
      <c r="I29" s="1044"/>
      <c r="J29" s="831"/>
    </row>
    <row r="30" spans="1:10" s="139" customFormat="1" ht="12.75" thickBot="1">
      <c r="A30" s="833" t="s">
        <v>184</v>
      </c>
      <c r="B30" s="834">
        <f>SUM('1b.mell '!C225)</f>
        <v>10065</v>
      </c>
      <c r="C30" s="834">
        <f>SUM('1b.mell '!D225)</f>
        <v>10765</v>
      </c>
      <c r="D30" s="834">
        <f>SUM('1b.mell '!E225)</f>
        <v>18727</v>
      </c>
      <c r="E30" s="834">
        <f>SUM('1b.mell '!F225)</f>
        <v>13001</v>
      </c>
      <c r="F30" s="830"/>
      <c r="G30" s="1044"/>
      <c r="H30" s="1044"/>
      <c r="I30" s="1044"/>
      <c r="J30" s="831"/>
    </row>
    <row r="31" spans="1:10" s="139" customFormat="1" ht="13.5" thickBot="1">
      <c r="A31" s="835" t="s">
        <v>185</v>
      </c>
      <c r="B31" s="836">
        <f aca="true" t="shared" si="4" ref="B31">SUM(B30)</f>
        <v>10065</v>
      </c>
      <c r="C31" s="836">
        <f aca="true" t="shared" si="5" ref="C31">SUM(C30)</f>
        <v>10765</v>
      </c>
      <c r="D31" s="836">
        <f aca="true" t="shared" si="6" ref="D31">SUM(D30)</f>
        <v>18727</v>
      </c>
      <c r="E31" s="836">
        <f aca="true" t="shared" si="7" ref="E31">SUM(E30)</f>
        <v>13001</v>
      </c>
      <c r="F31" s="837"/>
      <c r="G31" s="1045"/>
      <c r="H31" s="1045"/>
      <c r="I31" s="1045"/>
      <c r="J31" s="838"/>
    </row>
    <row r="32" spans="1:10" s="139" customFormat="1" ht="17.25" thickBot="1" thickTop="1">
      <c r="A32" s="839" t="s">
        <v>45</v>
      </c>
      <c r="B32" s="840">
        <f aca="true" t="shared" si="8" ref="B32">SUM(B31,B29,B18,B14)</f>
        <v>20159703</v>
      </c>
      <c r="C32" s="840">
        <f aca="true" t="shared" si="9" ref="C32">SUM(C31,C29,C18,C14)</f>
        <v>20245090</v>
      </c>
      <c r="D32" s="840">
        <f aca="true" t="shared" si="10" ref="D32">SUM(D31,D29,D18,D14)</f>
        <v>20656509</v>
      </c>
      <c r="E32" s="840">
        <f aca="true" t="shared" si="11" ref="E32">SUM(E31,E29,E18,E14)</f>
        <v>15717171</v>
      </c>
      <c r="F32" s="841" t="s">
        <v>38</v>
      </c>
      <c r="G32" s="842">
        <f>SUM(G6:G11)</f>
        <v>18649633</v>
      </c>
      <c r="H32" s="842">
        <f>SUM(H6:H11)</f>
        <v>20196662</v>
      </c>
      <c r="I32" s="842">
        <f>SUM(I6:I11)</f>
        <v>20516214</v>
      </c>
      <c r="J32" s="842">
        <f>SUM(J6:J11)</f>
        <v>13788877</v>
      </c>
    </row>
    <row r="33" spans="1:10" s="139" customFormat="1" ht="12.75" thickTop="1">
      <c r="A33" s="820" t="s">
        <v>186</v>
      </c>
      <c r="B33" s="843">
        <f>SUM('1b.mell '!C228)</f>
        <v>0</v>
      </c>
      <c r="C33" s="843">
        <f>SUM('1b.mell '!D228)</f>
        <v>0</v>
      </c>
      <c r="D33" s="1030">
        <f>SUM('1b.mell '!E228)</f>
        <v>0</v>
      </c>
      <c r="E33" s="1030">
        <f>SUM('1b.mell '!F228)</f>
        <v>0</v>
      </c>
      <c r="F33" s="844"/>
      <c r="G33" s="845"/>
      <c r="H33" s="845"/>
      <c r="I33" s="845"/>
      <c r="J33" s="845"/>
    </row>
    <row r="34" spans="1:10" s="139" customFormat="1" ht="12">
      <c r="A34" s="636" t="s">
        <v>527</v>
      </c>
      <c r="B34" s="846">
        <f>SUM('1b.mell '!C229)</f>
        <v>2399145</v>
      </c>
      <c r="C34" s="846">
        <f>SUM('1b.mell '!D229)</f>
        <v>2399145</v>
      </c>
      <c r="D34" s="846">
        <f>SUM('1b.mell '!E229)</f>
        <v>2399145</v>
      </c>
      <c r="E34" s="846">
        <f>SUM('1b.mell '!F229)</f>
        <v>2399145</v>
      </c>
      <c r="F34" s="830"/>
      <c r="G34" s="847"/>
      <c r="H34" s="847"/>
      <c r="I34" s="847"/>
      <c r="J34" s="847"/>
    </row>
    <row r="35" spans="1:10" s="139" customFormat="1" ht="12">
      <c r="A35" s="636" t="s">
        <v>187</v>
      </c>
      <c r="B35" s="682">
        <f>SUM('1b.mell '!C230)</f>
        <v>0</v>
      </c>
      <c r="C35" s="682">
        <f>SUM('1b.mell '!D230)</f>
        <v>0</v>
      </c>
      <c r="D35" s="682">
        <f>SUM('1b.mell '!E230)</f>
        <v>0</v>
      </c>
      <c r="E35" s="682">
        <f>SUM('1b.mell '!F230)</f>
        <v>0</v>
      </c>
      <c r="F35" s="848" t="s">
        <v>199</v>
      </c>
      <c r="G35" s="815">
        <f>SUM('1c.mell '!C136)</f>
        <v>2070203</v>
      </c>
      <c r="H35" s="815">
        <f>SUM('1c.mell '!D136)</f>
        <v>3253864</v>
      </c>
      <c r="I35" s="815">
        <f>SUM('1c.mell '!E136)</f>
        <v>5013872</v>
      </c>
      <c r="J35" s="815">
        <f>SUM('1c.mell '!F136)</f>
        <v>808395</v>
      </c>
    </row>
    <row r="36" spans="1:10" s="139" customFormat="1" ht="12">
      <c r="A36" s="636" t="s">
        <v>188</v>
      </c>
      <c r="B36" s="821">
        <f>SUM('1b.mell '!C231)</f>
        <v>0</v>
      </c>
      <c r="C36" s="821">
        <f>SUM('1b.mell '!D231)</f>
        <v>0</v>
      </c>
      <c r="D36" s="821">
        <f>SUM('1b.mell '!E231)</f>
        <v>0</v>
      </c>
      <c r="E36" s="821">
        <f>SUM('1b.mell '!F231)</f>
        <v>0</v>
      </c>
      <c r="F36" s="849" t="s">
        <v>200</v>
      </c>
      <c r="G36" s="815">
        <f>SUM('1c.mell '!C137)</f>
        <v>7652389</v>
      </c>
      <c r="H36" s="815">
        <f>SUM('1c.mell '!D137)</f>
        <v>10540879</v>
      </c>
      <c r="I36" s="815">
        <f>SUM('1c.mell '!E137)</f>
        <v>8575290</v>
      </c>
      <c r="J36" s="815">
        <f>SUM('1c.mell '!F137)</f>
        <v>3105049</v>
      </c>
    </row>
    <row r="37" spans="1:10" s="139" customFormat="1" ht="12.75" thickBot="1">
      <c r="A37" s="636" t="s">
        <v>398</v>
      </c>
      <c r="B37" s="682">
        <f>SUM('1b.mell '!C232)</f>
        <v>0</v>
      </c>
      <c r="C37" s="682">
        <f>SUM('1b.mell '!D232)</f>
        <v>0</v>
      </c>
      <c r="D37" s="682">
        <f>SUM('1b.mell '!E232)</f>
        <v>0</v>
      </c>
      <c r="E37" s="682">
        <f>SUM('1b.mell '!F232)</f>
        <v>0</v>
      </c>
      <c r="F37" s="848" t="s">
        <v>320</v>
      </c>
      <c r="G37" s="815">
        <f>SUM('1c.mell '!C138)</f>
        <v>364400</v>
      </c>
      <c r="H37" s="815">
        <f>SUM('1c.mell '!D138)</f>
        <v>1014474</v>
      </c>
      <c r="I37" s="815">
        <f>SUM('1c.mell '!E138)</f>
        <v>1311922</v>
      </c>
      <c r="J37" s="815">
        <f>SUM('1c.mell '!F138)</f>
        <v>492011</v>
      </c>
    </row>
    <row r="38" spans="1:10" s="139" customFormat="1" ht="13.5" thickBot="1">
      <c r="A38" s="824" t="s">
        <v>189</v>
      </c>
      <c r="B38" s="825">
        <f aca="true" t="shared" si="12" ref="B38">SUM(B33:B37)</f>
        <v>2399145</v>
      </c>
      <c r="C38" s="825">
        <f aca="true" t="shared" si="13" ref="C38">SUM(C33:C37)</f>
        <v>2399145</v>
      </c>
      <c r="D38" s="825">
        <f aca="true" t="shared" si="14" ref="D38">SUM(D33:D37)</f>
        <v>2399145</v>
      </c>
      <c r="E38" s="825">
        <f aca="true" t="shared" si="15" ref="E38">SUM(E33:E37)</f>
        <v>2399145</v>
      </c>
      <c r="F38" s="850"/>
      <c r="G38" s="742"/>
      <c r="H38" s="742"/>
      <c r="I38" s="742"/>
      <c r="J38" s="742"/>
    </row>
    <row r="39" spans="1:10" s="139" customFormat="1" ht="12">
      <c r="A39" s="820" t="s">
        <v>190</v>
      </c>
      <c r="B39" s="851">
        <f>SUM('1b.mell '!C234)</f>
        <v>240000</v>
      </c>
      <c r="C39" s="851">
        <f>SUM('1b.mell '!D234)</f>
        <v>240000</v>
      </c>
      <c r="D39" s="846">
        <f>SUM('1b.mell '!E234)</f>
        <v>240000</v>
      </c>
      <c r="E39" s="846">
        <f>SUM('1b.mell '!F234)</f>
        <v>159347</v>
      </c>
      <c r="F39" s="830"/>
      <c r="G39" s="1046"/>
      <c r="H39" s="1046"/>
      <c r="I39" s="852"/>
      <c r="J39" s="852"/>
    </row>
    <row r="40" spans="1:10" s="139" customFormat="1" ht="12">
      <c r="A40" s="636" t="s">
        <v>197</v>
      </c>
      <c r="B40" s="815">
        <f>SUM('1b.mell '!C235)</f>
        <v>0</v>
      </c>
      <c r="C40" s="815">
        <f>SUM('1b.mell '!D235)</f>
        <v>0</v>
      </c>
      <c r="D40" s="815">
        <f>SUM('1b.mell '!E235)</f>
        <v>0</v>
      </c>
      <c r="E40" s="815">
        <f>SUM('1b.mell '!F235)</f>
        <v>0</v>
      </c>
      <c r="F40" s="830"/>
      <c r="G40" s="1044"/>
      <c r="H40" s="1044"/>
      <c r="I40" s="831"/>
      <c r="J40" s="831"/>
    </row>
    <row r="41" spans="1:10" s="139" customFormat="1" ht="12.75" thickBot="1">
      <c r="A41" s="853" t="s">
        <v>389</v>
      </c>
      <c r="B41" s="854"/>
      <c r="C41" s="854"/>
      <c r="D41" s="854"/>
      <c r="E41" s="854"/>
      <c r="F41" s="830"/>
      <c r="G41" s="1044"/>
      <c r="H41" s="1044"/>
      <c r="I41" s="831"/>
      <c r="J41" s="831"/>
    </row>
    <row r="42" spans="1:10" s="139" customFormat="1" ht="13.5" thickBot="1">
      <c r="A42" s="824" t="s">
        <v>191</v>
      </c>
      <c r="B42" s="825">
        <f aca="true" t="shared" si="16" ref="B42">SUM(B39:B40)</f>
        <v>240000</v>
      </c>
      <c r="C42" s="825">
        <f aca="true" t="shared" si="17" ref="C42">SUM(C39:C40)</f>
        <v>240000</v>
      </c>
      <c r="D42" s="825">
        <f aca="true" t="shared" si="18" ref="D42">SUM(D39:D40)</f>
        <v>240000</v>
      </c>
      <c r="E42" s="825">
        <f aca="true" t="shared" si="19" ref="E42">SUM(E39:E40)</f>
        <v>159347</v>
      </c>
      <c r="F42" s="827"/>
      <c r="G42" s="1047"/>
      <c r="H42" s="1047"/>
      <c r="I42" s="855"/>
      <c r="J42" s="855"/>
    </row>
    <row r="43" spans="1:10" s="139" customFormat="1" ht="12.75" customHeight="1">
      <c r="A43" s="826" t="s">
        <v>353</v>
      </c>
      <c r="B43" s="851">
        <f>SUM('1b.mell '!C237)</f>
        <v>19000</v>
      </c>
      <c r="C43" s="851">
        <f>SUM('1b.mell '!D237)</f>
        <v>19000</v>
      </c>
      <c r="D43" s="851">
        <f>SUM('1b.mell '!E237)</f>
        <v>19000</v>
      </c>
      <c r="E43" s="851">
        <f>SUM('1b.mell '!F237)</f>
        <v>17391</v>
      </c>
      <c r="F43" s="856"/>
      <c r="G43" s="1044"/>
      <c r="H43" s="1044"/>
      <c r="I43" s="831"/>
      <c r="J43" s="831"/>
    </row>
    <row r="44" spans="1:10" s="139" customFormat="1" ht="12.75" customHeight="1" thickBot="1">
      <c r="A44" s="857" t="s">
        <v>194</v>
      </c>
      <c r="B44" s="817">
        <f>SUM('1b.mell '!C238+'1b.mell '!C239)</f>
        <v>0</v>
      </c>
      <c r="C44" s="817">
        <f>SUM('1b.mell '!D238+'1b.mell '!D239)</f>
        <v>52000</v>
      </c>
      <c r="D44" s="817">
        <f>SUM('1b.mell '!E238+'1b.mell '!E239)</f>
        <v>52000</v>
      </c>
      <c r="E44" s="817">
        <f>SUM('1b.mell '!F238+'1b.mell '!F239)</f>
        <v>113891</v>
      </c>
      <c r="F44" s="856"/>
      <c r="G44" s="1032"/>
      <c r="H44" s="1032"/>
      <c r="I44" s="829"/>
      <c r="J44" s="829"/>
    </row>
    <row r="45" spans="1:10" s="139" customFormat="1" ht="13.5" thickBot="1">
      <c r="A45" s="835" t="s">
        <v>195</v>
      </c>
      <c r="B45" s="836">
        <f>SUM(B43:B44)</f>
        <v>19000</v>
      </c>
      <c r="C45" s="836">
        <f>SUM(C43:C44)</f>
        <v>71000</v>
      </c>
      <c r="D45" s="836">
        <f>SUM(D43:D44)</f>
        <v>71000</v>
      </c>
      <c r="E45" s="836">
        <f>SUM(E43:E44)</f>
        <v>131282</v>
      </c>
      <c r="F45" s="858"/>
      <c r="G45" s="1048"/>
      <c r="H45" s="1048"/>
      <c r="I45" s="859"/>
      <c r="J45" s="859"/>
    </row>
    <row r="46" spans="1:10" s="139" customFormat="1" ht="20.25" customHeight="1" thickBot="1" thickTop="1">
      <c r="A46" s="860" t="s">
        <v>46</v>
      </c>
      <c r="B46" s="861">
        <f aca="true" t="shared" si="20" ref="B46">SUM(B45,B42,B38)</f>
        <v>2658145</v>
      </c>
      <c r="C46" s="861">
        <f aca="true" t="shared" si="21" ref="C46">SUM(C45,C42,C38)</f>
        <v>2710145</v>
      </c>
      <c r="D46" s="861">
        <f aca="true" t="shared" si="22" ref="D46">SUM(D45,D42,D38)</f>
        <v>2710145</v>
      </c>
      <c r="E46" s="861">
        <f aca="true" t="shared" si="23" ref="E46">SUM(E45,E42,E38)</f>
        <v>2689774</v>
      </c>
      <c r="F46" s="862" t="s">
        <v>44</v>
      </c>
      <c r="G46" s="863">
        <f>SUM(G33:G37)</f>
        <v>10086992</v>
      </c>
      <c r="H46" s="863">
        <f>SUM(H33:H37)</f>
        <v>14809217</v>
      </c>
      <c r="I46" s="863">
        <f>SUM(I33:I37)</f>
        <v>14901084</v>
      </c>
      <c r="J46" s="863">
        <f>SUM(J33:J37)</f>
        <v>4405455</v>
      </c>
    </row>
    <row r="47" spans="1:10" s="139" customFormat="1" ht="12.75" customHeight="1" thickTop="1">
      <c r="A47" s="820" t="s">
        <v>348</v>
      </c>
      <c r="B47" s="637">
        <f>SUM('1b.mell '!C242)</f>
        <v>114066</v>
      </c>
      <c r="C47" s="637">
        <f>SUM('1b.mell '!D242)</f>
        <v>4115186</v>
      </c>
      <c r="D47" s="637">
        <f>SUM('1b.mell '!E242)</f>
        <v>4115186</v>
      </c>
      <c r="E47" s="637">
        <f>SUM('1b.mell '!F242)</f>
        <v>4115186</v>
      </c>
      <c r="F47" s="636" t="s">
        <v>482</v>
      </c>
      <c r="G47" s="739">
        <f>'1c.mell '!C140</f>
        <v>0</v>
      </c>
      <c r="H47" s="739">
        <f>'1c.mell '!D140</f>
        <v>303423</v>
      </c>
      <c r="I47" s="739">
        <f>'1c.mell '!E140</f>
        <v>728828</v>
      </c>
      <c r="J47" s="739">
        <f>'1c.mell '!F140</f>
        <v>862125</v>
      </c>
    </row>
    <row r="48" spans="1:10" s="139" customFormat="1" ht="12.75" customHeight="1">
      <c r="A48" s="636" t="s">
        <v>482</v>
      </c>
      <c r="B48" s="892">
        <f>SUM('1b.mell '!C244)</f>
        <v>0</v>
      </c>
      <c r="C48" s="892">
        <f>SUM('1b.mell '!D244)</f>
        <v>303423</v>
      </c>
      <c r="D48" s="1031">
        <f>SUM('1b.mell '!E244)</f>
        <v>728828</v>
      </c>
      <c r="E48" s="1031">
        <f>SUM('1b.mell '!F244)</f>
        <v>862125</v>
      </c>
      <c r="F48" s="684" t="s">
        <v>370</v>
      </c>
      <c r="G48" s="637">
        <f>SUM('1c.mell '!C142)</f>
        <v>114066</v>
      </c>
      <c r="H48" s="637">
        <f>SUM('1c.mell '!D142)</f>
        <v>114066</v>
      </c>
      <c r="I48" s="637">
        <f>SUM('1c.mell '!E142)</f>
        <v>114066</v>
      </c>
      <c r="J48" s="637">
        <f>SUM('1c.mell '!F142)</f>
        <v>114066</v>
      </c>
    </row>
    <row r="49" spans="1:10" s="139" customFormat="1" ht="12.75" customHeight="1">
      <c r="A49" s="636" t="s">
        <v>376</v>
      </c>
      <c r="B49" s="815">
        <f>SUM('1b.mell '!C243)</f>
        <v>10197824</v>
      </c>
      <c r="C49" s="815">
        <f>SUM('1b.mell '!D243)</f>
        <v>10721119</v>
      </c>
      <c r="D49" s="1032">
        <f>SUM('1b.mell '!E243)</f>
        <v>10786006</v>
      </c>
      <c r="E49" s="1032">
        <f>SUM('1b.mell '!F243)</f>
        <v>6918297</v>
      </c>
      <c r="F49" s="864" t="s">
        <v>377</v>
      </c>
      <c r="G49" s="815">
        <f>SUM('1c.mell '!C141)</f>
        <v>10197824</v>
      </c>
      <c r="H49" s="815">
        <f>SUM('1c.mell '!D141)</f>
        <v>10721119</v>
      </c>
      <c r="I49" s="815">
        <f>SUM('1c.mell '!E141)</f>
        <v>10786006</v>
      </c>
      <c r="J49" s="815">
        <f>SUM('1c.mell '!F141)</f>
        <v>6918297</v>
      </c>
    </row>
    <row r="50" spans="1:10" s="139" customFormat="1" ht="12.75" customHeight="1">
      <c r="A50" s="636" t="s">
        <v>481</v>
      </c>
      <c r="B50" s="815"/>
      <c r="C50" s="815"/>
      <c r="D50" s="815"/>
      <c r="E50" s="815"/>
      <c r="F50" s="850" t="s">
        <v>531</v>
      </c>
      <c r="G50" s="815"/>
      <c r="H50" s="815"/>
      <c r="I50" s="815"/>
      <c r="J50" s="815"/>
    </row>
    <row r="51" spans="1:10" s="139" customFormat="1" ht="12.75" customHeight="1">
      <c r="A51" s="865" t="s">
        <v>534</v>
      </c>
      <c r="B51" s="815">
        <f>'1b.mell '!C245</f>
        <v>0</v>
      </c>
      <c r="C51" s="815">
        <f>'1b.mell '!D245</f>
        <v>218</v>
      </c>
      <c r="D51" s="1029">
        <f>'1b.mell '!E245</f>
        <v>218</v>
      </c>
      <c r="E51" s="1029">
        <f>'1b.mell '!F245</f>
        <v>218</v>
      </c>
      <c r="F51" s="866"/>
      <c r="G51" s="828"/>
      <c r="H51" s="828"/>
      <c r="I51" s="828"/>
      <c r="J51" s="828"/>
    </row>
    <row r="52" spans="1:10" s="139" customFormat="1" ht="12.75" customHeight="1" thickBot="1">
      <c r="A52" s="867" t="s">
        <v>531</v>
      </c>
      <c r="B52" s="868"/>
      <c r="C52" s="868"/>
      <c r="D52" s="879"/>
      <c r="E52" s="879"/>
      <c r="F52" s="837"/>
      <c r="G52" s="859"/>
      <c r="H52" s="859"/>
      <c r="I52" s="859"/>
      <c r="J52" s="859"/>
    </row>
    <row r="53" spans="1:10" s="139" customFormat="1" ht="15.75" thickBot="1" thickTop="1">
      <c r="A53" s="869" t="s">
        <v>39</v>
      </c>
      <c r="B53" s="842">
        <f>SUM(B47:B52)</f>
        <v>10311890</v>
      </c>
      <c r="C53" s="842">
        <f>SUM(C47:C52)</f>
        <v>15139946</v>
      </c>
      <c r="D53" s="842">
        <f>SUM(D47:D52)</f>
        <v>15630238</v>
      </c>
      <c r="E53" s="842">
        <f>SUM(E47:E52)</f>
        <v>11895826</v>
      </c>
      <c r="F53" s="869" t="s">
        <v>40</v>
      </c>
      <c r="G53" s="870">
        <f>SUM(G47:G50)</f>
        <v>10311890</v>
      </c>
      <c r="H53" s="870">
        <f>SUM(H47:H50)</f>
        <v>11138608</v>
      </c>
      <c r="I53" s="870">
        <f>SUM(I47:I50)</f>
        <v>11628900</v>
      </c>
      <c r="J53" s="870">
        <f>SUM(J47:J50)</f>
        <v>7894488</v>
      </c>
    </row>
    <row r="54" spans="1:10" s="139" customFormat="1" ht="13.5" thickBot="1" thickTop="1">
      <c r="A54" s="871" t="s">
        <v>348</v>
      </c>
      <c r="B54" s="872">
        <f>SUM('1b.mell '!C247)</f>
        <v>5966777</v>
      </c>
      <c r="C54" s="872">
        <f>SUM('1b.mell '!D247)</f>
        <v>8097306</v>
      </c>
      <c r="D54" s="872">
        <f>SUM('1b.mell '!E247)</f>
        <v>8097306</v>
      </c>
      <c r="E54" s="872">
        <f>SUM('1b.mell '!F247)</f>
        <v>8097306</v>
      </c>
      <c r="F54" s="873" t="s">
        <v>365</v>
      </c>
      <c r="G54" s="874">
        <f>SUM('1c.mell '!C144)</f>
        <v>48000</v>
      </c>
      <c r="H54" s="874">
        <f>SUM('1c.mell '!D144)</f>
        <v>48000</v>
      </c>
      <c r="I54" s="874">
        <f>SUM('1c.mell '!E144)</f>
        <v>48000</v>
      </c>
      <c r="J54" s="874">
        <f>SUM('1c.mell '!F144)</f>
        <v>36000</v>
      </c>
    </row>
    <row r="55" spans="1:10" s="139" customFormat="1" ht="16.5" customHeight="1" thickBot="1">
      <c r="A55" s="875" t="s">
        <v>196</v>
      </c>
      <c r="B55" s="840">
        <f aca="true" t="shared" si="24" ref="B55">SUM(B54:B54)</f>
        <v>5966777</v>
      </c>
      <c r="C55" s="840">
        <f aca="true" t="shared" si="25" ref="C55">SUM(C54:C54)</f>
        <v>8097306</v>
      </c>
      <c r="D55" s="840">
        <f aca="true" t="shared" si="26" ref="D55">SUM(D54:D54)</f>
        <v>8097306</v>
      </c>
      <c r="E55" s="840">
        <f aca="true" t="shared" si="27" ref="E55">SUM(E54:E54)</f>
        <v>8097306</v>
      </c>
      <c r="F55" s="841" t="s">
        <v>25</v>
      </c>
      <c r="G55" s="876">
        <f aca="true" t="shared" si="28" ref="G55:H55">SUM(G54:G54)</f>
        <v>48000</v>
      </c>
      <c r="H55" s="876">
        <f t="shared" si="28"/>
        <v>48000</v>
      </c>
      <c r="I55" s="876">
        <f aca="true" t="shared" si="29" ref="I55">SUM(I54:I54)</f>
        <v>48000</v>
      </c>
      <c r="J55" s="876">
        <f aca="true" t="shared" si="30" ref="J55">SUM(J54:J54)</f>
        <v>36000</v>
      </c>
    </row>
    <row r="56" spans="1:10" s="139" customFormat="1" ht="14.25" thickBot="1" thickTop="1">
      <c r="A56" s="877"/>
      <c r="B56" s="840"/>
      <c r="C56" s="840"/>
      <c r="D56" s="840"/>
      <c r="E56" s="840"/>
      <c r="F56" s="878"/>
      <c r="G56" s="879"/>
      <c r="H56" s="879"/>
      <c r="I56" s="879"/>
      <c r="J56" s="879"/>
    </row>
    <row r="57" spans="1:10" s="139" customFormat="1" ht="20.25" customHeight="1" thickBot="1" thickTop="1">
      <c r="A57" s="593" t="s">
        <v>532</v>
      </c>
      <c r="B57" s="491">
        <f>SUM(B32+B46+B54+B47+B50+B52+B48)+B51</f>
        <v>28898691</v>
      </c>
      <c r="C57" s="491">
        <f>SUM(C32+C46+C54+C47+C50+C52+C48+C51)</f>
        <v>35471368</v>
      </c>
      <c r="D57" s="491">
        <f>SUM(D32+D46+D54+D47+D50+D52+D48+D51)</f>
        <v>36308192</v>
      </c>
      <c r="E57" s="491">
        <f>SUM(E32+E46+E54+E47+E50+E52+E48+E51)</f>
        <v>31481780</v>
      </c>
      <c r="F57" s="593" t="s">
        <v>533</v>
      </c>
      <c r="G57" s="491">
        <f>SUM(G32+G46+G54+G48+G50)+G47</f>
        <v>28898691</v>
      </c>
      <c r="H57" s="491">
        <f>SUM(H32+H46+H54+H48+H50)+H47</f>
        <v>35471368</v>
      </c>
      <c r="I57" s="491">
        <f>SUM(I32+I46+I54+I48+I50)+I47</f>
        <v>36308192</v>
      </c>
      <c r="J57" s="491">
        <f>SUM(J32+J46+J54+J48+J50)+J47</f>
        <v>19206523</v>
      </c>
    </row>
    <row r="58" spans="1:5" ht="15.75" thickTop="1">
      <c r="A58" s="880"/>
      <c r="B58" s="594"/>
      <c r="C58" s="594"/>
      <c r="D58" s="594"/>
      <c r="E58" s="594"/>
    </row>
    <row r="59" spans="1:5" ht="15">
      <c r="A59" s="880"/>
      <c r="B59" s="592"/>
      <c r="C59" s="592"/>
      <c r="D59" s="592"/>
      <c r="E59" s="592"/>
    </row>
    <row r="60" ht="15">
      <c r="A60" s="880"/>
    </row>
  </sheetData>
  <mergeCells count="12">
    <mergeCell ref="A1:F1"/>
    <mergeCell ref="A4:A5"/>
    <mergeCell ref="F4:F5"/>
    <mergeCell ref="C4:C5"/>
    <mergeCell ref="B4:B5"/>
    <mergeCell ref="D4:D5"/>
    <mergeCell ref="E4:E5"/>
    <mergeCell ref="J4:J5"/>
    <mergeCell ref="I4:I5"/>
    <mergeCell ref="H4:H5"/>
    <mergeCell ref="G4:G5"/>
    <mergeCell ref="A2:F2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3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 topLeftCell="A1">
      <selection activeCell="E13" sqref="E13"/>
    </sheetView>
  </sheetViews>
  <sheetFormatPr defaultColWidth="9.125" defaultRowHeight="12.75"/>
  <cols>
    <col min="1" max="1" width="10.125" style="53" customWidth="1"/>
    <col min="2" max="2" width="52.375" style="52" customWidth="1"/>
    <col min="3" max="5" width="12.125" style="52" customWidth="1"/>
    <col min="6" max="6" width="9.75390625" style="52" bestFit="1" customWidth="1"/>
    <col min="7" max="16384" width="9.125" style="52" customWidth="1"/>
  </cols>
  <sheetData>
    <row r="1" spans="1:2" ht="12.95" customHeight="1">
      <c r="A1" s="1159" t="s">
        <v>83</v>
      </c>
      <c r="B1" s="1159"/>
    </row>
    <row r="2" ht="12.75">
      <c r="B2" s="53"/>
    </row>
    <row r="3" spans="1:2" s="51" customFormat="1" ht="12.95" customHeight="1">
      <c r="A3" s="1158" t="s">
        <v>620</v>
      </c>
      <c r="B3" s="1158"/>
    </row>
    <row r="4" s="51" customFormat="1" ht="12.75"/>
    <row r="5" s="51" customFormat="1" ht="12.75"/>
    <row r="6" spans="3:5" s="51" customFormat="1" ht="12.75">
      <c r="C6" s="750"/>
      <c r="D6" s="750"/>
      <c r="E6" s="750" t="s">
        <v>479</v>
      </c>
    </row>
    <row r="7" spans="1:5" s="51" customFormat="1" ht="12.75" customHeight="1">
      <c r="A7" s="1160" t="s">
        <v>229</v>
      </c>
      <c r="B7" s="1160" t="s">
        <v>124</v>
      </c>
      <c r="C7" s="1098" t="s">
        <v>670</v>
      </c>
      <c r="D7" s="1098" t="s">
        <v>718</v>
      </c>
      <c r="E7" s="1098" t="s">
        <v>727</v>
      </c>
    </row>
    <row r="8" spans="1:5" s="51" customFormat="1" ht="12.75">
      <c r="A8" s="1163"/>
      <c r="B8" s="1161"/>
      <c r="C8" s="1145"/>
      <c r="D8" s="1145"/>
      <c r="E8" s="1145"/>
    </row>
    <row r="9" spans="1:5" s="51" customFormat="1" ht="13.5" thickBot="1">
      <c r="A9" s="1164"/>
      <c r="B9" s="1162"/>
      <c r="C9" s="1146"/>
      <c r="D9" s="1146"/>
      <c r="E9" s="1146"/>
    </row>
    <row r="10" spans="1:5" s="51" customFormat="1" ht="12.75">
      <c r="A10" s="60" t="s">
        <v>125</v>
      </c>
      <c r="B10" s="60" t="s">
        <v>126</v>
      </c>
      <c r="C10" s="60" t="s">
        <v>127</v>
      </c>
      <c r="D10" s="60" t="s">
        <v>477</v>
      </c>
      <c r="E10" s="60" t="s">
        <v>478</v>
      </c>
    </row>
    <row r="11" spans="1:5" s="51" customFormat="1" ht="12.75">
      <c r="A11" s="11"/>
      <c r="B11" s="11"/>
      <c r="C11" s="477"/>
      <c r="D11" s="477"/>
      <c r="E11" s="477"/>
    </row>
    <row r="12" spans="1:5" s="26" customFormat="1" ht="12.75">
      <c r="A12" s="755">
        <v>6110</v>
      </c>
      <c r="B12" s="756" t="s">
        <v>36</v>
      </c>
      <c r="C12" s="756">
        <v>50846</v>
      </c>
      <c r="D12" s="756">
        <f>10861+27300+15000+50000-23161-6000-14000-1000-3000-10000-15000-7000</f>
        <v>24000</v>
      </c>
      <c r="E12" s="756">
        <f>54181-9735</f>
        <v>44446</v>
      </c>
    </row>
    <row r="13" spans="1:5" ht="12.75">
      <c r="A13" s="752"/>
      <c r="B13" s="754"/>
      <c r="C13" s="754"/>
      <c r="D13" s="754"/>
      <c r="E13" s="754"/>
    </row>
    <row r="14" spans="1:5" s="26" customFormat="1" ht="12.75">
      <c r="A14" s="755">
        <v>6120</v>
      </c>
      <c r="B14" s="756" t="s">
        <v>37</v>
      </c>
      <c r="C14" s="756">
        <f>SUM(C16+C18)</f>
        <v>209692</v>
      </c>
      <c r="D14" s="756">
        <f>SUM(D16+D18)</f>
        <v>248282</v>
      </c>
      <c r="E14" s="756">
        <f>SUM(E16+E18)</f>
        <v>49282</v>
      </c>
    </row>
    <row r="15" spans="1:5" s="26" customFormat="1" ht="12.75">
      <c r="A15" s="755"/>
      <c r="B15" s="756"/>
      <c r="C15" s="756"/>
      <c r="D15" s="756"/>
      <c r="E15" s="756"/>
    </row>
    <row r="16" spans="1:5" s="26" customFormat="1" ht="12.75">
      <c r="A16" s="755"/>
      <c r="B16" s="936" t="s">
        <v>460</v>
      </c>
      <c r="C16" s="936">
        <v>0</v>
      </c>
      <c r="D16" s="936"/>
      <c r="E16" s="936"/>
    </row>
    <row r="17" spans="1:5" s="26" customFormat="1" ht="12.75">
      <c r="A17" s="937"/>
      <c r="B17" s="936"/>
      <c r="C17" s="936"/>
      <c r="D17" s="936"/>
      <c r="E17" s="936"/>
    </row>
    <row r="18" spans="1:5" s="26" customFormat="1" ht="12.75">
      <c r="A18" s="938"/>
      <c r="B18" s="936" t="s">
        <v>461</v>
      </c>
      <c r="C18" s="936">
        <f>SUM(C19:C21)</f>
        <v>209692</v>
      </c>
      <c r="D18" s="936">
        <f>SUM(D19:D21)</f>
        <v>248282</v>
      </c>
      <c r="E18" s="936">
        <f>SUM(E19:E21)</f>
        <v>49282</v>
      </c>
    </row>
    <row r="19" spans="1:5" ht="12.75">
      <c r="A19" s="752">
        <v>6135</v>
      </c>
      <c r="B19" s="753" t="s">
        <v>505</v>
      </c>
      <c r="C19" s="754">
        <v>209692</v>
      </c>
      <c r="D19" s="754">
        <f>209692-10000</f>
        <v>199692</v>
      </c>
      <c r="E19" s="754">
        <f>199692-199000</f>
        <v>692</v>
      </c>
    </row>
    <row r="20" spans="1:5" ht="12.75">
      <c r="A20" s="752">
        <v>6137</v>
      </c>
      <c r="B20" s="753" t="s">
        <v>594</v>
      </c>
      <c r="C20" s="754"/>
      <c r="D20" s="754"/>
      <c r="E20" s="754"/>
    </row>
    <row r="21" spans="1:5" ht="12.75">
      <c r="A21" s="752">
        <v>6141</v>
      </c>
      <c r="B21" s="753" t="s">
        <v>602</v>
      </c>
      <c r="C21" s="754"/>
      <c r="D21" s="754">
        <v>48590</v>
      </c>
      <c r="E21" s="754">
        <v>48590</v>
      </c>
    </row>
    <row r="22" spans="1:5" s="26" customFormat="1" ht="12.75">
      <c r="A22" s="755">
        <v>6100</v>
      </c>
      <c r="B22" s="756" t="s">
        <v>114</v>
      </c>
      <c r="C22" s="756">
        <f>SUM(C16+C18+C12)</f>
        <v>260538</v>
      </c>
      <c r="D22" s="756">
        <f>SUM(D16+D18+D12)</f>
        <v>272282</v>
      </c>
      <c r="E22" s="756">
        <f>SUM(E16+E18+E12)</f>
        <v>93728</v>
      </c>
    </row>
    <row r="25" ht="12.75">
      <c r="A25" s="433"/>
    </row>
    <row r="26" ht="12.75">
      <c r="A26" s="433"/>
    </row>
  </sheetData>
  <mergeCells count="7">
    <mergeCell ref="E7:E9"/>
    <mergeCell ref="D7:D9"/>
    <mergeCell ref="C7:C9"/>
    <mergeCell ref="A3:B3"/>
    <mergeCell ref="A1:B1"/>
    <mergeCell ref="B7:B9"/>
    <mergeCell ref="A7:A9"/>
  </mergeCells>
  <printOptions horizontalCentered="1"/>
  <pageMargins left="0.7874015748031497" right="0.7874015748031497" top="0.984251968503937" bottom="0.984251968503937" header="0.5118110236220472" footer="0.5118110236220472"/>
  <pageSetup firstPageNumber="43" useFirstPageNumber="1" horizontalDpi="600" verticalDpi="600" orientation="landscape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zoomScale="97" zoomScaleNormal="97" workbookViewId="0" topLeftCell="A1">
      <selection activeCell="B257" sqref="B257"/>
    </sheetView>
  </sheetViews>
  <sheetFormatPr defaultColWidth="9.125" defaultRowHeight="12.75"/>
  <cols>
    <col min="1" max="1" width="8.375" style="137" customWidth="1"/>
    <col min="2" max="2" width="72.125" style="95" customWidth="1"/>
    <col min="3" max="5" width="13.25390625" style="95" customWidth="1"/>
    <col min="6" max="6" width="13.25390625" style="216" customWidth="1"/>
    <col min="7" max="7" width="8.75390625" style="95" customWidth="1"/>
    <col min="8" max="16384" width="9.125" style="95" customWidth="1"/>
  </cols>
  <sheetData>
    <row r="1" spans="1:7" ht="12.75">
      <c r="A1" s="1105" t="s">
        <v>139</v>
      </c>
      <c r="B1" s="1105"/>
      <c r="C1" s="1106"/>
      <c r="D1" s="1106"/>
      <c r="E1" s="1106"/>
      <c r="F1" s="1106"/>
      <c r="G1" s="1107"/>
    </row>
    <row r="2" spans="1:7" ht="12.75">
      <c r="A2" s="1105" t="s">
        <v>612</v>
      </c>
      <c r="B2" s="1105"/>
      <c r="C2" s="1106"/>
      <c r="D2" s="1106"/>
      <c r="E2" s="1106"/>
      <c r="F2" s="1106"/>
      <c r="G2" s="1107"/>
    </row>
    <row r="3" spans="1:2" ht="12.75">
      <c r="A3" s="93"/>
      <c r="B3" s="94"/>
    </row>
    <row r="4" spans="1:7" ht="11.25" customHeight="1">
      <c r="A4" s="93"/>
      <c r="B4" s="93"/>
      <c r="C4" s="96"/>
      <c r="D4" s="96"/>
      <c r="E4" s="96"/>
      <c r="F4" s="1073"/>
      <c r="G4" s="456" t="s">
        <v>140</v>
      </c>
    </row>
    <row r="5" spans="1:7" s="97" customFormat="1" ht="19.5" customHeight="1">
      <c r="A5" s="1112" t="s">
        <v>146</v>
      </c>
      <c r="B5" s="1110" t="s">
        <v>135</v>
      </c>
      <c r="C5" s="1113" t="s">
        <v>670</v>
      </c>
      <c r="D5" s="1113" t="s">
        <v>718</v>
      </c>
      <c r="E5" s="1113" t="s">
        <v>727</v>
      </c>
      <c r="F5" s="1098" t="s">
        <v>728</v>
      </c>
      <c r="G5" s="1108" t="s">
        <v>734</v>
      </c>
    </row>
    <row r="6" spans="1:7" s="97" customFormat="1" ht="17.25" customHeight="1">
      <c r="A6" s="1111"/>
      <c r="B6" s="1111"/>
      <c r="C6" s="1114"/>
      <c r="D6" s="1114"/>
      <c r="E6" s="1114"/>
      <c r="F6" s="1115"/>
      <c r="G6" s="1109"/>
    </row>
    <row r="7" spans="1:7" s="97" customFormat="1" ht="11.25" customHeight="1">
      <c r="A7" s="98" t="s">
        <v>125</v>
      </c>
      <c r="B7" s="99" t="s">
        <v>126</v>
      </c>
      <c r="C7" s="173" t="s">
        <v>127</v>
      </c>
      <c r="D7" s="173" t="s">
        <v>477</v>
      </c>
      <c r="E7" s="173" t="s">
        <v>478</v>
      </c>
      <c r="F7" s="1074" t="s">
        <v>491</v>
      </c>
      <c r="G7" s="173" t="s">
        <v>492</v>
      </c>
    </row>
    <row r="8" spans="1:7" s="102" customFormat="1" ht="16.5" customHeight="1">
      <c r="A8" s="100"/>
      <c r="B8" s="193" t="s">
        <v>287</v>
      </c>
      <c r="C8" s="608"/>
      <c r="D8" s="608"/>
      <c r="E8" s="608"/>
      <c r="F8" s="1075"/>
      <c r="G8" s="152"/>
    </row>
    <row r="9" spans="1:7" ht="12" customHeight="1">
      <c r="A9" s="103"/>
      <c r="B9" s="104"/>
      <c r="C9" s="103"/>
      <c r="D9" s="103"/>
      <c r="E9" s="103"/>
      <c r="F9" s="932"/>
      <c r="G9" s="104"/>
    </row>
    <row r="10" spans="1:7" ht="12" customHeight="1">
      <c r="A10" s="107">
        <v>1010</v>
      </c>
      <c r="B10" s="117" t="s">
        <v>162</v>
      </c>
      <c r="C10" s="499">
        <f>SUM(C11:C16)</f>
        <v>3195874</v>
      </c>
      <c r="D10" s="499">
        <f>SUM(D11:D16)</f>
        <v>3271015</v>
      </c>
      <c r="E10" s="499">
        <f>SUM(E11:E16)</f>
        <v>3433256</v>
      </c>
      <c r="F10" s="478">
        <f>SUM(F11:F16)</f>
        <v>2807091</v>
      </c>
      <c r="G10" s="207">
        <f>SUM(F10/E10)</f>
        <v>0.8176177366325145</v>
      </c>
    </row>
    <row r="11" spans="1:7" ht="12" customHeight="1">
      <c r="A11" s="103">
        <v>1011</v>
      </c>
      <c r="B11" s="104" t="s">
        <v>163</v>
      </c>
      <c r="C11" s="498">
        <v>793121</v>
      </c>
      <c r="D11" s="498">
        <v>793121</v>
      </c>
      <c r="E11" s="498">
        <f>793121+35636</f>
        <v>828757</v>
      </c>
      <c r="F11" s="932">
        <v>629855</v>
      </c>
      <c r="G11" s="517">
        <f aca="true" t="shared" si="0" ref="G11:G72">SUM(F11/E11)</f>
        <v>0.7599996138795811</v>
      </c>
    </row>
    <row r="12" spans="1:7" ht="12" customHeight="1">
      <c r="A12" s="103">
        <v>1012</v>
      </c>
      <c r="B12" s="104" t="s">
        <v>164</v>
      </c>
      <c r="C12" s="522">
        <v>1008318</v>
      </c>
      <c r="D12" s="522">
        <v>1008318</v>
      </c>
      <c r="E12" s="522">
        <f>1008318+22401</f>
        <v>1030719</v>
      </c>
      <c r="F12" s="424">
        <v>874382</v>
      </c>
      <c r="G12" s="517">
        <f t="shared" si="0"/>
        <v>0.8483223846654617</v>
      </c>
    </row>
    <row r="13" spans="1:7" ht="12" customHeight="1">
      <c r="A13" s="932">
        <v>1013</v>
      </c>
      <c r="B13" s="933" t="s">
        <v>366</v>
      </c>
      <c r="C13" s="424">
        <f>900164+71840+47629</f>
        <v>1019633</v>
      </c>
      <c r="D13" s="424">
        <f>1019633+60100</f>
        <v>1079733</v>
      </c>
      <c r="E13" s="424">
        <f>1079733+61923+42281</f>
        <v>1183937</v>
      </c>
      <c r="F13" s="424">
        <v>1002964</v>
      </c>
      <c r="G13" s="517">
        <f t="shared" si="0"/>
        <v>0.8471430489966949</v>
      </c>
    </row>
    <row r="14" spans="1:7" ht="12" customHeight="1">
      <c r="A14" s="932">
        <v>1014</v>
      </c>
      <c r="B14" s="933" t="s">
        <v>165</v>
      </c>
      <c r="C14" s="932">
        <f>30555+313870+30377</f>
        <v>374802</v>
      </c>
      <c r="D14" s="932">
        <f>30555+313870+30377</f>
        <v>374802</v>
      </c>
      <c r="E14" s="932">
        <v>374802</v>
      </c>
      <c r="F14" s="932">
        <v>284849</v>
      </c>
      <c r="G14" s="517">
        <f t="shared" si="0"/>
        <v>0.7599986126007865</v>
      </c>
    </row>
    <row r="15" spans="1:7" ht="12" customHeight="1">
      <c r="A15" s="932">
        <v>1015</v>
      </c>
      <c r="B15" s="933" t="s">
        <v>2</v>
      </c>
      <c r="C15" s="932"/>
      <c r="D15" s="932"/>
      <c r="E15" s="932"/>
      <c r="F15" s="932"/>
      <c r="G15" s="517"/>
    </row>
    <row r="16" spans="1:7" ht="12" customHeight="1">
      <c r="A16" s="103">
        <v>1016</v>
      </c>
      <c r="B16" s="104" t="s">
        <v>3</v>
      </c>
      <c r="C16" s="498"/>
      <c r="D16" s="498">
        <v>15041</v>
      </c>
      <c r="E16" s="498">
        <v>15041</v>
      </c>
      <c r="F16" s="932">
        <v>15041</v>
      </c>
      <c r="G16" s="517">
        <f t="shared" si="0"/>
        <v>1</v>
      </c>
    </row>
    <row r="17" spans="1:7" ht="15" customHeight="1">
      <c r="A17" s="107">
        <v>1020</v>
      </c>
      <c r="B17" s="117" t="s">
        <v>166</v>
      </c>
      <c r="C17" s="498"/>
      <c r="D17" s="498"/>
      <c r="E17" s="498"/>
      <c r="F17" s="932"/>
      <c r="G17" s="517"/>
    </row>
    <row r="18" spans="1:7" ht="15" customHeight="1">
      <c r="A18" s="107">
        <v>1029</v>
      </c>
      <c r="B18" s="117" t="s">
        <v>526</v>
      </c>
      <c r="C18" s="499">
        <v>19053</v>
      </c>
      <c r="D18" s="499">
        <v>19053</v>
      </c>
      <c r="E18" s="499">
        <v>19053</v>
      </c>
      <c r="F18" s="478">
        <v>19053</v>
      </c>
      <c r="G18" s="207">
        <f t="shared" si="0"/>
        <v>1</v>
      </c>
    </row>
    <row r="19" spans="1:7" ht="15" customHeight="1">
      <c r="A19" s="107">
        <v>1030</v>
      </c>
      <c r="B19" s="117" t="s">
        <v>338</v>
      </c>
      <c r="C19" s="499">
        <v>1500</v>
      </c>
      <c r="D19" s="499">
        <f>1500+9546</f>
        <v>11046</v>
      </c>
      <c r="E19" s="499">
        <f>11046+2244</f>
        <v>13290</v>
      </c>
      <c r="F19" s="478">
        <v>11416</v>
      </c>
      <c r="G19" s="207">
        <f t="shared" si="0"/>
        <v>0.8589917231000752</v>
      </c>
    </row>
    <row r="20" spans="1:7" ht="15" customHeight="1">
      <c r="A20" s="107">
        <v>1031</v>
      </c>
      <c r="B20" s="106" t="s">
        <v>487</v>
      </c>
      <c r="C20" s="499"/>
      <c r="D20" s="499"/>
      <c r="E20" s="499"/>
      <c r="F20" s="478"/>
      <c r="G20" s="517"/>
    </row>
    <row r="21" spans="1:7" ht="15" customHeight="1" thickBot="1">
      <c r="A21" s="724">
        <v>1032</v>
      </c>
      <c r="B21" s="725" t="s">
        <v>646</v>
      </c>
      <c r="C21" s="641">
        <v>13084</v>
      </c>
      <c r="D21" s="641">
        <v>13084</v>
      </c>
      <c r="E21" s="641">
        <v>13084</v>
      </c>
      <c r="F21" s="1076">
        <v>6362</v>
      </c>
      <c r="G21" s="701">
        <f t="shared" si="0"/>
        <v>0.48624273922347905</v>
      </c>
    </row>
    <row r="22" spans="1:7" ht="16.5" customHeight="1" thickBot="1">
      <c r="A22" s="131"/>
      <c r="B22" s="185" t="s">
        <v>339</v>
      </c>
      <c r="C22" s="500">
        <f>SUM(C10+C21+C20+C18+C19)</f>
        <v>3229511</v>
      </c>
      <c r="D22" s="500">
        <f>SUM(D10+D21+D20+D18+D19)</f>
        <v>3314198</v>
      </c>
      <c r="E22" s="500">
        <f>SUM(E10+E21+E20+E18+E19)</f>
        <v>3478683</v>
      </c>
      <c r="F22" s="948">
        <f>SUM(F10+F21+F20+F18+F19)</f>
        <v>2843922</v>
      </c>
      <c r="G22" s="518">
        <f t="shared" si="0"/>
        <v>0.8175283577146869</v>
      </c>
    </row>
    <row r="23" spans="1:7" ht="12" customHeight="1">
      <c r="A23" s="126"/>
      <c r="B23" s="138"/>
      <c r="C23" s="638"/>
      <c r="D23" s="638"/>
      <c r="E23" s="638"/>
      <c r="F23" s="1070"/>
      <c r="G23" s="700"/>
    </row>
    <row r="24" spans="1:7" ht="12" customHeight="1">
      <c r="A24" s="105">
        <v>1040</v>
      </c>
      <c r="B24" s="106" t="s">
        <v>168</v>
      </c>
      <c r="C24" s="499">
        <f aca="true" t="shared" si="1" ref="C24:D24">SUM(C25:C26)</f>
        <v>4411000</v>
      </c>
      <c r="D24" s="499">
        <f t="shared" si="1"/>
        <v>4411000</v>
      </c>
      <c r="E24" s="499">
        <f aca="true" t="shared" si="2" ref="E24">SUM(E25:E26)</f>
        <v>4411000</v>
      </c>
      <c r="F24" s="478">
        <f>SUM(F25:F26)</f>
        <v>4410716</v>
      </c>
      <c r="G24" s="207">
        <f t="shared" si="0"/>
        <v>0.9999356155066879</v>
      </c>
    </row>
    <row r="25" spans="1:7" ht="12" customHeight="1">
      <c r="A25" s="114">
        <v>1041</v>
      </c>
      <c r="B25" s="112" t="s">
        <v>18</v>
      </c>
      <c r="C25" s="498">
        <v>3780000</v>
      </c>
      <c r="D25" s="498">
        <v>3780000</v>
      </c>
      <c r="E25" s="498">
        <v>3780000</v>
      </c>
      <c r="F25" s="932">
        <v>3791573</v>
      </c>
      <c r="G25" s="517">
        <f t="shared" si="0"/>
        <v>1.0030616402116401</v>
      </c>
    </row>
    <row r="26" spans="1:7" ht="12" customHeight="1">
      <c r="A26" s="114">
        <v>1042</v>
      </c>
      <c r="B26" s="112" t="s">
        <v>19</v>
      </c>
      <c r="C26" s="498">
        <v>631000</v>
      </c>
      <c r="D26" s="498">
        <v>631000</v>
      </c>
      <c r="E26" s="498">
        <v>631000</v>
      </c>
      <c r="F26" s="932">
        <v>619143</v>
      </c>
      <c r="G26" s="517">
        <f t="shared" si="0"/>
        <v>0.9812091917591125</v>
      </c>
    </row>
    <row r="27" spans="1:7" ht="12" customHeight="1">
      <c r="A27" s="109">
        <v>1050</v>
      </c>
      <c r="B27" s="108" t="s">
        <v>169</v>
      </c>
      <c r="C27" s="499">
        <f aca="true" t="shared" si="3" ref="C27:D27">SUM(C28:C30)</f>
        <v>8645163</v>
      </c>
      <c r="D27" s="499">
        <f t="shared" si="3"/>
        <v>8645163</v>
      </c>
      <c r="E27" s="499">
        <f>SUM(E28:E31)</f>
        <v>8651550</v>
      </c>
      <c r="F27" s="478">
        <f>SUM(F28:F31)</f>
        <v>4729207</v>
      </c>
      <c r="G27" s="207">
        <f t="shared" si="0"/>
        <v>0.5466311816957655</v>
      </c>
    </row>
    <row r="28" spans="1:7" ht="12.75" customHeight="1">
      <c r="A28" s="115">
        <v>1051</v>
      </c>
      <c r="B28" s="104" t="s">
        <v>141</v>
      </c>
      <c r="C28" s="498">
        <f>7200000+1175163</f>
        <v>8375163</v>
      </c>
      <c r="D28" s="498">
        <f>7200000+1175163</f>
        <v>8375163</v>
      </c>
      <c r="E28" s="498">
        <v>8375163</v>
      </c>
      <c r="F28" s="932">
        <v>4312136</v>
      </c>
      <c r="G28" s="517">
        <f t="shared" si="0"/>
        <v>0.5148718896575506</v>
      </c>
    </row>
    <row r="29" spans="1:7" ht="12.75" customHeight="1">
      <c r="A29" s="115">
        <v>1052</v>
      </c>
      <c r="B29" s="116" t="s">
        <v>340</v>
      </c>
      <c r="C29" s="498"/>
      <c r="D29" s="498"/>
      <c r="E29" s="498"/>
      <c r="F29" s="932"/>
      <c r="G29" s="517"/>
    </row>
    <row r="30" spans="1:7" ht="12.75" customHeight="1">
      <c r="A30" s="115">
        <v>1053</v>
      </c>
      <c r="B30" s="111" t="s">
        <v>137</v>
      </c>
      <c r="C30" s="498">
        <v>270000</v>
      </c>
      <c r="D30" s="498">
        <v>270000</v>
      </c>
      <c r="E30" s="498">
        <v>270000</v>
      </c>
      <c r="F30" s="932">
        <v>410684</v>
      </c>
      <c r="G30" s="517">
        <f t="shared" si="0"/>
        <v>1.5210518518518519</v>
      </c>
    </row>
    <row r="31" spans="1:7" ht="12.75" customHeight="1">
      <c r="A31" s="115">
        <v>1054</v>
      </c>
      <c r="B31" s="111" t="s">
        <v>725</v>
      </c>
      <c r="C31" s="498"/>
      <c r="D31" s="498"/>
      <c r="E31" s="498">
        <v>6387</v>
      </c>
      <c r="F31" s="932">
        <v>6387</v>
      </c>
      <c r="G31" s="517">
        <f t="shared" si="0"/>
        <v>1</v>
      </c>
    </row>
    <row r="32" spans="1:7" ht="12" customHeight="1">
      <c r="A32" s="109">
        <v>1070</v>
      </c>
      <c r="B32" s="108" t="s">
        <v>143</v>
      </c>
      <c r="C32" s="499">
        <f>SUM(C33:C42)</f>
        <v>663556</v>
      </c>
      <c r="D32" s="499">
        <f>SUM(D33:D42)</f>
        <v>663556</v>
      </c>
      <c r="E32" s="499">
        <f>SUM(E33:E42)</f>
        <v>663556</v>
      </c>
      <c r="F32" s="478">
        <f>SUM(F33:F42)</f>
        <v>752040</v>
      </c>
      <c r="G32" s="207">
        <f t="shared" si="0"/>
        <v>1.1333482027138628</v>
      </c>
    </row>
    <row r="33" spans="1:7" ht="12" customHeight="1">
      <c r="A33" s="115">
        <v>1071</v>
      </c>
      <c r="B33" s="112" t="s">
        <v>170</v>
      </c>
      <c r="C33" s="498">
        <v>400</v>
      </c>
      <c r="D33" s="498">
        <v>400</v>
      </c>
      <c r="E33" s="498">
        <v>400</v>
      </c>
      <c r="F33" s="932">
        <v>359</v>
      </c>
      <c r="G33" s="517">
        <f t="shared" si="0"/>
        <v>0.8975</v>
      </c>
    </row>
    <row r="34" spans="1:7" ht="12" customHeight="1">
      <c r="A34" s="115">
        <v>1073</v>
      </c>
      <c r="B34" s="104" t="s">
        <v>171</v>
      </c>
      <c r="C34" s="498"/>
      <c r="D34" s="498"/>
      <c r="E34" s="498"/>
      <c r="F34" s="932">
        <v>42987</v>
      </c>
      <c r="G34" s="517">
        <v>1</v>
      </c>
    </row>
    <row r="35" spans="1:7" ht="12" customHeight="1">
      <c r="A35" s="115">
        <v>1074</v>
      </c>
      <c r="B35" s="104" t="s">
        <v>172</v>
      </c>
      <c r="C35" s="498"/>
      <c r="D35" s="498"/>
      <c r="E35" s="498"/>
      <c r="F35" s="932">
        <v>12</v>
      </c>
      <c r="G35" s="517">
        <v>1</v>
      </c>
    </row>
    <row r="36" spans="1:7" ht="12" customHeight="1">
      <c r="A36" s="115">
        <v>1075</v>
      </c>
      <c r="B36" s="111" t="s">
        <v>341</v>
      </c>
      <c r="C36" s="498">
        <v>22000</v>
      </c>
      <c r="D36" s="498">
        <v>22000</v>
      </c>
      <c r="E36" s="498">
        <v>22000</v>
      </c>
      <c r="F36" s="932">
        <v>33840</v>
      </c>
      <c r="G36" s="517">
        <f t="shared" si="0"/>
        <v>1.538181818181818</v>
      </c>
    </row>
    <row r="37" spans="1:7" ht="12" customHeight="1">
      <c r="A37" s="115">
        <v>1076</v>
      </c>
      <c r="B37" s="111" t="s">
        <v>342</v>
      </c>
      <c r="C37" s="498">
        <f>12116-460</f>
        <v>11656</v>
      </c>
      <c r="D37" s="498">
        <f>12116-460</f>
        <v>11656</v>
      </c>
      <c r="E37" s="498">
        <v>11656</v>
      </c>
      <c r="F37" s="932">
        <v>20845</v>
      </c>
      <c r="G37" s="517">
        <f t="shared" si="0"/>
        <v>1.7883493479752917</v>
      </c>
    </row>
    <row r="38" spans="1:7" ht="12" customHeight="1">
      <c r="A38" s="115">
        <v>1077</v>
      </c>
      <c r="B38" s="116" t="s">
        <v>173</v>
      </c>
      <c r="C38" s="498">
        <v>413200</v>
      </c>
      <c r="D38" s="498">
        <v>413200</v>
      </c>
      <c r="E38" s="498">
        <v>413200</v>
      </c>
      <c r="F38" s="932">
        <v>417416</v>
      </c>
      <c r="G38" s="517">
        <f t="shared" si="0"/>
        <v>1.0102032913843175</v>
      </c>
    </row>
    <row r="39" spans="1:7" ht="12" customHeight="1">
      <c r="A39" s="115">
        <v>1078</v>
      </c>
      <c r="B39" s="112" t="s">
        <v>174</v>
      </c>
      <c r="C39" s="498">
        <v>1300</v>
      </c>
      <c r="D39" s="498">
        <v>1300</v>
      </c>
      <c r="E39" s="498">
        <v>1300</v>
      </c>
      <c r="F39" s="932">
        <v>2939</v>
      </c>
      <c r="G39" s="517">
        <f t="shared" si="0"/>
        <v>2.2607692307692306</v>
      </c>
    </row>
    <row r="40" spans="1:7" ht="12" customHeight="1">
      <c r="A40" s="115">
        <v>1079</v>
      </c>
      <c r="B40" s="112" t="s">
        <v>360</v>
      </c>
      <c r="C40" s="498">
        <v>15000</v>
      </c>
      <c r="D40" s="498">
        <v>15000</v>
      </c>
      <c r="E40" s="498">
        <v>15000</v>
      </c>
      <c r="F40" s="932">
        <v>22427</v>
      </c>
      <c r="G40" s="517">
        <f t="shared" si="0"/>
        <v>1.4951333333333334</v>
      </c>
    </row>
    <row r="41" spans="1:7" ht="12" customHeight="1">
      <c r="A41" s="114">
        <v>1081</v>
      </c>
      <c r="B41" s="112" t="s">
        <v>503</v>
      </c>
      <c r="C41" s="498">
        <v>200000</v>
      </c>
      <c r="D41" s="498">
        <v>200000</v>
      </c>
      <c r="E41" s="498">
        <v>200000</v>
      </c>
      <c r="F41" s="932">
        <v>211215</v>
      </c>
      <c r="G41" s="517">
        <f t="shared" si="0"/>
        <v>1.056075</v>
      </c>
    </row>
    <row r="42" spans="1:7" ht="13.5" customHeight="1" thickBot="1">
      <c r="A42" s="130">
        <v>1082</v>
      </c>
      <c r="B42" s="206" t="s">
        <v>128</v>
      </c>
      <c r="C42" s="601"/>
      <c r="D42" s="601"/>
      <c r="E42" s="601"/>
      <c r="F42" s="1071"/>
      <c r="G42" s="702"/>
    </row>
    <row r="43" spans="1:12" ht="17.25" customHeight="1" thickBot="1">
      <c r="A43" s="132"/>
      <c r="B43" s="465" t="s">
        <v>175</v>
      </c>
      <c r="C43" s="639">
        <f>SUM(C24+C27+C32)</f>
        <v>13719719</v>
      </c>
      <c r="D43" s="639">
        <f>SUM(D24+D27+D32)</f>
        <v>13719719</v>
      </c>
      <c r="E43" s="639">
        <f>SUM(E24+E27+E32)</f>
        <v>13726106</v>
      </c>
      <c r="F43" s="891">
        <f>SUM(F24+F27+F32)</f>
        <v>9891963</v>
      </c>
      <c r="G43" s="949">
        <f t="shared" si="0"/>
        <v>0.7206678281516987</v>
      </c>
      <c r="H43" s="216"/>
      <c r="I43" s="216"/>
      <c r="J43" s="216"/>
      <c r="K43" s="216"/>
      <c r="L43" s="216"/>
    </row>
    <row r="44" spans="1:12" ht="12" customHeight="1">
      <c r="A44" s="115"/>
      <c r="B44" s="170"/>
      <c r="C44" s="638"/>
      <c r="D44" s="638"/>
      <c r="E44" s="638"/>
      <c r="F44" s="1070"/>
      <c r="G44" s="957"/>
      <c r="H44" s="216"/>
      <c r="I44" s="216"/>
      <c r="J44" s="216"/>
      <c r="K44" s="216"/>
      <c r="L44" s="216"/>
    </row>
    <row r="45" spans="1:12" ht="12" customHeight="1">
      <c r="A45" s="109">
        <v>1090</v>
      </c>
      <c r="B45" s="186" t="s">
        <v>176</v>
      </c>
      <c r="C45" s="499">
        <f>SUM(C46:C54)</f>
        <v>1924730</v>
      </c>
      <c r="D45" s="499">
        <f>SUM(D46:D54)</f>
        <v>1924730</v>
      </c>
      <c r="E45" s="499">
        <f>SUM(E46:E54)</f>
        <v>1924730</v>
      </c>
      <c r="F45" s="478">
        <f>SUM(F46:F54)</f>
        <v>1495356</v>
      </c>
      <c r="G45" s="1072">
        <f t="shared" si="0"/>
        <v>0.776917281904475</v>
      </c>
      <c r="H45" s="216"/>
      <c r="I45" s="216"/>
      <c r="J45" s="216"/>
      <c r="K45" s="216"/>
      <c r="L45" s="216"/>
    </row>
    <row r="46" spans="1:7" ht="12" customHeight="1">
      <c r="A46" s="115">
        <v>1091</v>
      </c>
      <c r="B46" s="157" t="s">
        <v>606</v>
      </c>
      <c r="C46" s="522"/>
      <c r="D46" s="522"/>
      <c r="E46" s="522"/>
      <c r="F46" s="424">
        <v>584</v>
      </c>
      <c r="G46" s="517">
        <v>1</v>
      </c>
    </row>
    <row r="47" spans="1:8" ht="12" customHeight="1">
      <c r="A47" s="115">
        <v>1092</v>
      </c>
      <c r="B47" s="112" t="s">
        <v>129</v>
      </c>
      <c r="C47" s="498">
        <v>1155980</v>
      </c>
      <c r="D47" s="498">
        <v>1155980</v>
      </c>
      <c r="E47" s="498">
        <v>1155980</v>
      </c>
      <c r="F47" s="932">
        <v>908289</v>
      </c>
      <c r="G47" s="517">
        <f t="shared" si="0"/>
        <v>0.7857307219848094</v>
      </c>
      <c r="H47" s="529"/>
    </row>
    <row r="48" spans="1:7" ht="12" customHeight="1">
      <c r="A48" s="115">
        <v>1093</v>
      </c>
      <c r="B48" s="112" t="s">
        <v>386</v>
      </c>
      <c r="C48" s="498">
        <v>8500</v>
      </c>
      <c r="D48" s="498">
        <v>8500</v>
      </c>
      <c r="E48" s="498">
        <v>8500</v>
      </c>
      <c r="F48" s="932">
        <v>4832</v>
      </c>
      <c r="G48" s="517">
        <f t="shared" si="0"/>
        <v>0.5684705882352942</v>
      </c>
    </row>
    <row r="49" spans="1:8" ht="12" customHeight="1">
      <c r="A49" s="115">
        <v>1094</v>
      </c>
      <c r="B49" s="112" t="s">
        <v>387</v>
      </c>
      <c r="C49" s="498">
        <v>35000</v>
      </c>
      <c r="D49" s="498">
        <v>35000</v>
      </c>
      <c r="E49" s="498">
        <v>35000</v>
      </c>
      <c r="F49" s="932">
        <f>22301+35</f>
        <v>22336</v>
      </c>
      <c r="G49" s="517">
        <f t="shared" si="0"/>
        <v>0.6381714285714286</v>
      </c>
      <c r="H49" s="1067"/>
    </row>
    <row r="50" spans="1:7" ht="12" customHeight="1">
      <c r="A50" s="115">
        <v>1095</v>
      </c>
      <c r="B50" s="116" t="s">
        <v>270</v>
      </c>
      <c r="C50" s="498">
        <v>350000</v>
      </c>
      <c r="D50" s="498">
        <v>350000</v>
      </c>
      <c r="E50" s="498">
        <v>350000</v>
      </c>
      <c r="F50" s="932">
        <v>291954</v>
      </c>
      <c r="G50" s="517">
        <f t="shared" si="0"/>
        <v>0.8341542857142857</v>
      </c>
    </row>
    <row r="51" spans="1:7" ht="12" customHeight="1">
      <c r="A51" s="115">
        <v>1096</v>
      </c>
      <c r="B51" s="116" t="s">
        <v>254</v>
      </c>
      <c r="C51" s="498">
        <v>350000</v>
      </c>
      <c r="D51" s="498">
        <v>350000</v>
      </c>
      <c r="E51" s="498">
        <v>350000</v>
      </c>
      <c r="F51" s="932">
        <v>241350</v>
      </c>
      <c r="G51" s="517">
        <f t="shared" si="0"/>
        <v>0.6895714285714286</v>
      </c>
    </row>
    <row r="52" spans="1:7" ht="12" customHeight="1">
      <c r="A52" s="115">
        <v>1097</v>
      </c>
      <c r="B52" s="116" t="s">
        <v>0</v>
      </c>
      <c r="C52" s="498"/>
      <c r="D52" s="498"/>
      <c r="E52" s="498"/>
      <c r="F52" s="932">
        <v>2347</v>
      </c>
      <c r="G52" s="517">
        <v>1</v>
      </c>
    </row>
    <row r="53" spans="1:7" ht="12" customHeight="1">
      <c r="A53" s="115">
        <v>1098</v>
      </c>
      <c r="B53" s="116" t="s">
        <v>4</v>
      </c>
      <c r="C53" s="498">
        <v>250</v>
      </c>
      <c r="D53" s="498">
        <v>250</v>
      </c>
      <c r="E53" s="498">
        <v>250</v>
      </c>
      <c r="F53" s="932">
        <v>1042</v>
      </c>
      <c r="G53" s="517">
        <f t="shared" si="0"/>
        <v>4.168</v>
      </c>
    </row>
    <row r="54" spans="1:7" ht="12" customHeight="1">
      <c r="A54" s="115">
        <v>1099</v>
      </c>
      <c r="B54" s="116" t="s">
        <v>529</v>
      </c>
      <c r="C54" s="498">
        <v>25000</v>
      </c>
      <c r="D54" s="498">
        <v>25000</v>
      </c>
      <c r="E54" s="498">
        <v>25000</v>
      </c>
      <c r="F54" s="932">
        <v>22622</v>
      </c>
      <c r="G54" s="517">
        <f t="shared" si="0"/>
        <v>0.90488</v>
      </c>
    </row>
    <row r="55" spans="1:7" ht="12" customHeight="1">
      <c r="A55" s="109">
        <v>1100</v>
      </c>
      <c r="B55" s="186" t="s">
        <v>177</v>
      </c>
      <c r="C55" s="499">
        <f aca="true" t="shared" si="4" ref="C55:D55">SUM(C56:C58)</f>
        <v>157385</v>
      </c>
      <c r="D55" s="499">
        <f t="shared" si="4"/>
        <v>157385</v>
      </c>
      <c r="E55" s="499">
        <f aca="true" t="shared" si="5" ref="E55">SUM(E56:E58)</f>
        <v>157385</v>
      </c>
      <c r="F55" s="478">
        <f>SUM(F56:F58)</f>
        <v>128383</v>
      </c>
      <c r="G55" s="207">
        <f t="shared" si="0"/>
        <v>0.8157257680210948</v>
      </c>
    </row>
    <row r="56" spans="1:7" ht="12" customHeight="1">
      <c r="A56" s="115">
        <v>1101</v>
      </c>
      <c r="B56" s="116" t="s">
        <v>1</v>
      </c>
      <c r="C56" s="498">
        <v>10000</v>
      </c>
      <c r="D56" s="498">
        <v>10000</v>
      </c>
      <c r="E56" s="498">
        <v>10000</v>
      </c>
      <c r="F56" s="932">
        <v>4931</v>
      </c>
      <c r="G56" s="517">
        <f t="shared" si="0"/>
        <v>0.4931</v>
      </c>
    </row>
    <row r="57" spans="1:7" ht="12" customHeight="1">
      <c r="A57" s="115">
        <v>1102</v>
      </c>
      <c r="B57" s="112" t="s">
        <v>178</v>
      </c>
      <c r="C57" s="498">
        <v>100000</v>
      </c>
      <c r="D57" s="498">
        <v>100000</v>
      </c>
      <c r="E57" s="498">
        <v>100000</v>
      </c>
      <c r="F57" s="932">
        <v>74237</v>
      </c>
      <c r="G57" s="517">
        <f t="shared" si="0"/>
        <v>0.74237</v>
      </c>
    </row>
    <row r="58" spans="1:7" ht="12" customHeight="1">
      <c r="A58" s="115">
        <v>1103</v>
      </c>
      <c r="B58" s="112" t="s">
        <v>179</v>
      </c>
      <c r="C58" s="498">
        <v>47385</v>
      </c>
      <c r="D58" s="498">
        <v>47385</v>
      </c>
      <c r="E58" s="498">
        <v>47385</v>
      </c>
      <c r="F58" s="932">
        <v>49215</v>
      </c>
      <c r="G58" s="517">
        <f t="shared" si="0"/>
        <v>1.0386198163975942</v>
      </c>
    </row>
    <row r="59" spans="1:7" ht="12" customHeight="1">
      <c r="A59" s="423">
        <v>1105</v>
      </c>
      <c r="B59" s="422" t="s">
        <v>292</v>
      </c>
      <c r="C59" s="499"/>
      <c r="D59" s="499"/>
      <c r="E59" s="499"/>
      <c r="F59" s="478"/>
      <c r="G59" s="517"/>
    </row>
    <row r="60" spans="1:7" ht="12" customHeight="1">
      <c r="A60" s="109">
        <v>1110</v>
      </c>
      <c r="B60" s="117" t="s">
        <v>180</v>
      </c>
      <c r="C60" s="498"/>
      <c r="D60" s="498"/>
      <c r="E60" s="498"/>
      <c r="F60" s="932">
        <v>2</v>
      </c>
      <c r="G60" s="517">
        <v>1</v>
      </c>
    </row>
    <row r="61" spans="1:7" ht="12" customHeight="1">
      <c r="A61" s="109">
        <v>1120</v>
      </c>
      <c r="B61" s="117" t="s">
        <v>181</v>
      </c>
      <c r="C61" s="499">
        <f aca="true" t="shared" si="6" ref="C61:D61">SUM(C62:C64)</f>
        <v>560450</v>
      </c>
      <c r="D61" s="499">
        <f t="shared" si="6"/>
        <v>560450</v>
      </c>
      <c r="E61" s="499">
        <f aca="true" t="shared" si="7" ref="E61">SUM(E62:E64)</f>
        <v>560450</v>
      </c>
      <c r="F61" s="478">
        <f aca="true" t="shared" si="8" ref="F61">SUM(F62:F64)</f>
        <v>435905</v>
      </c>
      <c r="G61" s="207">
        <f t="shared" si="0"/>
        <v>0.7777767865108395</v>
      </c>
    </row>
    <row r="62" spans="1:8" ht="12" customHeight="1">
      <c r="A62" s="115">
        <v>1121</v>
      </c>
      <c r="B62" s="104" t="s">
        <v>250</v>
      </c>
      <c r="C62" s="498">
        <f>14513+6750</f>
        <v>21263</v>
      </c>
      <c r="D62" s="498">
        <f>14513+6750</f>
        <v>21263</v>
      </c>
      <c r="E62" s="498">
        <v>21263</v>
      </c>
      <c r="F62" s="932">
        <v>13780</v>
      </c>
      <c r="G62" s="517">
        <f t="shared" si="0"/>
        <v>0.6480741193622724</v>
      </c>
      <c r="H62" s="529"/>
    </row>
    <row r="63" spans="1:7" ht="12" customHeight="1">
      <c r="A63" s="115">
        <v>1122</v>
      </c>
      <c r="B63" s="104" t="s">
        <v>344</v>
      </c>
      <c r="C63" s="498">
        <v>216000</v>
      </c>
      <c r="D63" s="498">
        <v>216000</v>
      </c>
      <c r="E63" s="498">
        <v>216000</v>
      </c>
      <c r="F63" s="932">
        <v>163789</v>
      </c>
      <c r="G63" s="517">
        <f t="shared" si="0"/>
        <v>0.7582824074074074</v>
      </c>
    </row>
    <row r="64" spans="1:7" ht="12" customHeight="1">
      <c r="A64" s="115">
        <v>1123</v>
      </c>
      <c r="B64" s="111" t="s">
        <v>261</v>
      </c>
      <c r="C64" s="498">
        <v>323187</v>
      </c>
      <c r="D64" s="498">
        <v>323187</v>
      </c>
      <c r="E64" s="498">
        <v>323187</v>
      </c>
      <c r="F64" s="932">
        <v>258336</v>
      </c>
      <c r="G64" s="517">
        <f t="shared" si="0"/>
        <v>0.7993390823269501</v>
      </c>
    </row>
    <row r="65" spans="1:7" ht="12" customHeight="1">
      <c r="A65" s="109">
        <v>1130</v>
      </c>
      <c r="B65" s="108" t="s">
        <v>182</v>
      </c>
      <c r="C65" s="499"/>
      <c r="D65" s="499"/>
      <c r="E65" s="499"/>
      <c r="F65" s="478"/>
      <c r="G65" s="517"/>
    </row>
    <row r="66" spans="1:7" ht="12" customHeight="1">
      <c r="A66" s="109">
        <v>1140</v>
      </c>
      <c r="B66" s="110" t="s">
        <v>364</v>
      </c>
      <c r="C66" s="499">
        <f aca="true" t="shared" si="9" ref="C66:F66">SUM(C67)</f>
        <v>45000</v>
      </c>
      <c r="D66" s="499">
        <f t="shared" si="9"/>
        <v>45000</v>
      </c>
      <c r="E66" s="499">
        <f t="shared" si="9"/>
        <v>243251</v>
      </c>
      <c r="F66" s="478">
        <f t="shared" si="9"/>
        <v>408872</v>
      </c>
      <c r="G66" s="207">
        <f t="shared" si="0"/>
        <v>1.6808646213170757</v>
      </c>
    </row>
    <row r="67" spans="1:7" ht="12" customHeight="1">
      <c r="A67" s="115">
        <v>1141</v>
      </c>
      <c r="B67" s="112" t="s">
        <v>69</v>
      </c>
      <c r="C67" s="498">
        <v>45000</v>
      </c>
      <c r="D67" s="498">
        <v>45000</v>
      </c>
      <c r="E67" s="498">
        <f>45000+198251</f>
        <v>243251</v>
      </c>
      <c r="F67" s="932">
        <v>408872</v>
      </c>
      <c r="G67" s="517">
        <f t="shared" si="0"/>
        <v>1.6808646213170757</v>
      </c>
    </row>
    <row r="68" spans="1:7" ht="12" customHeight="1">
      <c r="A68" s="107">
        <v>1150</v>
      </c>
      <c r="B68" s="117" t="s">
        <v>183</v>
      </c>
      <c r="C68" s="499">
        <v>10000</v>
      </c>
      <c r="D68" s="499">
        <v>10000</v>
      </c>
      <c r="E68" s="499">
        <v>10000</v>
      </c>
      <c r="F68" s="478">
        <v>31087</v>
      </c>
      <c r="G68" s="207">
        <f t="shared" si="0"/>
        <v>3.1087</v>
      </c>
    </row>
    <row r="69" spans="1:7" ht="12" customHeight="1" thickBot="1">
      <c r="A69" s="131">
        <v>1151</v>
      </c>
      <c r="B69" s="466" t="s">
        <v>343</v>
      </c>
      <c r="C69" s="500">
        <v>22600</v>
      </c>
      <c r="D69" s="500">
        <v>22600</v>
      </c>
      <c r="E69" s="500">
        <v>22600</v>
      </c>
      <c r="F69" s="948">
        <v>19535</v>
      </c>
      <c r="G69" s="701">
        <f t="shared" si="0"/>
        <v>0.8643805309734514</v>
      </c>
    </row>
    <row r="70" spans="1:7" ht="18.75" customHeight="1" thickBot="1">
      <c r="A70" s="132"/>
      <c r="B70" s="194" t="s">
        <v>290</v>
      </c>
      <c r="C70" s="639">
        <f>SUM(C66+C68+C65+C61+C60+C55+C45+C59+C69)</f>
        <v>2720165</v>
      </c>
      <c r="D70" s="639">
        <f>SUM(D66+D68+D65+D61+D60+D55+D45+D59+D69)</f>
        <v>2720165</v>
      </c>
      <c r="E70" s="639">
        <f>SUM(E66+E68+E65+E61+E60+E55+E45+E59+E69)</f>
        <v>2918416</v>
      </c>
      <c r="F70" s="891">
        <f>SUM(F66+F68+F65+F61+F60+F55+F45+F59+F69)</f>
        <v>2519140</v>
      </c>
      <c r="G70" s="518">
        <f t="shared" si="0"/>
        <v>0.863187427700506</v>
      </c>
    </row>
    <row r="71" spans="1:7" ht="12" customHeight="1">
      <c r="A71" s="127"/>
      <c r="B71" s="187"/>
      <c r="C71" s="638"/>
      <c r="D71" s="638"/>
      <c r="E71" s="638"/>
      <c r="F71" s="1070"/>
      <c r="G71" s="700"/>
    </row>
    <row r="72" spans="1:7" ht="15" customHeight="1">
      <c r="A72" s="114">
        <v>1160</v>
      </c>
      <c r="B72" s="112" t="s">
        <v>184</v>
      </c>
      <c r="C72" s="498"/>
      <c r="D72" s="498">
        <v>700</v>
      </c>
      <c r="E72" s="498">
        <v>700</v>
      </c>
      <c r="F72" s="932">
        <v>5039</v>
      </c>
      <c r="G72" s="517">
        <f t="shared" si="0"/>
        <v>7.198571428571428</v>
      </c>
    </row>
    <row r="73" spans="1:7" ht="15" customHeight="1">
      <c r="A73" s="114">
        <v>1161</v>
      </c>
      <c r="B73" s="112" t="s">
        <v>467</v>
      </c>
      <c r="C73" s="498"/>
      <c r="D73" s="498"/>
      <c r="E73" s="498"/>
      <c r="F73" s="932"/>
      <c r="G73" s="517"/>
    </row>
    <row r="74" spans="1:7" ht="15" customHeight="1">
      <c r="A74" s="114">
        <v>1163</v>
      </c>
      <c r="B74" s="112" t="s">
        <v>576</v>
      </c>
      <c r="C74" s="498"/>
      <c r="D74" s="498"/>
      <c r="E74" s="498"/>
      <c r="F74" s="932"/>
      <c r="G74" s="517"/>
    </row>
    <row r="75" spans="1:7" ht="15" customHeight="1">
      <c r="A75" s="114">
        <v>1164</v>
      </c>
      <c r="B75" s="112" t="s">
        <v>611</v>
      </c>
      <c r="C75" s="498">
        <v>6067</v>
      </c>
      <c r="D75" s="498">
        <v>6067</v>
      </c>
      <c r="E75" s="498">
        <v>6067</v>
      </c>
      <c r="F75" s="932">
        <v>0</v>
      </c>
      <c r="G75" s="517">
        <f aca="true" t="shared" si="10" ref="G75:G138">SUM(F75/E75)</f>
        <v>0</v>
      </c>
    </row>
    <row r="76" spans="1:7" ht="15" customHeight="1">
      <c r="A76" s="487">
        <v>1165</v>
      </c>
      <c r="B76" s="118" t="s">
        <v>524</v>
      </c>
      <c r="C76" s="934">
        <v>3998</v>
      </c>
      <c r="D76" s="934">
        <v>3998</v>
      </c>
      <c r="E76" s="934">
        <v>3998</v>
      </c>
      <c r="F76" s="1077">
        <v>0</v>
      </c>
      <c r="G76" s="935">
        <f t="shared" si="10"/>
        <v>0</v>
      </c>
    </row>
    <row r="77" spans="1:7" ht="15" customHeight="1" thickBot="1">
      <c r="A77" s="119">
        <v>1169</v>
      </c>
      <c r="B77" s="120" t="s">
        <v>659</v>
      </c>
      <c r="C77" s="615">
        <v>0</v>
      </c>
      <c r="D77" s="615">
        <v>0</v>
      </c>
      <c r="E77" s="615">
        <v>0</v>
      </c>
      <c r="F77" s="419">
        <v>0</v>
      </c>
      <c r="G77" s="702"/>
    </row>
    <row r="78" spans="1:7" ht="18" customHeight="1" thickBot="1">
      <c r="A78" s="132"/>
      <c r="B78" s="185" t="s">
        <v>185</v>
      </c>
      <c r="C78" s="500">
        <f>SUM(C72:C77)</f>
        <v>10065</v>
      </c>
      <c r="D78" s="500">
        <f>SUM(D72:D77)</f>
        <v>10765</v>
      </c>
      <c r="E78" s="500">
        <f>SUM(E72:E77)</f>
        <v>10765</v>
      </c>
      <c r="F78" s="948">
        <f>SUM(F72:F77)</f>
        <v>5039</v>
      </c>
      <c r="G78" s="518">
        <f t="shared" si="10"/>
        <v>0.46809103576405015</v>
      </c>
    </row>
    <row r="79" spans="1:7" ht="12" customHeight="1" thickBot="1">
      <c r="A79" s="132"/>
      <c r="B79" s="146"/>
      <c r="C79" s="640"/>
      <c r="D79" s="640"/>
      <c r="E79" s="640"/>
      <c r="F79" s="951"/>
      <c r="G79" s="703"/>
    </row>
    <row r="80" spans="1:7" ht="18.75" customHeight="1" thickBot="1">
      <c r="A80" s="132"/>
      <c r="B80" s="188" t="s">
        <v>45</v>
      </c>
      <c r="C80" s="736">
        <f>SUM(C70+C43+C22+C78)</f>
        <v>19679460</v>
      </c>
      <c r="D80" s="736">
        <f>SUM(D70+D43+D22+D78)</f>
        <v>19764847</v>
      </c>
      <c r="E80" s="736">
        <f>SUM(E70+E43+E22+E78)</f>
        <v>20133970</v>
      </c>
      <c r="F80" s="1078">
        <f>SUM(F70+F43+F22+F78)</f>
        <v>15260064</v>
      </c>
      <c r="G80" s="518">
        <f t="shared" si="10"/>
        <v>0.757926231140704</v>
      </c>
    </row>
    <row r="81" spans="1:7" ht="12" customHeight="1">
      <c r="A81" s="115"/>
      <c r="B81" s="172"/>
      <c r="C81" s="638"/>
      <c r="D81" s="638"/>
      <c r="E81" s="638"/>
      <c r="F81" s="1070"/>
      <c r="G81" s="700"/>
    </row>
    <row r="82" spans="1:7" ht="12" customHeight="1">
      <c r="A82" s="107">
        <v>1165</v>
      </c>
      <c r="B82" s="117" t="s">
        <v>186</v>
      </c>
      <c r="C82" s="499"/>
      <c r="D82" s="499"/>
      <c r="E82" s="499"/>
      <c r="F82" s="478"/>
      <c r="G82" s="517"/>
    </row>
    <row r="83" spans="1:7" ht="12" customHeight="1">
      <c r="A83" s="107">
        <v>1166</v>
      </c>
      <c r="B83" s="117" t="s">
        <v>526</v>
      </c>
      <c r="C83" s="499">
        <v>2399145</v>
      </c>
      <c r="D83" s="499">
        <v>2399145</v>
      </c>
      <c r="E83" s="499">
        <v>2399145</v>
      </c>
      <c r="F83" s="478">
        <v>2399145</v>
      </c>
      <c r="G83" s="207">
        <f t="shared" si="10"/>
        <v>1</v>
      </c>
    </row>
    <row r="84" spans="1:7" ht="12" customHeight="1">
      <c r="A84" s="107">
        <v>1170</v>
      </c>
      <c r="B84" s="106" t="s">
        <v>187</v>
      </c>
      <c r="C84" s="499"/>
      <c r="D84" s="499"/>
      <c r="E84" s="499"/>
      <c r="F84" s="478"/>
      <c r="G84" s="517"/>
    </row>
    <row r="85" spans="1:7" ht="12" customHeight="1">
      <c r="A85" s="107">
        <v>1180</v>
      </c>
      <c r="B85" s="123" t="s">
        <v>325</v>
      </c>
      <c r="C85" s="499">
        <f aca="true" t="shared" si="11" ref="C85:D85">SUM(C86:C87)</f>
        <v>0</v>
      </c>
      <c r="D85" s="499">
        <f t="shared" si="11"/>
        <v>0</v>
      </c>
      <c r="E85" s="499">
        <f aca="true" t="shared" si="12" ref="E85">SUM(E86:E87)</f>
        <v>0</v>
      </c>
      <c r="F85" s="478">
        <f aca="true" t="shared" si="13" ref="F85">SUM(F86:F87)</f>
        <v>0</v>
      </c>
      <c r="G85" s="517"/>
    </row>
    <row r="86" spans="1:7" ht="12" customHeight="1">
      <c r="A86" s="114">
        <v>1182</v>
      </c>
      <c r="B86" s="112" t="s">
        <v>388</v>
      </c>
      <c r="C86" s="498"/>
      <c r="D86" s="498"/>
      <c r="E86" s="498"/>
      <c r="F86" s="932"/>
      <c r="G86" s="517"/>
    </row>
    <row r="87" spans="1:7" ht="12" customHeight="1">
      <c r="A87" s="114">
        <v>1183</v>
      </c>
      <c r="B87" s="112" t="s">
        <v>409</v>
      </c>
      <c r="C87" s="498"/>
      <c r="D87" s="498"/>
      <c r="E87" s="498"/>
      <c r="F87" s="932"/>
      <c r="G87" s="517"/>
    </row>
    <row r="88" spans="1:7" ht="12" customHeight="1" thickBot="1">
      <c r="A88" s="131">
        <v>1185</v>
      </c>
      <c r="B88" s="208" t="s">
        <v>367</v>
      </c>
      <c r="C88" s="641"/>
      <c r="D88" s="641"/>
      <c r="E88" s="641"/>
      <c r="F88" s="1076"/>
      <c r="G88" s="702"/>
    </row>
    <row r="89" spans="1:7" ht="15" customHeight="1" thickBot="1">
      <c r="A89" s="122"/>
      <c r="B89" s="146" t="s">
        <v>345</v>
      </c>
      <c r="C89" s="500">
        <f>SUM(C84+C85+C82+C8+C733+C83)</f>
        <v>2399145</v>
      </c>
      <c r="D89" s="500">
        <f>SUM(D84+D85+D82+D8+D733+D83)</f>
        <v>2399145</v>
      </c>
      <c r="E89" s="500">
        <f>SUM(E84+E85+E82+E8+E733+E83)</f>
        <v>2399145</v>
      </c>
      <c r="F89" s="948">
        <f>SUM(F84+F85+F82+F8+F733+F83)</f>
        <v>2399145</v>
      </c>
      <c r="G89" s="518">
        <f t="shared" si="10"/>
        <v>1</v>
      </c>
    </row>
    <row r="90" spans="1:7" ht="12" customHeight="1">
      <c r="A90" s="109"/>
      <c r="B90" s="116"/>
      <c r="C90" s="638"/>
      <c r="D90" s="638"/>
      <c r="E90" s="638"/>
      <c r="F90" s="1070"/>
      <c r="G90" s="700"/>
    </row>
    <row r="91" spans="1:7" ht="12" customHeight="1">
      <c r="A91" s="107">
        <v>1190</v>
      </c>
      <c r="B91" s="110" t="s">
        <v>190</v>
      </c>
      <c r="C91" s="499">
        <f aca="true" t="shared" si="14" ref="C91:D91">SUM(C92+C93+C94)</f>
        <v>240000</v>
      </c>
      <c r="D91" s="499">
        <f t="shared" si="14"/>
        <v>240000</v>
      </c>
      <c r="E91" s="499">
        <f aca="true" t="shared" si="15" ref="E91">SUM(E92+E93+E94)</f>
        <v>240000</v>
      </c>
      <c r="F91" s="478">
        <f aca="true" t="shared" si="16" ref="F91">SUM(F92+F93+F94)</f>
        <v>159347</v>
      </c>
      <c r="G91" s="207">
        <f t="shared" si="10"/>
        <v>0.6639458333333333</v>
      </c>
    </row>
    <row r="92" spans="1:7" ht="12" customHeight="1">
      <c r="A92" s="114">
        <v>1191</v>
      </c>
      <c r="B92" s="104" t="s">
        <v>392</v>
      </c>
      <c r="C92" s="498"/>
      <c r="D92" s="498"/>
      <c r="E92" s="498"/>
      <c r="F92" s="932"/>
      <c r="G92" s="517"/>
    </row>
    <row r="93" spans="1:7" ht="12" customHeight="1">
      <c r="A93" s="114">
        <v>1194</v>
      </c>
      <c r="B93" s="104" t="s">
        <v>142</v>
      </c>
      <c r="C93" s="498"/>
      <c r="D93" s="498"/>
      <c r="E93" s="498"/>
      <c r="F93" s="932">
        <v>25054</v>
      </c>
      <c r="G93" s="517">
        <v>1</v>
      </c>
    </row>
    <row r="94" spans="1:7" ht="12" customHeight="1" thickBot="1">
      <c r="A94" s="114">
        <v>1195</v>
      </c>
      <c r="B94" s="104" t="s">
        <v>235</v>
      </c>
      <c r="C94" s="520">
        <v>240000</v>
      </c>
      <c r="D94" s="520">
        <v>240000</v>
      </c>
      <c r="E94" s="520">
        <v>240000</v>
      </c>
      <c r="F94" s="1066">
        <f>133653+640</f>
        <v>134293</v>
      </c>
      <c r="G94" s="702">
        <f t="shared" si="10"/>
        <v>0.5595541666666667</v>
      </c>
    </row>
    <row r="95" spans="1:7" ht="15.75" customHeight="1" thickBot="1">
      <c r="A95" s="122"/>
      <c r="B95" s="194" t="s">
        <v>191</v>
      </c>
      <c r="C95" s="642">
        <f aca="true" t="shared" si="17" ref="C95:D95">SUM(C91)</f>
        <v>240000</v>
      </c>
      <c r="D95" s="642">
        <f t="shared" si="17"/>
        <v>240000</v>
      </c>
      <c r="E95" s="642">
        <f aca="true" t="shared" si="18" ref="E95">SUM(E91)</f>
        <v>240000</v>
      </c>
      <c r="F95" s="946">
        <f aca="true" t="shared" si="19" ref="F95">SUM(F91)</f>
        <v>159347</v>
      </c>
      <c r="G95" s="518">
        <f t="shared" si="10"/>
        <v>0.6639458333333333</v>
      </c>
    </row>
    <row r="96" spans="1:7" ht="12" customHeight="1">
      <c r="A96" s="107">
        <v>1200</v>
      </c>
      <c r="B96" s="117" t="s">
        <v>368</v>
      </c>
      <c r="C96" s="643">
        <v>15000</v>
      </c>
      <c r="D96" s="643">
        <v>15000</v>
      </c>
      <c r="E96" s="643">
        <v>15000</v>
      </c>
      <c r="F96" s="423">
        <f>F97+F98</f>
        <v>14633</v>
      </c>
      <c r="G96" s="609">
        <f t="shared" si="10"/>
        <v>0.9755333333333334</v>
      </c>
    </row>
    <row r="97" spans="1:7" ht="12" customHeight="1">
      <c r="A97" s="114">
        <v>1201</v>
      </c>
      <c r="B97" s="104" t="s">
        <v>265</v>
      </c>
      <c r="C97" s="638"/>
      <c r="D97" s="638"/>
      <c r="E97" s="638"/>
      <c r="F97" s="1070">
        <v>65</v>
      </c>
      <c r="G97" s="517">
        <v>1</v>
      </c>
    </row>
    <row r="98" spans="1:7" ht="12" customHeight="1">
      <c r="A98" s="114">
        <v>1202</v>
      </c>
      <c r="B98" s="104" t="s">
        <v>266</v>
      </c>
      <c r="C98" s="498">
        <v>15000</v>
      </c>
      <c r="D98" s="498">
        <v>15000</v>
      </c>
      <c r="E98" s="498">
        <v>15000</v>
      </c>
      <c r="F98" s="932">
        <v>14568</v>
      </c>
      <c r="G98" s="517">
        <f t="shared" si="10"/>
        <v>0.9712</v>
      </c>
    </row>
    <row r="99" spans="1:7" ht="12" customHeight="1">
      <c r="A99" s="107">
        <v>1210</v>
      </c>
      <c r="B99" s="117" t="s">
        <v>194</v>
      </c>
      <c r="C99" s="499"/>
      <c r="D99" s="499">
        <f>2000+50000</f>
        <v>52000</v>
      </c>
      <c r="E99" s="499">
        <v>52000</v>
      </c>
      <c r="F99" s="478">
        <v>52000</v>
      </c>
      <c r="G99" s="207">
        <f t="shared" si="10"/>
        <v>1</v>
      </c>
    </row>
    <row r="100" spans="1:7" ht="12" customHeight="1" thickBot="1">
      <c r="A100" s="478">
        <v>1211</v>
      </c>
      <c r="B100" s="422" t="s">
        <v>308</v>
      </c>
      <c r="C100" s="644"/>
      <c r="D100" s="644"/>
      <c r="E100" s="644"/>
      <c r="F100" s="1079">
        <v>61891</v>
      </c>
      <c r="G100" s="702">
        <v>1</v>
      </c>
    </row>
    <row r="101" spans="1:7" ht="15.75" customHeight="1" thickBot="1">
      <c r="A101" s="122"/>
      <c r="B101" s="146" t="s">
        <v>195</v>
      </c>
      <c r="C101" s="642">
        <f>SUM(C96+C99+C100)</f>
        <v>15000</v>
      </c>
      <c r="D101" s="642">
        <f>SUM(D96+D99+D100)</f>
        <v>67000</v>
      </c>
      <c r="E101" s="642">
        <f>SUM(E96+E99+E100)</f>
        <v>67000</v>
      </c>
      <c r="F101" s="946">
        <f>SUM(F96+F99+F100)</f>
        <v>128524</v>
      </c>
      <c r="G101" s="612">
        <f t="shared" si="10"/>
        <v>1.918268656716418</v>
      </c>
    </row>
    <row r="102" spans="1:7" ht="12" customHeight="1" thickBot="1">
      <c r="A102" s="122"/>
      <c r="B102" s="121"/>
      <c r="C102" s="601"/>
      <c r="D102" s="601"/>
      <c r="E102" s="601"/>
      <c r="F102" s="1071"/>
      <c r="G102" s="703"/>
    </row>
    <row r="103" spans="1:7" ht="24" customHeight="1" thickBot="1">
      <c r="A103" s="122"/>
      <c r="B103" s="191" t="s">
        <v>46</v>
      </c>
      <c r="C103" s="645">
        <f>SUM(C89+C95+C101)</f>
        <v>2654145</v>
      </c>
      <c r="D103" s="645">
        <f>SUM(D89+D95+D101)</f>
        <v>2706145</v>
      </c>
      <c r="E103" s="645">
        <f>SUM(E89+E95+E101)</f>
        <v>2706145</v>
      </c>
      <c r="F103" s="954">
        <f>SUM(F89+F95+F101)</f>
        <v>2687016</v>
      </c>
      <c r="G103" s="518">
        <f t="shared" si="10"/>
        <v>0.9929312730840365</v>
      </c>
    </row>
    <row r="104" spans="1:7" ht="12.75" customHeight="1">
      <c r="A104" s="129"/>
      <c r="B104" s="189"/>
      <c r="C104" s="638"/>
      <c r="D104" s="638"/>
      <c r="E104" s="638"/>
      <c r="F104" s="1070"/>
      <c r="G104" s="700"/>
    </row>
    <row r="105" spans="1:7" ht="12" customHeight="1">
      <c r="A105" s="114">
        <v>1215</v>
      </c>
      <c r="B105" s="112" t="s">
        <v>348</v>
      </c>
      <c r="C105" s="498">
        <v>114066</v>
      </c>
      <c r="D105" s="498">
        <f>114066+590242+3229104</f>
        <v>3933412</v>
      </c>
      <c r="E105" s="498">
        <v>3933412</v>
      </c>
      <c r="F105" s="932">
        <v>3933412</v>
      </c>
      <c r="G105" s="517">
        <f t="shared" si="10"/>
        <v>1</v>
      </c>
    </row>
    <row r="106" spans="1:7" ht="12" customHeight="1">
      <c r="A106" s="487">
        <v>1216</v>
      </c>
      <c r="B106" s="124" t="s">
        <v>334</v>
      </c>
      <c r="C106" s="601"/>
      <c r="D106" s="601"/>
      <c r="E106" s="601"/>
      <c r="F106" s="1071"/>
      <c r="G106" s="517"/>
    </row>
    <row r="107" spans="1:7" ht="12" customHeight="1" thickBot="1">
      <c r="A107" s="119">
        <v>1218</v>
      </c>
      <c r="B107" s="120" t="s">
        <v>469</v>
      </c>
      <c r="C107" s="602"/>
      <c r="D107" s="602">
        <v>303423</v>
      </c>
      <c r="E107" s="602">
        <f>303423+425405</f>
        <v>728828</v>
      </c>
      <c r="F107" s="1080">
        <v>862125</v>
      </c>
      <c r="G107" s="702">
        <f t="shared" si="10"/>
        <v>1.1828922599021992</v>
      </c>
    </row>
    <row r="108" spans="1:7" ht="21.75" customHeight="1" thickBot="1">
      <c r="A108" s="131"/>
      <c r="B108" s="185" t="s">
        <v>26</v>
      </c>
      <c r="C108" s="500">
        <f>SUM(C105:C107)</f>
        <v>114066</v>
      </c>
      <c r="D108" s="500">
        <f>SUM(D105:D107)</f>
        <v>4236835</v>
      </c>
      <c r="E108" s="500">
        <f>SUM(E105:E107)</f>
        <v>4662240</v>
      </c>
      <c r="F108" s="948">
        <f>SUM(F105:F107)</f>
        <v>4795537</v>
      </c>
      <c r="G108" s="703">
        <f t="shared" si="10"/>
        <v>1.0285907632382718</v>
      </c>
    </row>
    <row r="109" spans="1:7" ht="12" customHeight="1">
      <c r="A109" s="129"/>
      <c r="B109" s="153"/>
      <c r="C109" s="638"/>
      <c r="D109" s="638"/>
      <c r="E109" s="638"/>
      <c r="F109" s="1070"/>
      <c r="G109" s="700"/>
    </row>
    <row r="110" spans="1:7" ht="12" customHeight="1" thickBot="1">
      <c r="A110" s="424">
        <v>1221</v>
      </c>
      <c r="B110" s="420" t="s">
        <v>348</v>
      </c>
      <c r="C110" s="419">
        <f>3767791+2198986</f>
        <v>5966777</v>
      </c>
      <c r="D110" s="419">
        <f>3767791+2198986+1837704</f>
        <v>7804481</v>
      </c>
      <c r="E110" s="419">
        <v>7804481</v>
      </c>
      <c r="F110" s="419">
        <v>7804481</v>
      </c>
      <c r="G110" s="945">
        <f t="shared" si="10"/>
        <v>1</v>
      </c>
    </row>
    <row r="111" spans="1:7" ht="18" customHeight="1" thickBot="1">
      <c r="A111" s="946"/>
      <c r="B111" s="947" t="s">
        <v>196</v>
      </c>
      <c r="C111" s="948">
        <f>SUM(C110)</f>
        <v>5966777</v>
      </c>
      <c r="D111" s="948">
        <f>SUM(D110)</f>
        <v>7804481</v>
      </c>
      <c r="E111" s="948">
        <f>SUM(E110)</f>
        <v>7804481</v>
      </c>
      <c r="F111" s="948">
        <f>SUM(F110)</f>
        <v>7804481</v>
      </c>
      <c r="G111" s="949">
        <f t="shared" si="10"/>
        <v>1</v>
      </c>
    </row>
    <row r="112" spans="1:7" ht="12" customHeight="1" thickBot="1">
      <c r="A112" s="946"/>
      <c r="B112" s="950"/>
      <c r="C112" s="951"/>
      <c r="D112" s="951"/>
      <c r="E112" s="951"/>
      <c r="F112" s="951"/>
      <c r="G112" s="952"/>
    </row>
    <row r="113" spans="1:7" ht="16.5" customHeight="1" thickBot="1">
      <c r="A113" s="946"/>
      <c r="B113" s="953" t="s">
        <v>288</v>
      </c>
      <c r="C113" s="954">
        <f>SUM(C111+C103+C80+C108)</f>
        <v>28414448</v>
      </c>
      <c r="D113" s="954">
        <f>SUM(D111+D103+D80+D108)</f>
        <v>34512308</v>
      </c>
      <c r="E113" s="954">
        <f>SUM(E111+E103+E80+E108)</f>
        <v>35306836</v>
      </c>
      <c r="F113" s="954">
        <f>SUM(F111+F103+F80+F108)</f>
        <v>30547098</v>
      </c>
      <c r="G113" s="949">
        <f t="shared" si="10"/>
        <v>0.8651893361387579</v>
      </c>
    </row>
    <row r="114" spans="1:7" ht="12" customHeight="1">
      <c r="A114" s="955"/>
      <c r="B114" s="950"/>
      <c r="C114" s="956"/>
      <c r="D114" s="956"/>
      <c r="E114" s="956"/>
      <c r="F114" s="956"/>
      <c r="G114" s="957"/>
    </row>
    <row r="115" spans="1:7" ht="15.75" customHeight="1">
      <c r="A115" s="478"/>
      <c r="B115" s="958" t="s">
        <v>251</v>
      </c>
      <c r="C115" s="933"/>
      <c r="D115" s="933"/>
      <c r="E115" s="933"/>
      <c r="F115" s="933"/>
      <c r="G115" s="959"/>
    </row>
    <row r="116" spans="1:7" ht="12" customHeight="1">
      <c r="A116" s="107"/>
      <c r="B116" s="192"/>
      <c r="C116" s="648"/>
      <c r="D116" s="648"/>
      <c r="E116" s="648"/>
      <c r="F116" s="1081"/>
      <c r="G116" s="517"/>
    </row>
    <row r="117" spans="1:7" ht="12" customHeight="1">
      <c r="A117" s="114">
        <v>1230</v>
      </c>
      <c r="B117" s="112" t="s">
        <v>166</v>
      </c>
      <c r="C117" s="647"/>
      <c r="D117" s="647"/>
      <c r="E117" s="647"/>
      <c r="F117" s="933"/>
      <c r="G117" s="517"/>
    </row>
    <row r="118" spans="1:7" ht="12" customHeight="1" thickBot="1">
      <c r="A118" s="119">
        <v>1231</v>
      </c>
      <c r="B118" s="120" t="s">
        <v>338</v>
      </c>
      <c r="C118" s="602"/>
      <c r="D118" s="602"/>
      <c r="E118" s="602"/>
      <c r="F118" s="1080"/>
      <c r="G118" s="702"/>
    </row>
    <row r="119" spans="1:7" ht="12" customHeight="1" thickBot="1">
      <c r="A119" s="122"/>
      <c r="B119" s="121" t="s">
        <v>346</v>
      </c>
      <c r="C119" s="642">
        <f>SUM(C118)</f>
        <v>0</v>
      </c>
      <c r="D119" s="642">
        <f>SUM(D118)</f>
        <v>0</v>
      </c>
      <c r="E119" s="642">
        <f>SUM(E118)</f>
        <v>0</v>
      </c>
      <c r="F119" s="946">
        <f>SUM(F118)</f>
        <v>0</v>
      </c>
      <c r="G119" s="703"/>
    </row>
    <row r="120" spans="1:7" ht="12" customHeight="1">
      <c r="A120" s="107"/>
      <c r="B120" s="453" t="s">
        <v>143</v>
      </c>
      <c r="C120" s="643"/>
      <c r="D120" s="643"/>
      <c r="E120" s="643"/>
      <c r="F120" s="423"/>
      <c r="G120" s="700"/>
    </row>
    <row r="121" spans="1:7" ht="12" customHeight="1">
      <c r="A121" s="114">
        <v>1205</v>
      </c>
      <c r="B121" s="157" t="s">
        <v>8</v>
      </c>
      <c r="C121" s="522">
        <v>10000</v>
      </c>
      <c r="D121" s="522">
        <v>10000</v>
      </c>
      <c r="E121" s="522">
        <v>10000</v>
      </c>
      <c r="F121" s="424">
        <v>6221</v>
      </c>
      <c r="G121" s="517">
        <f t="shared" si="10"/>
        <v>0.6221</v>
      </c>
    </row>
    <row r="122" spans="1:7" ht="14.25" customHeight="1" thickBot="1">
      <c r="A122" s="130">
        <v>1206</v>
      </c>
      <c r="B122" s="206" t="s">
        <v>412</v>
      </c>
      <c r="C122" s="521">
        <v>30000</v>
      </c>
      <c r="D122" s="521">
        <v>30000</v>
      </c>
      <c r="E122" s="521">
        <v>30000</v>
      </c>
      <c r="F122" s="992">
        <v>24691</v>
      </c>
      <c r="G122" s="702">
        <f t="shared" si="10"/>
        <v>0.8230333333333333</v>
      </c>
    </row>
    <row r="123" spans="1:7" ht="17.25" customHeight="1" thickBot="1">
      <c r="A123" s="130"/>
      <c r="B123" s="454" t="s">
        <v>175</v>
      </c>
      <c r="C123" s="649">
        <f>SUM(C121:C122)</f>
        <v>40000</v>
      </c>
      <c r="D123" s="649">
        <f>SUM(D121:D122)</f>
        <v>40000</v>
      </c>
      <c r="E123" s="649">
        <f>SUM(E121:E122)</f>
        <v>40000</v>
      </c>
      <c r="F123" s="1082">
        <f>SUM(F121:F122)</f>
        <v>30912</v>
      </c>
      <c r="G123" s="518">
        <f t="shared" si="10"/>
        <v>0.7728</v>
      </c>
    </row>
    <row r="124" spans="1:7" ht="12" customHeight="1">
      <c r="A124" s="109">
        <v>1240</v>
      </c>
      <c r="B124" s="186" t="s">
        <v>176</v>
      </c>
      <c r="C124" s="643">
        <f aca="true" t="shared" si="20" ref="C124:D124">C125+C126</f>
        <v>7000</v>
      </c>
      <c r="D124" s="643">
        <f t="shared" si="20"/>
        <v>7000</v>
      </c>
      <c r="E124" s="643">
        <f aca="true" t="shared" si="21" ref="E124">E125+E126</f>
        <v>7000</v>
      </c>
      <c r="F124" s="423">
        <f aca="true" t="shared" si="22" ref="F124">F125+F126</f>
        <v>7064</v>
      </c>
      <c r="G124" s="609">
        <f t="shared" si="10"/>
        <v>1.0091428571428571</v>
      </c>
    </row>
    <row r="125" spans="1:7" ht="12" customHeight="1">
      <c r="A125" s="114">
        <v>1241</v>
      </c>
      <c r="B125" s="112" t="s">
        <v>67</v>
      </c>
      <c r="C125" s="638">
        <v>7000</v>
      </c>
      <c r="D125" s="638">
        <v>7000</v>
      </c>
      <c r="E125" s="638">
        <v>7000</v>
      </c>
      <c r="F125" s="1070">
        <v>7064</v>
      </c>
      <c r="G125" s="517">
        <f t="shared" si="10"/>
        <v>1.0091428571428571</v>
      </c>
    </row>
    <row r="126" spans="1:7" ht="12" customHeight="1">
      <c r="A126" s="114">
        <v>1242</v>
      </c>
      <c r="B126" s="112" t="s">
        <v>68</v>
      </c>
      <c r="C126" s="498"/>
      <c r="D126" s="498"/>
      <c r="E126" s="498"/>
      <c r="F126" s="932"/>
      <c r="G126" s="517"/>
    </row>
    <row r="127" spans="1:7" ht="12" customHeight="1">
      <c r="A127" s="114">
        <v>1250</v>
      </c>
      <c r="B127" s="157" t="s">
        <v>177</v>
      </c>
      <c r="C127" s="498">
        <v>20000</v>
      </c>
      <c r="D127" s="498">
        <v>20000</v>
      </c>
      <c r="E127" s="498">
        <v>20000</v>
      </c>
      <c r="F127" s="932">
        <v>18170</v>
      </c>
      <c r="G127" s="517">
        <f t="shared" si="10"/>
        <v>0.9085</v>
      </c>
    </row>
    <row r="128" spans="1:7" ht="12" customHeight="1">
      <c r="A128" s="114">
        <v>1255</v>
      </c>
      <c r="B128" s="112" t="s">
        <v>180</v>
      </c>
      <c r="C128" s="498"/>
      <c r="D128" s="498"/>
      <c r="E128" s="498"/>
      <c r="F128" s="932"/>
      <c r="G128" s="517"/>
    </row>
    <row r="129" spans="1:7" ht="12" customHeight="1">
      <c r="A129" s="114">
        <v>1260</v>
      </c>
      <c r="B129" s="112" t="s">
        <v>181</v>
      </c>
      <c r="C129" s="498">
        <v>7290</v>
      </c>
      <c r="D129" s="498">
        <v>7290</v>
      </c>
      <c r="E129" s="498">
        <v>7290</v>
      </c>
      <c r="F129" s="932">
        <v>6704</v>
      </c>
      <c r="G129" s="517">
        <f t="shared" si="10"/>
        <v>0.9196159122085048</v>
      </c>
    </row>
    <row r="130" spans="1:7" ht="12" customHeight="1">
      <c r="A130" s="114">
        <v>1261</v>
      </c>
      <c r="B130" s="116" t="s">
        <v>182</v>
      </c>
      <c r="C130" s="498"/>
      <c r="D130" s="498"/>
      <c r="E130" s="498"/>
      <c r="F130" s="932"/>
      <c r="G130" s="517"/>
    </row>
    <row r="131" spans="1:7" ht="12" customHeight="1">
      <c r="A131" s="114">
        <v>1262</v>
      </c>
      <c r="B131" s="111" t="s">
        <v>364</v>
      </c>
      <c r="C131" s="498"/>
      <c r="D131" s="498"/>
      <c r="E131" s="498"/>
      <c r="F131" s="932">
        <v>17</v>
      </c>
      <c r="G131" s="517">
        <v>1</v>
      </c>
    </row>
    <row r="132" spans="1:7" ht="12" customHeight="1" thickBot="1">
      <c r="A132" s="119">
        <v>1270</v>
      </c>
      <c r="B132" s="120" t="s">
        <v>183</v>
      </c>
      <c r="C132" s="602">
        <v>450</v>
      </c>
      <c r="D132" s="602">
        <v>450</v>
      </c>
      <c r="E132" s="602">
        <v>450</v>
      </c>
      <c r="F132" s="1080">
        <v>226</v>
      </c>
      <c r="G132" s="702">
        <f t="shared" si="10"/>
        <v>0.5022222222222222</v>
      </c>
    </row>
    <row r="133" spans="1:7" ht="16.5" customHeight="1" thickBot="1">
      <c r="A133" s="131"/>
      <c r="B133" s="146" t="s">
        <v>290</v>
      </c>
      <c r="C133" s="650">
        <f aca="true" t="shared" si="23" ref="C133:D133">SUM(C124+C127+C129+C131+C128+C132)</f>
        <v>34740</v>
      </c>
      <c r="D133" s="650">
        <f t="shared" si="23"/>
        <v>34740</v>
      </c>
      <c r="E133" s="650">
        <f aca="true" t="shared" si="24" ref="E133">SUM(E124+E127+E129+E131+E128+E132)</f>
        <v>34740</v>
      </c>
      <c r="F133" s="1083">
        <f aca="true" t="shared" si="25" ref="F133">SUM(F124+F127+F129+F131+F128+F132)</f>
        <v>32181</v>
      </c>
      <c r="G133" s="518">
        <f t="shared" si="10"/>
        <v>0.9263385146804836</v>
      </c>
    </row>
    <row r="134" spans="1:7" ht="12" customHeight="1">
      <c r="A134" s="129"/>
      <c r="B134" s="110"/>
      <c r="C134" s="646"/>
      <c r="D134" s="646"/>
      <c r="E134" s="646"/>
      <c r="F134" s="956"/>
      <c r="G134" s="700"/>
    </row>
    <row r="135" spans="1:7" ht="12" customHeight="1" thickBot="1">
      <c r="A135" s="130">
        <v>1280</v>
      </c>
      <c r="B135" s="136" t="s">
        <v>184</v>
      </c>
      <c r="C135" s="651"/>
      <c r="D135" s="651"/>
      <c r="E135" s="651"/>
      <c r="F135" s="1084"/>
      <c r="G135" s="702"/>
    </row>
    <row r="136" spans="1:7" ht="15.75" customHeight="1" thickBot="1">
      <c r="A136" s="122"/>
      <c r="B136" s="185" t="s">
        <v>185</v>
      </c>
      <c r="C136" s="652"/>
      <c r="D136" s="652"/>
      <c r="E136" s="652"/>
      <c r="F136" s="1085"/>
      <c r="G136" s="703"/>
    </row>
    <row r="137" spans="1:7" ht="15.75" customHeight="1" thickBot="1">
      <c r="A137" s="122"/>
      <c r="B137" s="172"/>
      <c r="C137" s="652"/>
      <c r="D137" s="652"/>
      <c r="E137" s="652"/>
      <c r="F137" s="1085"/>
      <c r="G137" s="703"/>
    </row>
    <row r="138" spans="1:7" ht="15.75" customHeight="1" thickBot="1">
      <c r="A138" s="122"/>
      <c r="B138" s="188" t="s">
        <v>45</v>
      </c>
      <c r="C138" s="653">
        <f>SUM(C133+C136+C119+C123)</f>
        <v>74740</v>
      </c>
      <c r="D138" s="653">
        <f>SUM(D133+D136+D119+D123)</f>
        <v>74740</v>
      </c>
      <c r="E138" s="653">
        <f>SUM(E133+E136+E119+E123)</f>
        <v>74740</v>
      </c>
      <c r="F138" s="1086">
        <f>SUM(F133+F136+F119+F123)</f>
        <v>63093</v>
      </c>
      <c r="G138" s="518">
        <f t="shared" si="10"/>
        <v>0.8441664436713942</v>
      </c>
    </row>
    <row r="139" spans="1:7" ht="13.5" customHeight="1">
      <c r="A139" s="109"/>
      <c r="B139" s="172"/>
      <c r="C139" s="646"/>
      <c r="D139" s="646"/>
      <c r="E139" s="646"/>
      <c r="F139" s="956"/>
      <c r="G139" s="700"/>
    </row>
    <row r="140" spans="1:7" ht="12" customHeight="1">
      <c r="A140" s="114">
        <v>1285</v>
      </c>
      <c r="B140" s="112" t="s">
        <v>186</v>
      </c>
      <c r="C140" s="647"/>
      <c r="D140" s="647"/>
      <c r="E140" s="647"/>
      <c r="F140" s="933"/>
      <c r="G140" s="517"/>
    </row>
    <row r="141" spans="1:7" ht="12" customHeight="1" thickBot="1">
      <c r="A141" s="114">
        <v>1286</v>
      </c>
      <c r="B141" s="112" t="s">
        <v>367</v>
      </c>
      <c r="C141" s="651"/>
      <c r="D141" s="651"/>
      <c r="E141" s="651"/>
      <c r="F141" s="1084"/>
      <c r="G141" s="702"/>
    </row>
    <row r="142" spans="1:7" ht="16.5" customHeight="1" thickBot="1">
      <c r="A142" s="122"/>
      <c r="B142" s="146" t="s">
        <v>345</v>
      </c>
      <c r="C142" s="652"/>
      <c r="D142" s="652"/>
      <c r="E142" s="652"/>
      <c r="F142" s="1085"/>
      <c r="G142" s="703"/>
    </row>
    <row r="143" spans="1:7" ht="12.75" customHeight="1">
      <c r="A143" s="129"/>
      <c r="B143" s="187"/>
      <c r="C143" s="646"/>
      <c r="D143" s="646"/>
      <c r="E143" s="646"/>
      <c r="F143" s="956"/>
      <c r="G143" s="700"/>
    </row>
    <row r="144" spans="1:7" ht="12.75" customHeight="1" thickBot="1">
      <c r="A144" s="119">
        <v>1290</v>
      </c>
      <c r="B144" s="120" t="s">
        <v>197</v>
      </c>
      <c r="C144" s="520"/>
      <c r="D144" s="520"/>
      <c r="E144" s="520"/>
      <c r="F144" s="1066"/>
      <c r="G144" s="517"/>
    </row>
    <row r="145" spans="1:7" ht="16.5" customHeight="1" thickBot="1">
      <c r="A145" s="131"/>
      <c r="B145" s="185" t="s">
        <v>191</v>
      </c>
      <c r="C145" s="642">
        <f>C144</f>
        <v>0</v>
      </c>
      <c r="D145" s="642">
        <f>D144</f>
        <v>0</v>
      </c>
      <c r="E145" s="642">
        <f>E144</f>
        <v>0</v>
      </c>
      <c r="F145" s="946">
        <f>F144</f>
        <v>0</v>
      </c>
      <c r="G145" s="642"/>
    </row>
    <row r="146" spans="1:7" ht="9" customHeight="1">
      <c r="A146" s="129"/>
      <c r="B146" s="187"/>
      <c r="C146" s="646"/>
      <c r="D146" s="646"/>
      <c r="E146" s="646"/>
      <c r="F146" s="956"/>
      <c r="G146" s="700"/>
    </row>
    <row r="147" spans="1:7" ht="12.95" customHeight="1">
      <c r="A147" s="107"/>
      <c r="B147" s="117" t="s">
        <v>347</v>
      </c>
      <c r="C147" s="647"/>
      <c r="D147" s="647"/>
      <c r="E147" s="647"/>
      <c r="F147" s="933"/>
      <c r="G147" s="517"/>
    </row>
    <row r="148" spans="1:7" ht="13.5" customHeight="1" thickBot="1">
      <c r="A148" s="119">
        <v>1291</v>
      </c>
      <c r="B148" s="484" t="s">
        <v>43</v>
      </c>
      <c r="C148" s="520">
        <v>4000</v>
      </c>
      <c r="D148" s="520">
        <v>4000</v>
      </c>
      <c r="E148" s="520">
        <v>4000</v>
      </c>
      <c r="F148" s="1066">
        <v>2758</v>
      </c>
      <c r="G148" s="702">
        <f aca="true" t="shared" si="26" ref="G148:G200">SUM(F148/E148)</f>
        <v>0.6895</v>
      </c>
    </row>
    <row r="149" spans="1:7" ht="16.5" customHeight="1" thickBot="1">
      <c r="A149" s="122"/>
      <c r="B149" s="146" t="s">
        <v>195</v>
      </c>
      <c r="C149" s="654">
        <f aca="true" t="shared" si="27" ref="C149:D149">SUM(C148)</f>
        <v>4000</v>
      </c>
      <c r="D149" s="654">
        <f t="shared" si="27"/>
        <v>4000</v>
      </c>
      <c r="E149" s="654">
        <f aca="true" t="shared" si="28" ref="E149">SUM(E148)</f>
        <v>4000</v>
      </c>
      <c r="F149" s="1087">
        <f aca="true" t="shared" si="29" ref="F149">SUM(F148)</f>
        <v>2758</v>
      </c>
      <c r="G149" s="518">
        <f t="shared" si="26"/>
        <v>0.6895</v>
      </c>
    </row>
    <row r="150" spans="1:7" ht="12.75" customHeight="1">
      <c r="A150" s="129"/>
      <c r="B150" s="187"/>
      <c r="C150" s="638"/>
      <c r="D150" s="638"/>
      <c r="E150" s="638"/>
      <c r="F150" s="1070"/>
      <c r="G150" s="700"/>
    </row>
    <row r="151" spans="1:7" ht="12.75" customHeight="1">
      <c r="A151" s="114">
        <v>1292</v>
      </c>
      <c r="B151" s="112" t="s">
        <v>348</v>
      </c>
      <c r="C151" s="498"/>
      <c r="D151" s="498">
        <v>154850</v>
      </c>
      <c r="E151" s="498">
        <v>154850</v>
      </c>
      <c r="F151" s="932">
        <v>154850</v>
      </c>
      <c r="G151" s="517">
        <f t="shared" si="26"/>
        <v>1</v>
      </c>
    </row>
    <row r="152" spans="1:7" ht="12.75" customHeight="1" thickBot="1">
      <c r="A152" s="114">
        <v>1293</v>
      </c>
      <c r="B152" s="112" t="s">
        <v>376</v>
      </c>
      <c r="C152" s="520">
        <f>3142333+40979+2260</f>
        <v>3185572</v>
      </c>
      <c r="D152" s="520">
        <f>3142333+40979+2260</f>
        <v>3185572</v>
      </c>
      <c r="E152" s="520">
        <v>3185572</v>
      </c>
      <c r="F152" s="1066">
        <v>2044949</v>
      </c>
      <c r="G152" s="702">
        <f t="shared" si="26"/>
        <v>0.6419409135941677</v>
      </c>
    </row>
    <row r="153" spans="1:7" ht="17.25" customHeight="1" thickBot="1">
      <c r="A153" s="122"/>
      <c r="B153" s="146" t="s">
        <v>26</v>
      </c>
      <c r="C153" s="654">
        <f>SUM(C151:C152)</f>
        <v>3185572</v>
      </c>
      <c r="D153" s="654">
        <f>SUM(D151:D152)</f>
        <v>3340422</v>
      </c>
      <c r="E153" s="654">
        <f>SUM(E151:E152)</f>
        <v>3340422</v>
      </c>
      <c r="F153" s="1087">
        <f>SUM(F151:F152)</f>
        <v>2199799</v>
      </c>
      <c r="G153" s="518">
        <f t="shared" si="26"/>
        <v>0.6585392504300355</v>
      </c>
    </row>
    <row r="154" spans="1:7" ht="12" customHeight="1">
      <c r="A154" s="129"/>
      <c r="B154" s="162"/>
      <c r="C154" s="638"/>
      <c r="D154" s="638"/>
      <c r="E154" s="638"/>
      <c r="F154" s="1070"/>
      <c r="G154" s="700"/>
    </row>
    <row r="155" spans="1:7" ht="12" customHeight="1" thickBot="1">
      <c r="A155" s="114">
        <v>1294</v>
      </c>
      <c r="B155" s="112" t="s">
        <v>349</v>
      </c>
      <c r="C155" s="520"/>
      <c r="D155" s="520">
        <f>74193+217871</f>
        <v>292064</v>
      </c>
      <c r="E155" s="520">
        <v>292064</v>
      </c>
      <c r="F155" s="1066">
        <v>292064</v>
      </c>
      <c r="G155" s="702">
        <f t="shared" si="26"/>
        <v>1</v>
      </c>
    </row>
    <row r="156" spans="1:7" ht="17.25" customHeight="1" thickBot="1">
      <c r="A156" s="122"/>
      <c r="B156" s="194" t="s">
        <v>196</v>
      </c>
      <c r="C156" s="642">
        <f>C155</f>
        <v>0</v>
      </c>
      <c r="D156" s="642">
        <f>D155</f>
        <v>292064</v>
      </c>
      <c r="E156" s="642">
        <f>E155</f>
        <v>292064</v>
      </c>
      <c r="F156" s="946">
        <f>F155</f>
        <v>292064</v>
      </c>
      <c r="G156" s="703">
        <f t="shared" si="26"/>
        <v>1</v>
      </c>
    </row>
    <row r="157" spans="1:7" ht="12" customHeight="1" thickBot="1">
      <c r="A157" s="122"/>
      <c r="B157" s="113"/>
      <c r="C157" s="655"/>
      <c r="D157" s="655"/>
      <c r="E157" s="655"/>
      <c r="F157" s="1088"/>
      <c r="G157" s="703"/>
    </row>
    <row r="158" spans="1:7" ht="18" customHeight="1" thickBot="1">
      <c r="A158" s="122"/>
      <c r="B158" s="190" t="s">
        <v>289</v>
      </c>
      <c r="C158" s="645">
        <f>SUM(C156+C153+C138+C145+C149)</f>
        <v>3264312</v>
      </c>
      <c r="D158" s="954">
        <f>SUM(D156+D153+D138+D145+D149)</f>
        <v>3711226</v>
      </c>
      <c r="E158" s="954">
        <f>SUM(E156+E153+E138+E145+E149)</f>
        <v>3711226</v>
      </c>
      <c r="F158" s="954">
        <f>SUM(F156+F153+F138+F145+F149)</f>
        <v>2557714</v>
      </c>
      <c r="G158" s="518">
        <f t="shared" si="26"/>
        <v>0.6891830354712971</v>
      </c>
    </row>
    <row r="159" spans="1:7" ht="18" customHeight="1">
      <c r="A159" s="126"/>
      <c r="B159" s="737"/>
      <c r="C159" s="738"/>
      <c r="D159" s="738"/>
      <c r="E159" s="738"/>
      <c r="F159" s="1089"/>
      <c r="G159" s="700"/>
    </row>
    <row r="160" spans="1:7" s="97" customFormat="1" ht="15" customHeight="1">
      <c r="A160" s="107"/>
      <c r="B160" s="193" t="s">
        <v>578</v>
      </c>
      <c r="C160" s="499"/>
      <c r="D160" s="499"/>
      <c r="E160" s="499"/>
      <c r="F160" s="478"/>
      <c r="G160" s="517"/>
    </row>
    <row r="161" spans="1:7" s="97" customFormat="1" ht="12.75" customHeight="1">
      <c r="A161" s="107"/>
      <c r="B161" s="195"/>
      <c r="C161" s="499"/>
      <c r="D161" s="499"/>
      <c r="E161" s="499"/>
      <c r="F161" s="478"/>
      <c r="G161" s="517"/>
    </row>
    <row r="162" spans="1:7" s="97" customFormat="1" ht="12.75">
      <c r="A162" s="114">
        <v>1400</v>
      </c>
      <c r="B162" s="112" t="s">
        <v>166</v>
      </c>
      <c r="C162" s="647"/>
      <c r="D162" s="647"/>
      <c r="E162" s="647"/>
      <c r="F162" s="933"/>
      <c r="G162" s="517"/>
    </row>
    <row r="163" spans="1:7" s="97" customFormat="1" ht="12.75" thickBot="1">
      <c r="A163" s="119">
        <v>1401</v>
      </c>
      <c r="B163" s="120" t="s">
        <v>338</v>
      </c>
      <c r="C163" s="602">
        <f>'2.mell'!C676</f>
        <v>0</v>
      </c>
      <c r="D163" s="602">
        <f>'2.mell'!D676</f>
        <v>0</v>
      </c>
      <c r="E163" s="602">
        <f>'2.mell'!E676</f>
        <v>2150</v>
      </c>
      <c r="F163" s="1080">
        <f>'2.mell'!F676</f>
        <v>2150</v>
      </c>
      <c r="G163" s="702">
        <f t="shared" si="26"/>
        <v>1</v>
      </c>
    </row>
    <row r="164" spans="1:7" s="97" customFormat="1" ht="12.75" thickBot="1">
      <c r="A164" s="122"/>
      <c r="B164" s="121" t="s">
        <v>346</v>
      </c>
      <c r="C164" s="500">
        <f aca="true" t="shared" si="30" ref="C164:D164">SUM(C163)</f>
        <v>0</v>
      </c>
      <c r="D164" s="500">
        <f t="shared" si="30"/>
        <v>0</v>
      </c>
      <c r="E164" s="500">
        <f aca="true" t="shared" si="31" ref="E164">SUM(E163)</f>
        <v>2150</v>
      </c>
      <c r="F164" s="948">
        <f aca="true" t="shared" si="32" ref="F164">SUM(F163)</f>
        <v>2150</v>
      </c>
      <c r="G164" s="703">
        <f t="shared" si="26"/>
        <v>1</v>
      </c>
    </row>
    <row r="165" spans="1:7" s="97" customFormat="1" ht="12.75">
      <c r="A165" s="127">
        <v>1409</v>
      </c>
      <c r="B165" s="118" t="s">
        <v>333</v>
      </c>
      <c r="C165" s="643">
        <f>'2.mell'!C678</f>
        <v>0</v>
      </c>
      <c r="D165" s="643">
        <f>'2.mell'!D678</f>
        <v>0</v>
      </c>
      <c r="E165" s="643">
        <f>'2.mell'!E678</f>
        <v>37</v>
      </c>
      <c r="F165" s="423">
        <f>'2.mell'!F678</f>
        <v>62</v>
      </c>
      <c r="G165" s="700">
        <f t="shared" si="26"/>
        <v>1.6756756756756757</v>
      </c>
    </row>
    <row r="166" spans="1:7" s="97" customFormat="1" ht="12.75">
      <c r="A166" s="109">
        <v>1410</v>
      </c>
      <c r="B166" s="186" t="s">
        <v>176</v>
      </c>
      <c r="C166" s="643">
        <f aca="true" t="shared" si="33" ref="C166:D166">SUM(C167:C168)</f>
        <v>108738</v>
      </c>
      <c r="D166" s="643">
        <f t="shared" si="33"/>
        <v>108738</v>
      </c>
      <c r="E166" s="643">
        <f aca="true" t="shared" si="34" ref="E166">SUM(E167:E168)</f>
        <v>120523</v>
      </c>
      <c r="F166" s="423">
        <f aca="true" t="shared" si="35" ref="F166">SUM(F167:F168)</f>
        <v>126943</v>
      </c>
      <c r="G166" s="207">
        <f t="shared" si="26"/>
        <v>1.0532678409930054</v>
      </c>
    </row>
    <row r="167" spans="1:7" s="97" customFormat="1" ht="12.75">
      <c r="A167" s="114">
        <v>1411</v>
      </c>
      <c r="B167" s="112" t="s">
        <v>67</v>
      </c>
      <c r="C167" s="638">
        <f>SUM('2.mell'!C680)</f>
        <v>44137</v>
      </c>
      <c r="D167" s="638">
        <f>SUM('2.mell'!D680)</f>
        <v>44137</v>
      </c>
      <c r="E167" s="638">
        <f>SUM('2.mell'!E680)</f>
        <v>44137</v>
      </c>
      <c r="F167" s="1070">
        <f>SUM('2.mell'!F680)</f>
        <v>71007</v>
      </c>
      <c r="G167" s="517">
        <f t="shared" si="26"/>
        <v>1.6087862790855745</v>
      </c>
    </row>
    <row r="168" spans="1:7" s="97" customFormat="1" ht="12.75">
      <c r="A168" s="114">
        <v>1412</v>
      </c>
      <c r="B168" s="112" t="s">
        <v>68</v>
      </c>
      <c r="C168" s="498">
        <f>SUM('2.mell'!C681)</f>
        <v>64601</v>
      </c>
      <c r="D168" s="498">
        <f>SUM('2.mell'!D681)</f>
        <v>64601</v>
      </c>
      <c r="E168" s="498">
        <f>SUM('2.mell'!E681)</f>
        <v>76386</v>
      </c>
      <c r="F168" s="932">
        <f>SUM('2.mell'!F681)</f>
        <v>55936</v>
      </c>
      <c r="G168" s="517">
        <f t="shared" si="26"/>
        <v>0.7322807844369387</v>
      </c>
    </row>
    <row r="169" spans="1:7" s="97" customFormat="1" ht="12.75">
      <c r="A169" s="114">
        <v>1420</v>
      </c>
      <c r="B169" s="157" t="s">
        <v>177</v>
      </c>
      <c r="C169" s="498">
        <f>SUM('2.mell'!C682)</f>
        <v>5529</v>
      </c>
      <c r="D169" s="498">
        <f>SUM('2.mell'!D682)</f>
        <v>5529</v>
      </c>
      <c r="E169" s="498">
        <f>SUM('2.mell'!E682)</f>
        <v>8637</v>
      </c>
      <c r="F169" s="932">
        <f>SUM('2.mell'!F682)</f>
        <v>12208</v>
      </c>
      <c r="G169" s="517">
        <f t="shared" si="26"/>
        <v>1.4134537455134886</v>
      </c>
    </row>
    <row r="170" spans="1:7" s="97" customFormat="1" ht="12.75">
      <c r="A170" s="114">
        <v>1421</v>
      </c>
      <c r="B170" s="112" t="s">
        <v>180</v>
      </c>
      <c r="C170" s="498">
        <f>SUM('2.mell'!C683)</f>
        <v>201537</v>
      </c>
      <c r="D170" s="498">
        <f>SUM('2.mell'!D683)</f>
        <v>201537</v>
      </c>
      <c r="E170" s="498">
        <f>SUM('2.mell'!E683)</f>
        <v>201537</v>
      </c>
      <c r="F170" s="932">
        <f>SUM('2.mell'!F683)</f>
        <v>143535</v>
      </c>
      <c r="G170" s="517">
        <f t="shared" si="26"/>
        <v>0.7122017297072002</v>
      </c>
    </row>
    <row r="171" spans="1:7" s="97" customFormat="1" ht="12.75">
      <c r="A171" s="114">
        <v>1422</v>
      </c>
      <c r="B171" s="112" t="s">
        <v>181</v>
      </c>
      <c r="C171" s="498">
        <f>SUM('2.mell'!C684)</f>
        <v>80699</v>
      </c>
      <c r="D171" s="498">
        <f>SUM('2.mell'!D684)</f>
        <v>80699</v>
      </c>
      <c r="E171" s="498">
        <f>SUM('2.mell'!E684)</f>
        <v>83880</v>
      </c>
      <c r="F171" s="932">
        <f>SUM('2.mell'!F684)</f>
        <v>72829</v>
      </c>
      <c r="G171" s="517">
        <f t="shared" si="26"/>
        <v>0.8682522651406771</v>
      </c>
    </row>
    <row r="172" spans="1:7" s="97" customFormat="1" ht="12.75">
      <c r="A172" s="114">
        <v>1423</v>
      </c>
      <c r="B172" s="116" t="s">
        <v>182</v>
      </c>
      <c r="C172" s="498">
        <f>SUM('2.mell'!C685)</f>
        <v>9000</v>
      </c>
      <c r="D172" s="498">
        <f>SUM('2.mell'!D685)</f>
        <v>9000</v>
      </c>
      <c r="E172" s="498">
        <f>SUM('2.mell'!E685)</f>
        <v>13179</v>
      </c>
      <c r="F172" s="932">
        <f>SUM('2.mell'!F685)</f>
        <v>16009</v>
      </c>
      <c r="G172" s="517">
        <f t="shared" si="26"/>
        <v>1.2147355641550952</v>
      </c>
    </row>
    <row r="173" spans="1:7" s="97" customFormat="1" ht="12.75">
      <c r="A173" s="114">
        <v>1424</v>
      </c>
      <c r="B173" s="111" t="s">
        <v>364</v>
      </c>
      <c r="C173" s="498">
        <f>'2.mell'!C686</f>
        <v>0</v>
      </c>
      <c r="D173" s="498">
        <f>'2.mell'!D686</f>
        <v>0</v>
      </c>
      <c r="E173" s="498">
        <f>'2.mell'!E686</f>
        <v>0</v>
      </c>
      <c r="F173" s="932">
        <f>'2.mell'!F686</f>
        <v>3</v>
      </c>
      <c r="G173" s="517"/>
    </row>
    <row r="174" spans="1:7" s="97" customFormat="1" ht="12.75" thickBot="1">
      <c r="A174" s="119">
        <v>1425</v>
      </c>
      <c r="B174" s="120" t="s">
        <v>183</v>
      </c>
      <c r="C174" s="520">
        <f>'2.mell'!C687</f>
        <v>0</v>
      </c>
      <c r="D174" s="520">
        <f>'2.mell'!D687</f>
        <v>0</v>
      </c>
      <c r="E174" s="520">
        <f>'2.mell'!E687</f>
        <v>9894</v>
      </c>
      <c r="F174" s="1066">
        <f>'2.mell'!F687</f>
        <v>12313</v>
      </c>
      <c r="G174" s="702">
        <f t="shared" si="26"/>
        <v>1.2444916110774207</v>
      </c>
    </row>
    <row r="175" spans="1:7" s="97" customFormat="1" ht="15.75" thickBot="1">
      <c r="A175" s="131"/>
      <c r="B175" s="146" t="s">
        <v>290</v>
      </c>
      <c r="C175" s="642">
        <f>SUM(C166+C169+C171+C170+C174+C172+C165+C173)</f>
        <v>405503</v>
      </c>
      <c r="D175" s="642">
        <f>SUM(D166+D169+D171+D170+D174+D172+D165+D173)</f>
        <v>405503</v>
      </c>
      <c r="E175" s="642">
        <f>SUM(E166+E169+E171+E170+E174+E172+E165+E173)</f>
        <v>437687</v>
      </c>
      <c r="F175" s="946">
        <f>SUM(F166+F169+F171+F170+F174+F172+F165+F173)</f>
        <v>383902</v>
      </c>
      <c r="G175" s="518">
        <f t="shared" si="26"/>
        <v>0.8771153815397762</v>
      </c>
    </row>
    <row r="176" spans="1:7" s="97" customFormat="1" ht="12.75">
      <c r="A176" s="129"/>
      <c r="B176" s="110"/>
      <c r="C176" s="646"/>
      <c r="D176" s="646"/>
      <c r="E176" s="646"/>
      <c r="F176" s="956"/>
      <c r="G176" s="700"/>
    </row>
    <row r="177" spans="1:7" s="97" customFormat="1" ht="12.75" thickBot="1">
      <c r="A177" s="130">
        <v>1430</v>
      </c>
      <c r="B177" s="136" t="s">
        <v>184</v>
      </c>
      <c r="C177" s="602">
        <f>'2.mell'!C689</f>
        <v>0</v>
      </c>
      <c r="D177" s="602">
        <f>'2.mell'!D689</f>
        <v>0</v>
      </c>
      <c r="E177" s="602">
        <f>'2.mell'!E689</f>
        <v>7962</v>
      </c>
      <c r="F177" s="1080">
        <f>'2.mell'!F689</f>
        <v>7962</v>
      </c>
      <c r="G177" s="702">
        <f t="shared" si="26"/>
        <v>1</v>
      </c>
    </row>
    <row r="178" spans="1:7" s="97" customFormat="1" ht="15.75" thickBot="1">
      <c r="A178" s="122"/>
      <c r="B178" s="185" t="s">
        <v>185</v>
      </c>
      <c r="C178" s="642">
        <f>C177</f>
        <v>0</v>
      </c>
      <c r="D178" s="642">
        <f>D177</f>
        <v>0</v>
      </c>
      <c r="E178" s="642">
        <f>E177</f>
        <v>7962</v>
      </c>
      <c r="F178" s="946">
        <f>F177</f>
        <v>7962</v>
      </c>
      <c r="G178" s="703">
        <f t="shared" si="26"/>
        <v>1</v>
      </c>
    </row>
    <row r="179" spans="1:7" s="97" customFormat="1" ht="12" customHeight="1" thickBot="1">
      <c r="A179" s="122"/>
      <c r="B179" s="172"/>
      <c r="C179" s="652"/>
      <c r="D179" s="652"/>
      <c r="E179" s="652"/>
      <c r="F179" s="1085"/>
      <c r="G179" s="703"/>
    </row>
    <row r="180" spans="1:7" s="97" customFormat="1" ht="16.5" thickBot="1">
      <c r="A180" s="122"/>
      <c r="B180" s="188" t="s">
        <v>45</v>
      </c>
      <c r="C180" s="656">
        <f>SUM(C175+C178+C164)</f>
        <v>405503</v>
      </c>
      <c r="D180" s="656">
        <f>SUM(D175+D178+D164)</f>
        <v>405503</v>
      </c>
      <c r="E180" s="656">
        <f>SUM(E175+E178+E164)</f>
        <v>447799</v>
      </c>
      <c r="F180" s="1090">
        <f>SUM(F175+F178+F164)</f>
        <v>394014</v>
      </c>
      <c r="G180" s="518">
        <f t="shared" si="26"/>
        <v>0.8798903079283339</v>
      </c>
    </row>
    <row r="181" spans="1:7" s="97" customFormat="1" ht="10.5" customHeight="1">
      <c r="A181" s="109"/>
      <c r="B181" s="480"/>
      <c r="C181" s="646"/>
      <c r="D181" s="646"/>
      <c r="E181" s="646"/>
      <c r="F181" s="956"/>
      <c r="G181" s="700"/>
    </row>
    <row r="182" spans="1:7" s="97" customFormat="1" ht="12.75">
      <c r="A182" s="114">
        <v>1435</v>
      </c>
      <c r="B182" s="112" t="s">
        <v>186</v>
      </c>
      <c r="C182" s="647"/>
      <c r="D182" s="647"/>
      <c r="E182" s="647"/>
      <c r="F182" s="933"/>
      <c r="G182" s="517"/>
    </row>
    <row r="183" spans="1:7" s="97" customFormat="1" ht="12.75" thickBot="1">
      <c r="A183" s="114">
        <v>1436</v>
      </c>
      <c r="B183" s="112" t="s">
        <v>350</v>
      </c>
      <c r="C183" s="520">
        <f>'2.mell'!C691</f>
        <v>0</v>
      </c>
      <c r="D183" s="520">
        <f>'2.mell'!D691</f>
        <v>0</v>
      </c>
      <c r="E183" s="520">
        <f>'2.mell'!E691</f>
        <v>0</v>
      </c>
      <c r="F183" s="1066">
        <f>'2.mell'!F691</f>
        <v>0</v>
      </c>
      <c r="G183" s="702"/>
    </row>
    <row r="184" spans="1:7" s="97" customFormat="1" ht="15.75" thickBot="1">
      <c r="A184" s="122"/>
      <c r="B184" s="146" t="s">
        <v>345</v>
      </c>
      <c r="C184" s="642">
        <f aca="true" t="shared" si="36" ref="C184:D184">SUM(C183)</f>
        <v>0</v>
      </c>
      <c r="D184" s="642">
        <f t="shared" si="36"/>
        <v>0</v>
      </c>
      <c r="E184" s="642">
        <f aca="true" t="shared" si="37" ref="E184">SUM(E183)</f>
        <v>0</v>
      </c>
      <c r="F184" s="946">
        <f aca="true" t="shared" si="38" ref="F184">SUM(F183)</f>
        <v>0</v>
      </c>
      <c r="G184" s="703"/>
    </row>
    <row r="185" spans="1:7" s="97" customFormat="1" ht="9.95" customHeight="1">
      <c r="A185" s="129"/>
      <c r="B185" s="187"/>
      <c r="C185" s="646"/>
      <c r="D185" s="646"/>
      <c r="E185" s="646"/>
      <c r="F185" s="956"/>
      <c r="G185" s="700"/>
    </row>
    <row r="186" spans="1:7" s="97" customFormat="1" ht="12.75" thickBot="1">
      <c r="A186" s="119">
        <v>1440</v>
      </c>
      <c r="B186" s="120" t="s">
        <v>197</v>
      </c>
      <c r="C186" s="602">
        <f>SUM('2.mell'!O693)</f>
        <v>0</v>
      </c>
      <c r="D186" s="602">
        <f>SUM('2.mell'!P693)</f>
        <v>0</v>
      </c>
      <c r="E186" s="602">
        <f>SUM('2.mell'!E693)</f>
        <v>0</v>
      </c>
      <c r="F186" s="1080">
        <f>SUM('2.mell'!F693)</f>
        <v>0</v>
      </c>
      <c r="G186" s="702"/>
    </row>
    <row r="187" spans="1:7" s="97" customFormat="1" ht="15.75" thickBot="1">
      <c r="A187" s="131"/>
      <c r="B187" s="185" t="s">
        <v>191</v>
      </c>
      <c r="C187" s="642">
        <f aca="true" t="shared" si="39" ref="C187:D187">SUM(C186)</f>
        <v>0</v>
      </c>
      <c r="D187" s="642">
        <f t="shared" si="39"/>
        <v>0</v>
      </c>
      <c r="E187" s="642">
        <f aca="true" t="shared" si="40" ref="E187">SUM(E186)</f>
        <v>0</v>
      </c>
      <c r="F187" s="946">
        <f aca="true" t="shared" si="41" ref="F187">SUM(F186)</f>
        <v>0</v>
      </c>
      <c r="G187" s="703"/>
    </row>
    <row r="188" spans="1:7" s="97" customFormat="1" ht="15">
      <c r="A188" s="129"/>
      <c r="B188" s="187"/>
      <c r="C188" s="646"/>
      <c r="D188" s="646"/>
      <c r="E188" s="646"/>
      <c r="F188" s="956"/>
      <c r="G188" s="700"/>
    </row>
    <row r="189" spans="1:7" s="97" customFormat="1" ht="12.75" thickBot="1">
      <c r="A189" s="174">
        <v>1445</v>
      </c>
      <c r="B189" s="124" t="s">
        <v>194</v>
      </c>
      <c r="C189" s="520">
        <f>'2.mell'!C692</f>
        <v>0</v>
      </c>
      <c r="D189" s="520">
        <f>'2.mell'!D692</f>
        <v>0</v>
      </c>
      <c r="E189" s="520">
        <f>'2.mell'!E692</f>
        <v>0</v>
      </c>
      <c r="F189" s="1066">
        <f>'2.mell'!F692</f>
        <v>0</v>
      </c>
      <c r="G189" s="702"/>
    </row>
    <row r="190" spans="1:7" s="97" customFormat="1" ht="15.75" thickBot="1">
      <c r="A190" s="122"/>
      <c r="B190" s="146" t="s">
        <v>195</v>
      </c>
      <c r="C190" s="642">
        <f aca="true" t="shared" si="42" ref="C190:D190">SUM(C189)</f>
        <v>0</v>
      </c>
      <c r="D190" s="642">
        <f t="shared" si="42"/>
        <v>0</v>
      </c>
      <c r="E190" s="642">
        <f aca="true" t="shared" si="43" ref="E190">SUM(E189)</f>
        <v>0</v>
      </c>
      <c r="F190" s="946">
        <f aca="true" t="shared" si="44" ref="F190">SUM(F189)</f>
        <v>0</v>
      </c>
      <c r="G190" s="703"/>
    </row>
    <row r="191" spans="1:7" s="97" customFormat="1" ht="15">
      <c r="A191" s="129"/>
      <c r="B191" s="187"/>
      <c r="C191" s="638"/>
      <c r="D191" s="638"/>
      <c r="E191" s="638"/>
      <c r="F191" s="1070"/>
      <c r="G191" s="700"/>
    </row>
    <row r="192" spans="1:7" s="97" customFormat="1" ht="12.75">
      <c r="A192" s="115">
        <v>1459</v>
      </c>
      <c r="B192" s="633" t="s">
        <v>362</v>
      </c>
      <c r="C192" s="638">
        <f>SUM('2.mell'!C696)</f>
        <v>0</v>
      </c>
      <c r="D192" s="638">
        <f>SUM('2.mell'!D696)</f>
        <v>218</v>
      </c>
      <c r="E192" s="638">
        <f>SUM('2.mell'!E696)</f>
        <v>218</v>
      </c>
      <c r="F192" s="1070">
        <f>SUM('2.mell'!F696)</f>
        <v>218</v>
      </c>
      <c r="G192" s="517">
        <f t="shared" si="26"/>
        <v>1</v>
      </c>
    </row>
    <row r="193" spans="1:7" s="97" customFormat="1" ht="12.75">
      <c r="A193" s="114">
        <v>1450</v>
      </c>
      <c r="B193" s="112" t="s">
        <v>348</v>
      </c>
      <c r="C193" s="498">
        <f>SUM('2.mell'!C695)</f>
        <v>0</v>
      </c>
      <c r="D193" s="498">
        <f>SUM('2.mell'!D695)</f>
        <v>26924</v>
      </c>
      <c r="E193" s="498">
        <f>SUM('2.mell'!E695)</f>
        <v>26924</v>
      </c>
      <c r="F193" s="932">
        <f>SUM('2.mell'!F695)</f>
        <v>26924</v>
      </c>
      <c r="G193" s="517">
        <f t="shared" si="26"/>
        <v>1</v>
      </c>
    </row>
    <row r="194" spans="1:7" s="97" customFormat="1" ht="12.75" thickBot="1">
      <c r="A194" s="130">
        <v>1451</v>
      </c>
      <c r="B194" s="118" t="s">
        <v>376</v>
      </c>
      <c r="C194" s="601">
        <f>SUM('2.mell'!C697+'2.mell'!C698)</f>
        <v>7012252</v>
      </c>
      <c r="D194" s="601">
        <f>SUM('2.mell'!D697+'2.mell'!D698)</f>
        <v>7535547</v>
      </c>
      <c r="E194" s="601">
        <f>SUM('2.mell'!E697+'2.mell'!E698)</f>
        <v>7600434</v>
      </c>
      <c r="F194" s="1071">
        <f>SUM('2.mell'!F697+'2.mell'!F698)</f>
        <v>4873348</v>
      </c>
      <c r="G194" s="702">
        <f t="shared" si="26"/>
        <v>0.641193384483044</v>
      </c>
    </row>
    <row r="195" spans="1:7" s="97" customFormat="1" ht="15.75" thickBot="1">
      <c r="A195" s="122"/>
      <c r="B195" s="146" t="s">
        <v>26</v>
      </c>
      <c r="C195" s="642">
        <f>SUM(C192:C194)</f>
        <v>7012252</v>
      </c>
      <c r="D195" s="642">
        <f>SUM(D192:D194)</f>
        <v>7562689</v>
      </c>
      <c r="E195" s="642">
        <f>SUM(E192:E194)</f>
        <v>7627576</v>
      </c>
      <c r="F195" s="946">
        <f>SUM(F192:F194)</f>
        <v>4900490</v>
      </c>
      <c r="G195" s="518">
        <f t="shared" si="26"/>
        <v>0.6424701635224611</v>
      </c>
    </row>
    <row r="196" spans="1:7" s="134" customFormat="1" ht="13.5" customHeight="1">
      <c r="A196" s="129"/>
      <c r="B196" s="162"/>
      <c r="C196" s="638"/>
      <c r="D196" s="638"/>
      <c r="E196" s="638"/>
      <c r="F196" s="1070"/>
      <c r="G196" s="700"/>
    </row>
    <row r="197" spans="1:7" s="134" customFormat="1" ht="13.5" thickBot="1">
      <c r="A197" s="114">
        <v>1455</v>
      </c>
      <c r="B197" s="112" t="s">
        <v>349</v>
      </c>
      <c r="C197" s="520">
        <f>SUM('2.mell'!C701)</f>
        <v>0</v>
      </c>
      <c r="D197" s="520">
        <f>SUM('2.mell'!D701)</f>
        <v>761</v>
      </c>
      <c r="E197" s="520">
        <f>SUM('2.mell'!E701)</f>
        <v>761</v>
      </c>
      <c r="F197" s="1066">
        <f>SUM('2.mell'!F701)</f>
        <v>761</v>
      </c>
      <c r="G197" s="702">
        <f t="shared" si="26"/>
        <v>1</v>
      </c>
    </row>
    <row r="198" spans="1:7" s="97" customFormat="1" ht="15.75" thickBot="1">
      <c r="A198" s="122"/>
      <c r="B198" s="194" t="s">
        <v>196</v>
      </c>
      <c r="C198" s="642">
        <f aca="true" t="shared" si="45" ref="C198:D198">SUM(C197)</f>
        <v>0</v>
      </c>
      <c r="D198" s="642">
        <f t="shared" si="45"/>
        <v>761</v>
      </c>
      <c r="E198" s="642">
        <f aca="true" t="shared" si="46" ref="E198">SUM(E197)</f>
        <v>761</v>
      </c>
      <c r="F198" s="946">
        <f aca="true" t="shared" si="47" ref="F198">SUM(F197)</f>
        <v>761</v>
      </c>
      <c r="G198" s="703">
        <f t="shared" si="26"/>
        <v>1</v>
      </c>
    </row>
    <row r="199" spans="1:7" s="97" customFormat="1" ht="12.75" thickBot="1">
      <c r="A199" s="122"/>
      <c r="B199" s="113"/>
      <c r="C199" s="640"/>
      <c r="D199" s="640"/>
      <c r="E199" s="640"/>
      <c r="F199" s="951"/>
      <c r="G199" s="703"/>
    </row>
    <row r="200" spans="1:7" s="97" customFormat="1" ht="16.5" thickBot="1">
      <c r="A200" s="122"/>
      <c r="B200" s="190" t="s">
        <v>579</v>
      </c>
      <c r="C200" s="891">
        <f>SUM(C198+C195+C180+C190+C184+C187)</f>
        <v>7417755</v>
      </c>
      <c r="D200" s="891">
        <f>SUM(D198+D195+D180+D190+D184+D187)</f>
        <v>7968953</v>
      </c>
      <c r="E200" s="891">
        <f>SUM(E198+E195+E180+E190+E184+E187)</f>
        <v>8076136</v>
      </c>
      <c r="F200" s="891">
        <f>SUM(F198+F195+F180+F190+F184+F187)</f>
        <v>5295265</v>
      </c>
      <c r="G200" s="518">
        <f t="shared" si="26"/>
        <v>0.6556681313935278</v>
      </c>
    </row>
    <row r="201" spans="1:7" s="134" customFormat="1" ht="12.75">
      <c r="A201" s="133"/>
      <c r="B201" s="143"/>
      <c r="C201" s="657"/>
      <c r="D201" s="657"/>
      <c r="E201" s="657"/>
      <c r="F201" s="1091"/>
      <c r="G201" s="700"/>
    </row>
    <row r="202" spans="1:7" s="134" customFormat="1" ht="17.25" customHeight="1">
      <c r="A202" s="135"/>
      <c r="B202" s="193" t="s">
        <v>580</v>
      </c>
      <c r="C202" s="658"/>
      <c r="D202" s="658"/>
      <c r="E202" s="658"/>
      <c r="F202" s="1092"/>
      <c r="G202" s="517"/>
    </row>
    <row r="203" spans="1:7" s="134" customFormat="1" ht="12.75">
      <c r="A203" s="135"/>
      <c r="B203" s="101"/>
      <c r="C203" s="658"/>
      <c r="D203" s="658"/>
      <c r="E203" s="658"/>
      <c r="F203" s="1092"/>
      <c r="G203" s="517"/>
    </row>
    <row r="204" spans="1:7" s="134" customFormat="1" ht="12.75">
      <c r="A204" s="114">
        <v>1500</v>
      </c>
      <c r="B204" s="112" t="s">
        <v>162</v>
      </c>
      <c r="C204" s="522">
        <f>SUM(C10)</f>
        <v>3195874</v>
      </c>
      <c r="D204" s="522">
        <f>SUM(D10)</f>
        <v>3271015</v>
      </c>
      <c r="E204" s="522">
        <f>SUM(E10)</f>
        <v>3433256</v>
      </c>
      <c r="F204" s="424">
        <f>SUM(F10)</f>
        <v>2807091</v>
      </c>
      <c r="G204" s="517">
        <f aca="true" t="shared" si="48" ref="G204:G249">SUM(F204/E204)</f>
        <v>0.8176177366325145</v>
      </c>
    </row>
    <row r="205" spans="1:7" s="134" customFormat="1" ht="12.75">
      <c r="A205" s="114">
        <v>1501</v>
      </c>
      <c r="B205" s="112" t="s">
        <v>166</v>
      </c>
      <c r="C205" s="522">
        <f aca="true" t="shared" si="49" ref="C205:D205">SUM(C17)</f>
        <v>0</v>
      </c>
      <c r="D205" s="522">
        <f t="shared" si="49"/>
        <v>0</v>
      </c>
      <c r="E205" s="522">
        <f aca="true" t="shared" si="50" ref="E205">SUM(E17)</f>
        <v>0</v>
      </c>
      <c r="F205" s="424">
        <f aca="true" t="shared" si="51" ref="F205">SUM(F17)</f>
        <v>0</v>
      </c>
      <c r="G205" s="517"/>
    </row>
    <row r="206" spans="1:7" s="134" customFormat="1" ht="12.75">
      <c r="A206" s="114">
        <v>1502</v>
      </c>
      <c r="B206" s="112" t="s">
        <v>526</v>
      </c>
      <c r="C206" s="522">
        <f aca="true" t="shared" si="52" ref="C206:D206">SUM(C18)</f>
        <v>19053</v>
      </c>
      <c r="D206" s="522">
        <f t="shared" si="52"/>
        <v>19053</v>
      </c>
      <c r="E206" s="522">
        <f aca="true" t="shared" si="53" ref="E206">SUM(E18)</f>
        <v>19053</v>
      </c>
      <c r="F206" s="424">
        <f aca="true" t="shared" si="54" ref="F206">SUM(F18)</f>
        <v>19053</v>
      </c>
      <c r="G206" s="517">
        <f t="shared" si="48"/>
        <v>1</v>
      </c>
    </row>
    <row r="207" spans="1:7" s="134" customFormat="1" ht="12.75">
      <c r="A207" s="114">
        <v>1503</v>
      </c>
      <c r="B207" s="112" t="s">
        <v>338</v>
      </c>
      <c r="C207" s="522">
        <f>SUM(C163+C19+C118)</f>
        <v>1500</v>
      </c>
      <c r="D207" s="522">
        <f>SUM(D163+D19+D118)</f>
        <v>11046</v>
      </c>
      <c r="E207" s="522">
        <f>SUM(E163+E19+E118)</f>
        <v>15440</v>
      </c>
      <c r="F207" s="424">
        <f>SUM(F163+F19+F118)</f>
        <v>13566</v>
      </c>
      <c r="G207" s="517">
        <f t="shared" si="48"/>
        <v>0.8786269430051813</v>
      </c>
    </row>
    <row r="208" spans="1:7" s="134" customFormat="1" ht="12.75">
      <c r="A208" s="114">
        <v>1504</v>
      </c>
      <c r="B208" s="112" t="s">
        <v>487</v>
      </c>
      <c r="C208" s="522">
        <f aca="true" t="shared" si="55" ref="C208:D208">SUM(C20)</f>
        <v>0</v>
      </c>
      <c r="D208" s="522">
        <f t="shared" si="55"/>
        <v>0</v>
      </c>
      <c r="E208" s="522">
        <f aca="true" t="shared" si="56" ref="E208">SUM(E20)</f>
        <v>0</v>
      </c>
      <c r="F208" s="424">
        <f aca="true" t="shared" si="57" ref="F208">SUM(F20)</f>
        <v>0</v>
      </c>
      <c r="G208" s="517"/>
    </row>
    <row r="209" spans="1:7" s="134" customFormat="1" ht="13.5" thickBot="1">
      <c r="A209" s="130">
        <v>1506</v>
      </c>
      <c r="B209" s="136" t="s">
        <v>525</v>
      </c>
      <c r="C209" s="621">
        <f aca="true" t="shared" si="58" ref="C209:D209">SUM(C21)</f>
        <v>13084</v>
      </c>
      <c r="D209" s="621">
        <f t="shared" si="58"/>
        <v>13084</v>
      </c>
      <c r="E209" s="621">
        <f aca="true" t="shared" si="59" ref="E209">SUM(E21)</f>
        <v>13084</v>
      </c>
      <c r="F209" s="989">
        <f aca="true" t="shared" si="60" ref="F209">SUM(F21)</f>
        <v>6362</v>
      </c>
      <c r="G209" s="702">
        <f t="shared" si="48"/>
        <v>0.48624273922347905</v>
      </c>
    </row>
    <row r="210" spans="1:7" s="134" customFormat="1" ht="13.5" thickBot="1">
      <c r="A210" s="122"/>
      <c r="B210" s="125" t="s">
        <v>339</v>
      </c>
      <c r="C210" s="616">
        <f>SUM(C204:C209)</f>
        <v>3229511</v>
      </c>
      <c r="D210" s="984">
        <f>SUM(D204:D209)</f>
        <v>3314198</v>
      </c>
      <c r="E210" s="984">
        <f>SUM(E204:E209)</f>
        <v>3480833</v>
      </c>
      <c r="F210" s="984">
        <f>SUM(F204:F209)</f>
        <v>2846072</v>
      </c>
      <c r="G210" s="518">
        <f t="shared" si="48"/>
        <v>0.8176410646532023</v>
      </c>
    </row>
    <row r="211" spans="1:7" s="134" customFormat="1" ht="12.75">
      <c r="A211" s="115">
        <v>1510</v>
      </c>
      <c r="B211" s="116" t="s">
        <v>168</v>
      </c>
      <c r="C211" s="603">
        <f>SUM(C24)</f>
        <v>4411000</v>
      </c>
      <c r="D211" s="985">
        <f>SUM(D24)</f>
        <v>4411000</v>
      </c>
      <c r="E211" s="985">
        <f>SUM(E24)</f>
        <v>4411000</v>
      </c>
      <c r="F211" s="985">
        <f>SUM(F24)</f>
        <v>4410716</v>
      </c>
      <c r="G211" s="700">
        <f t="shared" si="48"/>
        <v>0.9999356155066879</v>
      </c>
    </row>
    <row r="212" spans="1:7" s="134" customFormat="1" ht="12.75">
      <c r="A212" s="114">
        <v>1511</v>
      </c>
      <c r="B212" s="116" t="s">
        <v>169</v>
      </c>
      <c r="C212" s="522">
        <f>SUM(C27)</f>
        <v>8645163</v>
      </c>
      <c r="D212" s="424">
        <f>SUM(D27)</f>
        <v>8645163</v>
      </c>
      <c r="E212" s="424">
        <f>SUM(E27)</f>
        <v>8651550</v>
      </c>
      <c r="F212" s="424">
        <f>SUM(F27)</f>
        <v>4729207</v>
      </c>
      <c r="G212" s="517">
        <f t="shared" si="48"/>
        <v>0.5466311816957655</v>
      </c>
    </row>
    <row r="213" spans="1:7" s="134" customFormat="1" ht="13.5" thickBot="1">
      <c r="A213" s="119">
        <v>1514</v>
      </c>
      <c r="B213" s="120" t="s">
        <v>143</v>
      </c>
      <c r="C213" s="615">
        <f>SUM(C32+C123)</f>
        <v>703556</v>
      </c>
      <c r="D213" s="419">
        <f>SUM(D32+D123)</f>
        <v>703556</v>
      </c>
      <c r="E213" s="419">
        <f>SUM(E32+E123)</f>
        <v>703556</v>
      </c>
      <c r="F213" s="419">
        <f>SUM(F32+F123)</f>
        <v>782952</v>
      </c>
      <c r="G213" s="702">
        <f t="shared" si="48"/>
        <v>1.1128495812700054</v>
      </c>
    </row>
    <row r="214" spans="1:7" s="134" customFormat="1" ht="13.5" thickBot="1">
      <c r="A214" s="122"/>
      <c r="B214" s="196" t="s">
        <v>175</v>
      </c>
      <c r="C214" s="620">
        <f aca="true" t="shared" si="61" ref="C214:D214">SUM(C211:C213)</f>
        <v>13759719</v>
      </c>
      <c r="D214" s="986">
        <f t="shared" si="61"/>
        <v>13759719</v>
      </c>
      <c r="E214" s="986">
        <f aca="true" t="shared" si="62" ref="E214">SUM(E211:E213)</f>
        <v>13766106</v>
      </c>
      <c r="F214" s="986">
        <f aca="true" t="shared" si="63" ref="F214">SUM(F211:F213)</f>
        <v>9922875</v>
      </c>
      <c r="G214" s="518">
        <f t="shared" si="48"/>
        <v>0.7208193079437278</v>
      </c>
    </row>
    <row r="215" spans="1:7" s="134" customFormat="1" ht="12.75">
      <c r="A215" s="115">
        <v>1519</v>
      </c>
      <c r="B215" s="170" t="s">
        <v>333</v>
      </c>
      <c r="C215" s="603">
        <f>'2.mell'!C605</f>
        <v>0</v>
      </c>
      <c r="D215" s="985">
        <f>'2.mell'!D605</f>
        <v>0</v>
      </c>
      <c r="E215" s="985">
        <f>'2.mell'!E605</f>
        <v>37</v>
      </c>
      <c r="F215" s="985">
        <f>'2.mell'!F605</f>
        <v>62</v>
      </c>
      <c r="G215" s="700">
        <f t="shared" si="48"/>
        <v>1.6756756756756757</v>
      </c>
    </row>
    <row r="216" spans="1:7" s="134" customFormat="1" ht="12.75">
      <c r="A216" s="115">
        <v>1520</v>
      </c>
      <c r="B216" s="170" t="s">
        <v>176</v>
      </c>
      <c r="C216" s="603">
        <f>SUM(C45+C124+C166)</f>
        <v>2040468</v>
      </c>
      <c r="D216" s="985">
        <f>SUM(D45+D124+D166)</f>
        <v>2040468</v>
      </c>
      <c r="E216" s="985">
        <f>SUM(E45+E124+E166)</f>
        <v>2052253</v>
      </c>
      <c r="F216" s="985">
        <f>SUM(F45+F124+F166)</f>
        <v>1629363</v>
      </c>
      <c r="G216" s="517">
        <f t="shared" si="48"/>
        <v>0.7939386615587845</v>
      </c>
    </row>
    <row r="217" spans="1:7" s="134" customFormat="1" ht="12.75">
      <c r="A217" s="114">
        <v>1521</v>
      </c>
      <c r="B217" s="157" t="s">
        <v>177</v>
      </c>
      <c r="C217" s="522">
        <f>SUM(C55+C127+C169)</f>
        <v>182914</v>
      </c>
      <c r="D217" s="424">
        <f>SUM(D55+D127+D169)</f>
        <v>182914</v>
      </c>
      <c r="E217" s="424">
        <f>SUM(E55+E127+E169)</f>
        <v>186022</v>
      </c>
      <c r="F217" s="424">
        <f>SUM(F55+F127+F169)</f>
        <v>158761</v>
      </c>
      <c r="G217" s="517">
        <f t="shared" si="48"/>
        <v>0.8534528174086936</v>
      </c>
    </row>
    <row r="218" spans="1:7" s="134" customFormat="1" ht="12.75">
      <c r="A218" s="424">
        <v>1522</v>
      </c>
      <c r="B218" s="421" t="s">
        <v>292</v>
      </c>
      <c r="C218" s="522">
        <f>SUM(C59)</f>
        <v>0</v>
      </c>
      <c r="D218" s="424">
        <f>SUM(D59)</f>
        <v>0</v>
      </c>
      <c r="E218" s="424">
        <f>SUM(E59)</f>
        <v>0</v>
      </c>
      <c r="F218" s="424">
        <f>SUM(F59)</f>
        <v>0</v>
      </c>
      <c r="G218" s="517"/>
    </row>
    <row r="219" spans="1:7" s="134" customFormat="1" ht="12.75">
      <c r="A219" s="114">
        <v>1523</v>
      </c>
      <c r="B219" s="112" t="s">
        <v>180</v>
      </c>
      <c r="C219" s="522">
        <f>SUM(C128+C170+C60)</f>
        <v>201537</v>
      </c>
      <c r="D219" s="424">
        <f>SUM(D128+D170+D60)</f>
        <v>201537</v>
      </c>
      <c r="E219" s="424">
        <f>SUM(E128+E170+E60)</f>
        <v>201537</v>
      </c>
      <c r="F219" s="424">
        <f>SUM(F128+F170+F60)</f>
        <v>143537</v>
      </c>
      <c r="G219" s="517">
        <f t="shared" si="48"/>
        <v>0.7122116534432883</v>
      </c>
    </row>
    <row r="220" spans="1:7" s="134" customFormat="1" ht="12.75">
      <c r="A220" s="114">
        <v>1524</v>
      </c>
      <c r="B220" s="112" t="s">
        <v>181</v>
      </c>
      <c r="C220" s="522">
        <f>SUM(C61+C129+C171)</f>
        <v>648439</v>
      </c>
      <c r="D220" s="424">
        <f>SUM(D61+D129+D171)</f>
        <v>648439</v>
      </c>
      <c r="E220" s="424">
        <f>SUM(E61+E129+E171)</f>
        <v>651620</v>
      </c>
      <c r="F220" s="424">
        <f>SUM(F61+F129+F171)</f>
        <v>515438</v>
      </c>
      <c r="G220" s="517">
        <f t="shared" si="48"/>
        <v>0.7910100979098248</v>
      </c>
    </row>
    <row r="221" spans="1:7" s="134" customFormat="1" ht="12.75">
      <c r="A221" s="114">
        <v>1525</v>
      </c>
      <c r="B221" s="116" t="s">
        <v>182</v>
      </c>
      <c r="C221" s="522">
        <f aca="true" t="shared" si="64" ref="C221:D221">SUM(C65+C130+C172)</f>
        <v>9000</v>
      </c>
      <c r="D221" s="424">
        <f t="shared" si="64"/>
        <v>9000</v>
      </c>
      <c r="E221" s="424">
        <f aca="true" t="shared" si="65" ref="E221">SUM(E65+E130+E172)</f>
        <v>13179</v>
      </c>
      <c r="F221" s="424">
        <f aca="true" t="shared" si="66" ref="F221">SUM(F65+F130+F172)</f>
        <v>16009</v>
      </c>
      <c r="G221" s="517">
        <f t="shared" si="48"/>
        <v>1.2147355641550952</v>
      </c>
    </row>
    <row r="222" spans="1:7" s="134" customFormat="1" ht="12.75">
      <c r="A222" s="114">
        <v>1526</v>
      </c>
      <c r="B222" s="111" t="s">
        <v>364</v>
      </c>
      <c r="C222" s="522">
        <f aca="true" t="shared" si="67" ref="C222:D222">SUM(C66+C131+C173)</f>
        <v>45000</v>
      </c>
      <c r="D222" s="424">
        <f t="shared" si="67"/>
        <v>45000</v>
      </c>
      <c r="E222" s="424">
        <f aca="true" t="shared" si="68" ref="E222">SUM(E66+E131+E173)</f>
        <v>243251</v>
      </c>
      <c r="F222" s="424">
        <f aca="true" t="shared" si="69" ref="F222">SUM(F66+F131+F173)</f>
        <v>408892</v>
      </c>
      <c r="G222" s="517">
        <f t="shared" si="48"/>
        <v>1.6809468409174062</v>
      </c>
    </row>
    <row r="223" spans="1:7" s="134" customFormat="1" ht="13.5" thickBot="1">
      <c r="A223" s="119">
        <v>1528</v>
      </c>
      <c r="B223" s="120" t="s">
        <v>183</v>
      </c>
      <c r="C223" s="615">
        <f>SUM(C68+C132+C174+C69)</f>
        <v>33050</v>
      </c>
      <c r="D223" s="419">
        <f>SUM(D68+D132+D174+D69)</f>
        <v>33050</v>
      </c>
      <c r="E223" s="419">
        <f>SUM(E68+E132+E174+E69)</f>
        <v>42944</v>
      </c>
      <c r="F223" s="419">
        <f>SUM(F68+F132+F174+F69)</f>
        <v>63161</v>
      </c>
      <c r="G223" s="702">
        <f t="shared" si="48"/>
        <v>1.4707758941877795</v>
      </c>
    </row>
    <row r="224" spans="1:7" s="134" customFormat="1" ht="13.5" thickBot="1">
      <c r="A224" s="122"/>
      <c r="B224" s="125" t="s">
        <v>290</v>
      </c>
      <c r="C224" s="620">
        <f aca="true" t="shared" si="70" ref="C224:D224">SUM(C215:C223)</f>
        <v>3160408</v>
      </c>
      <c r="D224" s="986">
        <f t="shared" si="70"/>
        <v>3160408</v>
      </c>
      <c r="E224" s="986">
        <f aca="true" t="shared" si="71" ref="E224">SUM(E215:E223)</f>
        <v>3390843</v>
      </c>
      <c r="F224" s="986">
        <f aca="true" t="shared" si="72" ref="F224">SUM(F215:F223)</f>
        <v>2935223</v>
      </c>
      <c r="G224" s="612">
        <f t="shared" si="48"/>
        <v>0.8656322336362964</v>
      </c>
    </row>
    <row r="225" spans="1:7" s="134" customFormat="1" ht="13.5" thickBot="1">
      <c r="A225" s="132">
        <v>1530</v>
      </c>
      <c r="B225" s="201" t="s">
        <v>184</v>
      </c>
      <c r="C225" s="617">
        <f>SUM(C78+C135+C178)</f>
        <v>10065</v>
      </c>
      <c r="D225" s="987">
        <f>SUM(D78+D135+D178)</f>
        <v>10765</v>
      </c>
      <c r="E225" s="987">
        <f>SUM(E78+E135+E178)</f>
        <v>18727</v>
      </c>
      <c r="F225" s="987">
        <f>SUM(F78+F135+F178)</f>
        <v>13001</v>
      </c>
      <c r="G225" s="703">
        <f t="shared" si="48"/>
        <v>0.6942382656058098</v>
      </c>
    </row>
    <row r="226" spans="1:7" s="134" customFormat="1" ht="13.5" thickBot="1">
      <c r="A226" s="203"/>
      <c r="B226" s="199" t="s">
        <v>185</v>
      </c>
      <c r="C226" s="618">
        <f aca="true" t="shared" si="73" ref="C226:D226">SUM(C225)</f>
        <v>10065</v>
      </c>
      <c r="D226" s="988">
        <f t="shared" si="73"/>
        <v>10765</v>
      </c>
      <c r="E226" s="988">
        <f aca="true" t="shared" si="74" ref="E226">SUM(E225)</f>
        <v>18727</v>
      </c>
      <c r="F226" s="988">
        <f aca="true" t="shared" si="75" ref="F226">SUM(F225)</f>
        <v>13001</v>
      </c>
      <c r="G226" s="902">
        <f t="shared" si="48"/>
        <v>0.6942382656058098</v>
      </c>
    </row>
    <row r="227" spans="1:7" s="134" customFormat="1" ht="17.25" thickBot="1" thickTop="1">
      <c r="A227" s="204"/>
      <c r="B227" s="198" t="s">
        <v>45</v>
      </c>
      <c r="C227" s="619">
        <f>SUM(C210+C214+C224+C226)</f>
        <v>20159703</v>
      </c>
      <c r="D227" s="988">
        <f>SUM(D210+D214+D224+D226)</f>
        <v>20245090</v>
      </c>
      <c r="E227" s="988">
        <f>SUM(E210+E214+E224+E226)</f>
        <v>20656509</v>
      </c>
      <c r="F227" s="988">
        <f>SUM(F210+F214+F224+F226)</f>
        <v>15717171</v>
      </c>
      <c r="G227" s="705">
        <f t="shared" si="48"/>
        <v>0.7608822478183511</v>
      </c>
    </row>
    <row r="228" spans="1:7" s="134" customFormat="1" ht="13.5" thickTop="1">
      <c r="A228" s="115">
        <v>1540</v>
      </c>
      <c r="B228" s="116" t="s">
        <v>186</v>
      </c>
      <c r="C228" s="603">
        <f aca="true" t="shared" si="76" ref="C228:D228">SUM(C82)</f>
        <v>0</v>
      </c>
      <c r="D228" s="985">
        <f t="shared" si="76"/>
        <v>0</v>
      </c>
      <c r="E228" s="985">
        <f aca="true" t="shared" si="77" ref="E228">SUM(E82)</f>
        <v>0</v>
      </c>
      <c r="F228" s="985">
        <f aca="true" t="shared" si="78" ref="F228">SUM(F82)</f>
        <v>0</v>
      </c>
      <c r="G228" s="700"/>
    </row>
    <row r="229" spans="1:7" s="134" customFormat="1" ht="12.75">
      <c r="A229" s="115">
        <v>1541</v>
      </c>
      <c r="B229" s="112" t="s">
        <v>526</v>
      </c>
      <c r="C229" s="603">
        <f aca="true" t="shared" si="79" ref="C229:D229">SUM(C83)</f>
        <v>2399145</v>
      </c>
      <c r="D229" s="985">
        <f t="shared" si="79"/>
        <v>2399145</v>
      </c>
      <c r="E229" s="985">
        <f aca="true" t="shared" si="80" ref="E229">SUM(E83)</f>
        <v>2399145</v>
      </c>
      <c r="F229" s="985">
        <f aca="true" t="shared" si="81" ref="F229">SUM(F83)</f>
        <v>2399145</v>
      </c>
      <c r="G229" s="517">
        <f t="shared" si="48"/>
        <v>1</v>
      </c>
    </row>
    <row r="230" spans="1:7" s="134" customFormat="1" ht="12.75">
      <c r="A230" s="114">
        <v>1542</v>
      </c>
      <c r="B230" s="112" t="s">
        <v>351</v>
      </c>
      <c r="C230" s="522">
        <f aca="true" t="shared" si="82" ref="C230:D230">SUM(C84)</f>
        <v>0</v>
      </c>
      <c r="D230" s="424">
        <f t="shared" si="82"/>
        <v>0</v>
      </c>
      <c r="E230" s="424">
        <f aca="true" t="shared" si="83" ref="E230">SUM(E84)</f>
        <v>0</v>
      </c>
      <c r="F230" s="424">
        <f aca="true" t="shared" si="84" ref="F230">SUM(F84)</f>
        <v>0</v>
      </c>
      <c r="G230" s="517"/>
    </row>
    <row r="231" spans="1:7" s="134" customFormat="1" ht="12.75">
      <c r="A231" s="114">
        <v>1542</v>
      </c>
      <c r="B231" s="112" t="s">
        <v>352</v>
      </c>
      <c r="C231" s="522">
        <f aca="true" t="shared" si="85" ref="C231:D231">SUM(C85)</f>
        <v>0</v>
      </c>
      <c r="D231" s="424">
        <f t="shared" si="85"/>
        <v>0</v>
      </c>
      <c r="E231" s="424">
        <f aca="true" t="shared" si="86" ref="E231">SUM(E85)</f>
        <v>0</v>
      </c>
      <c r="F231" s="424">
        <f aca="true" t="shared" si="87" ref="F231">SUM(F85)</f>
        <v>0</v>
      </c>
      <c r="G231" s="517"/>
    </row>
    <row r="232" spans="1:7" s="134" customFormat="1" ht="13.5" thickBot="1">
      <c r="A232" s="119">
        <v>1544</v>
      </c>
      <c r="B232" s="120" t="s">
        <v>350</v>
      </c>
      <c r="C232" s="615">
        <f>SUM(C88+C183)</f>
        <v>0</v>
      </c>
      <c r="D232" s="419">
        <f>SUM(D88+D183)</f>
        <v>0</v>
      </c>
      <c r="E232" s="419">
        <f>SUM(E88+E183)</f>
        <v>0</v>
      </c>
      <c r="F232" s="419">
        <f>SUM(F88+F183)</f>
        <v>0</v>
      </c>
      <c r="G232" s="702"/>
    </row>
    <row r="233" spans="1:7" s="134" customFormat="1" ht="13.5" thickBot="1">
      <c r="A233" s="131"/>
      <c r="B233" s="434" t="s">
        <v>345</v>
      </c>
      <c r="C233" s="620">
        <f aca="true" t="shared" si="88" ref="C233:D233">SUM(C228:C232)</f>
        <v>2399145</v>
      </c>
      <c r="D233" s="986">
        <f t="shared" si="88"/>
        <v>2399145</v>
      </c>
      <c r="E233" s="986">
        <f aca="true" t="shared" si="89" ref="E233">SUM(E228:E232)</f>
        <v>2399145</v>
      </c>
      <c r="F233" s="986">
        <f aca="true" t="shared" si="90" ref="F233">SUM(F228:F232)</f>
        <v>2399145</v>
      </c>
      <c r="G233" s="518">
        <f t="shared" si="48"/>
        <v>1</v>
      </c>
    </row>
    <row r="234" spans="1:7" s="134" customFormat="1" ht="12.75">
      <c r="A234" s="115">
        <v>1550</v>
      </c>
      <c r="B234" s="116" t="s">
        <v>190</v>
      </c>
      <c r="C234" s="603">
        <f>SUM(C91)</f>
        <v>240000</v>
      </c>
      <c r="D234" s="985">
        <f>SUM(D91)</f>
        <v>240000</v>
      </c>
      <c r="E234" s="985">
        <f>SUM(E91)</f>
        <v>240000</v>
      </c>
      <c r="F234" s="985">
        <f>SUM(F91)</f>
        <v>159347</v>
      </c>
      <c r="G234" s="700">
        <f t="shared" si="48"/>
        <v>0.6639458333333333</v>
      </c>
    </row>
    <row r="235" spans="1:7" s="134" customFormat="1" ht="13.5" thickBot="1">
      <c r="A235" s="114">
        <v>1551</v>
      </c>
      <c r="B235" s="112" t="s">
        <v>197</v>
      </c>
      <c r="C235" s="621">
        <f>C144+C186</f>
        <v>0</v>
      </c>
      <c r="D235" s="989">
        <f>D144+D186</f>
        <v>0</v>
      </c>
      <c r="E235" s="989">
        <f>E144+E186</f>
        <v>0</v>
      </c>
      <c r="F235" s="989">
        <f>F144+F186</f>
        <v>0</v>
      </c>
      <c r="G235" s="702"/>
    </row>
    <row r="236" spans="1:7" s="134" customFormat="1" ht="13.5" thickBot="1">
      <c r="A236" s="122"/>
      <c r="B236" s="125" t="s">
        <v>191</v>
      </c>
      <c r="C236" s="616">
        <f aca="true" t="shared" si="91" ref="C236:D236">SUM(C234:C235)</f>
        <v>240000</v>
      </c>
      <c r="D236" s="984">
        <f t="shared" si="91"/>
        <v>240000</v>
      </c>
      <c r="E236" s="984">
        <f aca="true" t="shared" si="92" ref="E236">SUM(E234:E235)</f>
        <v>240000</v>
      </c>
      <c r="F236" s="986">
        <f aca="true" t="shared" si="93" ref="F236">SUM(F234:F235)</f>
        <v>159347</v>
      </c>
      <c r="G236" s="612">
        <f t="shared" si="48"/>
        <v>0.6639458333333333</v>
      </c>
    </row>
    <row r="237" spans="1:7" s="134" customFormat="1" ht="12.75">
      <c r="A237" s="115">
        <v>1560</v>
      </c>
      <c r="B237" s="128" t="s">
        <v>353</v>
      </c>
      <c r="C237" s="603">
        <f>SUM(C96+C148)</f>
        <v>19000</v>
      </c>
      <c r="D237" s="985">
        <f>SUM(D96+D148)</f>
        <v>19000</v>
      </c>
      <c r="E237" s="985">
        <f>SUM(E96+E148)</f>
        <v>19000</v>
      </c>
      <c r="F237" s="985">
        <f>SUM(F96+F148)</f>
        <v>17391</v>
      </c>
      <c r="G237" s="700">
        <f t="shared" si="48"/>
        <v>0.9153157894736842</v>
      </c>
    </row>
    <row r="238" spans="1:7" s="134" customFormat="1" ht="12.75">
      <c r="A238" s="174">
        <v>1561</v>
      </c>
      <c r="B238" s="118" t="s">
        <v>194</v>
      </c>
      <c r="C238" s="621">
        <f>C99+C190</f>
        <v>0</v>
      </c>
      <c r="D238" s="989">
        <f>D99+D190</f>
        <v>52000</v>
      </c>
      <c r="E238" s="989">
        <f>E99+E190</f>
        <v>52000</v>
      </c>
      <c r="F238" s="989">
        <f>F99+F190</f>
        <v>52000</v>
      </c>
      <c r="G238" s="517">
        <f t="shared" si="48"/>
        <v>1</v>
      </c>
    </row>
    <row r="239" spans="1:7" s="134" customFormat="1" ht="13.5" thickBot="1">
      <c r="A239" s="419">
        <v>1562</v>
      </c>
      <c r="B239" s="420" t="s">
        <v>308</v>
      </c>
      <c r="C239" s="615">
        <f>C100</f>
        <v>0</v>
      </c>
      <c r="D239" s="419">
        <f>D100</f>
        <v>0</v>
      </c>
      <c r="E239" s="419">
        <f>E100</f>
        <v>0</v>
      </c>
      <c r="F239" s="419">
        <f>F100</f>
        <v>61891</v>
      </c>
      <c r="G239" s="702"/>
    </row>
    <row r="240" spans="1:7" s="134" customFormat="1" ht="13.5" thickBot="1">
      <c r="A240" s="205"/>
      <c r="B240" s="197" t="s">
        <v>195</v>
      </c>
      <c r="C240" s="619">
        <f aca="true" t="shared" si="94" ref="C240:D240">SUM(C237:C239)</f>
        <v>19000</v>
      </c>
      <c r="D240" s="988">
        <f t="shared" si="94"/>
        <v>71000</v>
      </c>
      <c r="E240" s="988">
        <f aca="true" t="shared" si="95" ref="E240">SUM(E237:E239)</f>
        <v>71000</v>
      </c>
      <c r="F240" s="988">
        <f aca="true" t="shared" si="96" ref="F240">SUM(F237:F239)</f>
        <v>131282</v>
      </c>
      <c r="G240" s="704">
        <f t="shared" si="48"/>
        <v>1.8490422535211268</v>
      </c>
    </row>
    <row r="241" spans="1:7" s="134" customFormat="1" ht="17.25" thickBot="1" thickTop="1">
      <c r="A241" s="204"/>
      <c r="B241" s="200" t="s">
        <v>46</v>
      </c>
      <c r="C241" s="622">
        <f aca="true" t="shared" si="97" ref="C241:D241">SUM(C233+C236+C240)</f>
        <v>2658145</v>
      </c>
      <c r="D241" s="990">
        <f t="shared" si="97"/>
        <v>2710145</v>
      </c>
      <c r="E241" s="990">
        <f aca="true" t="shared" si="98" ref="E241">SUM(E233+E236+E240)</f>
        <v>2710145</v>
      </c>
      <c r="F241" s="990">
        <f aca="true" t="shared" si="99" ref="F241">SUM(F233+F236+F240)</f>
        <v>2689774</v>
      </c>
      <c r="G241" s="705">
        <f t="shared" si="48"/>
        <v>0.9924834280084645</v>
      </c>
    </row>
    <row r="242" spans="1:7" s="134" customFormat="1" ht="13.5" thickTop="1">
      <c r="A242" s="115">
        <v>1570</v>
      </c>
      <c r="B242" s="116" t="s">
        <v>348</v>
      </c>
      <c r="C242" s="501">
        <f>SUM(C151+C105+C193)</f>
        <v>114066</v>
      </c>
      <c r="D242" s="991">
        <f>SUM(D151+D105+D193)</f>
        <v>4115186</v>
      </c>
      <c r="E242" s="991">
        <f>SUM(E151+E105+E193)</f>
        <v>4115186</v>
      </c>
      <c r="F242" s="991">
        <f>SUM(F151+F105+F193)</f>
        <v>4115186</v>
      </c>
      <c r="G242" s="700">
        <f t="shared" si="48"/>
        <v>1</v>
      </c>
    </row>
    <row r="243" spans="1:7" s="134" customFormat="1" ht="12.75">
      <c r="A243" s="114">
        <v>1571</v>
      </c>
      <c r="B243" s="112" t="s">
        <v>376</v>
      </c>
      <c r="C243" s="522">
        <f>SUM(C194+C152)</f>
        <v>10197824</v>
      </c>
      <c r="D243" s="424">
        <f>SUM(D194+D152)</f>
        <v>10721119</v>
      </c>
      <c r="E243" s="424">
        <f>SUM(E194+E152)</f>
        <v>10786006</v>
      </c>
      <c r="F243" s="424">
        <f>SUM(F194+F152)</f>
        <v>6918297</v>
      </c>
      <c r="G243" s="517">
        <f t="shared" si="48"/>
        <v>0.641414162016969</v>
      </c>
    </row>
    <row r="244" spans="1:7" s="134" customFormat="1" ht="12.75">
      <c r="A244" s="114">
        <v>1572</v>
      </c>
      <c r="B244" s="112" t="s">
        <v>469</v>
      </c>
      <c r="C244" s="522">
        <f>SUM(C107)</f>
        <v>0</v>
      </c>
      <c r="D244" s="424">
        <f>SUM(D107)</f>
        <v>303423</v>
      </c>
      <c r="E244" s="424">
        <f>SUM(E107)</f>
        <v>728828</v>
      </c>
      <c r="F244" s="424">
        <f>SUM(F107)</f>
        <v>862125</v>
      </c>
      <c r="G244" s="517">
        <f t="shared" si="48"/>
        <v>1.1828922599021992</v>
      </c>
    </row>
    <row r="245" spans="1:7" s="134" customFormat="1" ht="13.5" thickBot="1">
      <c r="A245" s="130">
        <v>1573</v>
      </c>
      <c r="B245" s="118" t="s">
        <v>361</v>
      </c>
      <c r="C245" s="521">
        <f>SUM(C192)</f>
        <v>0</v>
      </c>
      <c r="D245" s="992">
        <f>SUM(D192)</f>
        <v>218</v>
      </c>
      <c r="E245" s="992">
        <f>SUM(E192)</f>
        <v>218</v>
      </c>
      <c r="F245" s="992">
        <f>SUM(F192)</f>
        <v>218</v>
      </c>
      <c r="G245" s="702">
        <f t="shared" si="48"/>
        <v>1</v>
      </c>
    </row>
    <row r="246" spans="1:7" s="134" customFormat="1" ht="15" thickBot="1">
      <c r="A246" s="122"/>
      <c r="B246" s="202" t="s">
        <v>39</v>
      </c>
      <c r="C246" s="616">
        <f aca="true" t="shared" si="100" ref="C246">SUM(C242:C245)</f>
        <v>10311890</v>
      </c>
      <c r="D246" s="984">
        <f>SUM(D242:D245)</f>
        <v>15139946</v>
      </c>
      <c r="E246" s="984">
        <f>SUM(E242:E245)</f>
        <v>15630238</v>
      </c>
      <c r="F246" s="984">
        <f>SUM(F242:F245)</f>
        <v>11895826</v>
      </c>
      <c r="G246" s="518">
        <f t="shared" si="48"/>
        <v>0.7610777263916263</v>
      </c>
    </row>
    <row r="247" spans="1:7" s="134" customFormat="1" ht="12" customHeight="1" thickBot="1">
      <c r="A247" s="114">
        <v>1581</v>
      </c>
      <c r="B247" s="112" t="s">
        <v>348</v>
      </c>
      <c r="C247" s="627">
        <f>SUM(C110+C155+C198)</f>
        <v>5966777</v>
      </c>
      <c r="D247" s="993">
        <f>SUM(D110+D155+D198)</f>
        <v>8097306</v>
      </c>
      <c r="E247" s="993">
        <f>SUM(E110+E155+E198)</f>
        <v>8097306</v>
      </c>
      <c r="F247" s="993">
        <f>SUM(F110+F155+F198)</f>
        <v>8097306</v>
      </c>
      <c r="G247" s="703">
        <f t="shared" si="48"/>
        <v>1</v>
      </c>
    </row>
    <row r="248" spans="1:7" s="134" customFormat="1" ht="13.5" thickBot="1">
      <c r="A248" s="122"/>
      <c r="B248" s="145" t="s">
        <v>196</v>
      </c>
      <c r="C248" s="616">
        <f aca="true" t="shared" si="101" ref="C248:D248">SUM(C247:C247)</f>
        <v>5966777</v>
      </c>
      <c r="D248" s="984">
        <f t="shared" si="101"/>
        <v>8097306</v>
      </c>
      <c r="E248" s="984">
        <f aca="true" t="shared" si="102" ref="E248">SUM(E247:E247)</f>
        <v>8097306</v>
      </c>
      <c r="F248" s="984">
        <f aca="true" t="shared" si="103" ref="F248">SUM(F247:F247)</f>
        <v>8097306</v>
      </c>
      <c r="G248" s="703">
        <f t="shared" si="48"/>
        <v>1</v>
      </c>
    </row>
    <row r="249" spans="1:8" s="134" customFormat="1" ht="18.75" customHeight="1" thickBot="1">
      <c r="A249" s="122"/>
      <c r="B249" s="151" t="s">
        <v>581</v>
      </c>
      <c r="C249" s="623">
        <f>SUM(C227+C241+C247+C242+C245+C244)</f>
        <v>28898691</v>
      </c>
      <c r="D249" s="994">
        <f>SUM(D227+D241+D247+D242+D245+D244)</f>
        <v>35471368</v>
      </c>
      <c r="E249" s="994">
        <f>SUM(E227+E241+E247+E242+E245+E244)</f>
        <v>36308192</v>
      </c>
      <c r="F249" s="994">
        <f>SUM(F227+F241+F247+F242+F245+F244)</f>
        <v>31481780</v>
      </c>
      <c r="G249" s="960">
        <f t="shared" si="48"/>
        <v>0.8670709904806055</v>
      </c>
      <c r="H249" s="530"/>
    </row>
    <row r="250" spans="4:5" ht="12.75">
      <c r="D250" s="216"/>
      <c r="E250" s="216"/>
    </row>
    <row r="251" spans="4:5" ht="12.75">
      <c r="D251" s="216"/>
      <c r="E251" s="216"/>
    </row>
  </sheetData>
  <mergeCells count="9">
    <mergeCell ref="A2:G2"/>
    <mergeCell ref="A1:G1"/>
    <mergeCell ref="G5:G6"/>
    <mergeCell ref="B5:B6"/>
    <mergeCell ref="A5:A6"/>
    <mergeCell ref="C5:C6"/>
    <mergeCell ref="D5:D6"/>
    <mergeCell ref="E5:E6"/>
    <mergeCell ref="F5:F6"/>
  </mergeCells>
  <printOptions horizontalCentered="1"/>
  <pageMargins left="1.1811023622047245" right="0" top="0.3937007874015748" bottom="0.3937007874015748" header="0" footer="0"/>
  <pageSetup firstPageNumber="2" useFirstPageNumber="1" fitToWidth="0" horizontalDpi="300" verticalDpi="300" orientation="landscape" paperSize="9" scale="79" r:id="rId1"/>
  <headerFooter alignWithMargins="0">
    <oddFooter>&amp;C&amp;P. oldal</oddFooter>
  </headerFooter>
  <rowBreaks count="5" manualBreakCount="5">
    <brk id="51" max="16383" man="1"/>
    <brk id="101" max="16383" man="1"/>
    <brk id="145" max="16383" man="1"/>
    <brk id="190" max="16383" man="1"/>
    <brk id="2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3"/>
  <sheetViews>
    <sheetView workbookViewId="0" topLeftCell="A79">
      <selection activeCell="D137" sqref="D137"/>
    </sheetView>
  </sheetViews>
  <sheetFormatPr defaultColWidth="9.125" defaultRowHeight="12.75"/>
  <cols>
    <col min="1" max="1" width="8.00390625" style="16" customWidth="1"/>
    <col min="2" max="2" width="71.625" style="16" customWidth="1"/>
    <col min="3" max="6" width="13.625" style="16" customWidth="1"/>
    <col min="7" max="7" width="10.875" style="16" customWidth="1"/>
    <col min="8" max="8" width="9.875" style="16" bestFit="1" customWidth="1"/>
    <col min="9" max="16384" width="9.125" style="16" customWidth="1"/>
  </cols>
  <sheetData>
    <row r="1" spans="1:7" ht="12.75">
      <c r="A1" s="1119" t="s">
        <v>224</v>
      </c>
      <c r="B1" s="1119"/>
      <c r="C1" s="1107"/>
      <c r="D1" s="1107"/>
      <c r="E1" s="1107"/>
      <c r="F1" s="1107"/>
      <c r="G1" s="1107"/>
    </row>
    <row r="2" spans="1:7" ht="12.75">
      <c r="A2" s="1119" t="s">
        <v>613</v>
      </c>
      <c r="B2" s="1119"/>
      <c r="C2" s="1107"/>
      <c r="D2" s="1107"/>
      <c r="E2" s="1107"/>
      <c r="F2" s="1107"/>
      <c r="G2" s="1107"/>
    </row>
    <row r="3" spans="1:2" ht="9" customHeight="1">
      <c r="A3" s="80"/>
      <c r="B3" s="80"/>
    </row>
    <row r="4" spans="1:7" ht="12" customHeight="1">
      <c r="A4" s="70"/>
      <c r="B4" s="69"/>
      <c r="C4" s="67"/>
      <c r="D4" s="67"/>
      <c r="E4" s="67"/>
      <c r="F4" s="67"/>
      <c r="G4" s="67" t="s">
        <v>140</v>
      </c>
    </row>
    <row r="5" spans="1:7" s="18" customFormat="1" ht="12" customHeight="1">
      <c r="A5" s="73"/>
      <c r="B5" s="17"/>
      <c r="C5" s="1113" t="s">
        <v>670</v>
      </c>
      <c r="D5" s="1113" t="s">
        <v>718</v>
      </c>
      <c r="E5" s="1113" t="s">
        <v>727</v>
      </c>
      <c r="F5" s="1113" t="s">
        <v>728</v>
      </c>
      <c r="G5" s="1116" t="s">
        <v>733</v>
      </c>
    </row>
    <row r="6" spans="1:7" s="18" customFormat="1" ht="12" customHeight="1">
      <c r="A6" s="1" t="s">
        <v>146</v>
      </c>
      <c r="B6" s="1" t="s">
        <v>124</v>
      </c>
      <c r="C6" s="1120"/>
      <c r="D6" s="1120"/>
      <c r="E6" s="1120"/>
      <c r="F6" s="1120"/>
      <c r="G6" s="1117"/>
    </row>
    <row r="7" spans="1:7" s="18" customFormat="1" ht="12.75" customHeight="1" thickBot="1">
      <c r="A7" s="19"/>
      <c r="B7" s="19"/>
      <c r="C7" s="1121"/>
      <c r="D7" s="1121"/>
      <c r="E7" s="1121"/>
      <c r="F7" s="1121"/>
      <c r="G7" s="1118"/>
    </row>
    <row r="8" spans="1:7" ht="12" customHeight="1">
      <c r="A8" s="2" t="s">
        <v>125</v>
      </c>
      <c r="B8" s="3" t="s">
        <v>126</v>
      </c>
      <c r="C8" s="13" t="s">
        <v>127</v>
      </c>
      <c r="D8" s="13" t="s">
        <v>477</v>
      </c>
      <c r="E8" s="13" t="s">
        <v>478</v>
      </c>
      <c r="F8" s="13" t="s">
        <v>491</v>
      </c>
      <c r="G8" s="13" t="s">
        <v>492</v>
      </c>
    </row>
    <row r="9" spans="1:7" ht="15" customHeight="1">
      <c r="A9" s="2"/>
      <c r="B9" s="90" t="s">
        <v>225</v>
      </c>
      <c r="C9" s="6"/>
      <c r="D9" s="6"/>
      <c r="E9" s="6"/>
      <c r="F9" s="6"/>
      <c r="G9" s="5"/>
    </row>
    <row r="10" spans="1:7" ht="12.75">
      <c r="A10" s="2"/>
      <c r="B10" s="78"/>
      <c r="C10" s="215"/>
      <c r="D10" s="215"/>
      <c r="E10" s="215"/>
      <c r="F10" s="215"/>
      <c r="G10" s="5"/>
    </row>
    <row r="11" spans="1:7" ht="12.75">
      <c r="A11" s="4">
        <v>1710</v>
      </c>
      <c r="B11" s="4" t="s">
        <v>264</v>
      </c>
      <c r="C11" s="217">
        <f>SUM(C12:C19)</f>
        <v>3264312</v>
      </c>
      <c r="D11" s="217">
        <f>SUM(D12:D19)</f>
        <v>3711226</v>
      </c>
      <c r="E11" s="217">
        <f>SUM(E12:E19)</f>
        <v>3711226</v>
      </c>
      <c r="F11" s="217">
        <f>SUM(F12:F19)</f>
        <v>2449941</v>
      </c>
      <c r="G11" s="154">
        <f>SUM(F11/E11)</f>
        <v>0.6601433057431695</v>
      </c>
    </row>
    <row r="12" spans="1:7" ht="12.75">
      <c r="A12" s="6">
        <v>1711</v>
      </c>
      <c r="B12" s="6" t="s">
        <v>226</v>
      </c>
      <c r="C12" s="215">
        <f>SUM('3a.m.'!C72)</f>
        <v>2160561</v>
      </c>
      <c r="D12" s="215">
        <f>SUM('3a.m.'!D72)</f>
        <v>2219660</v>
      </c>
      <c r="E12" s="215">
        <f>SUM('3a.m.'!E72)</f>
        <v>2219660</v>
      </c>
      <c r="F12" s="215">
        <f>SUM('3a.m.'!F72)</f>
        <v>1636745</v>
      </c>
      <c r="G12" s="914">
        <f aca="true" t="shared" si="0" ref="G12:G71">SUM(F12/E12)</f>
        <v>0.7373854554301109</v>
      </c>
    </row>
    <row r="13" spans="1:7" ht="12.75">
      <c r="A13" s="6">
        <v>1712</v>
      </c>
      <c r="B13" s="6" t="s">
        <v>80</v>
      </c>
      <c r="C13" s="215">
        <f>SUM('3a.m.'!C73)</f>
        <v>332751</v>
      </c>
      <c r="D13" s="215">
        <f>SUM('3a.m.'!D73)</f>
        <v>360192</v>
      </c>
      <c r="E13" s="215">
        <f>SUM('3a.m.'!E73)</f>
        <v>360192</v>
      </c>
      <c r="F13" s="215">
        <f>SUM('3a.m.'!F73)</f>
        <v>256043</v>
      </c>
      <c r="G13" s="914">
        <f t="shared" si="0"/>
        <v>0.7108514347903341</v>
      </c>
    </row>
    <row r="14" spans="1:7" ht="12.75">
      <c r="A14" s="6">
        <v>1713</v>
      </c>
      <c r="B14" s="6" t="s">
        <v>81</v>
      </c>
      <c r="C14" s="215">
        <f>SUM('3a.m.'!C74)</f>
        <v>732000</v>
      </c>
      <c r="D14" s="215">
        <f>SUM('3a.m.'!D74)</f>
        <v>790969</v>
      </c>
      <c r="E14" s="215">
        <f>SUM('3a.m.'!E74)</f>
        <v>790969</v>
      </c>
      <c r="F14" s="215">
        <f>SUM('3a.m.'!F74)</f>
        <v>468291</v>
      </c>
      <c r="G14" s="914">
        <f t="shared" si="0"/>
        <v>0.5920472230896533</v>
      </c>
    </row>
    <row r="15" spans="1:7" ht="12.75">
      <c r="A15" s="6">
        <v>1714</v>
      </c>
      <c r="B15" s="6" t="s">
        <v>91</v>
      </c>
      <c r="C15" s="215">
        <f>SUM('3a.m.'!M75)</f>
        <v>0</v>
      </c>
      <c r="D15" s="215">
        <f>SUM('3a.m.'!N75)</f>
        <v>0</v>
      </c>
      <c r="E15" s="215">
        <f>SUM('3a.m.'!E75)</f>
        <v>0</v>
      </c>
      <c r="F15" s="215">
        <f>SUM('3a.m.'!F75)</f>
        <v>0</v>
      </c>
      <c r="G15" s="914"/>
    </row>
    <row r="16" spans="1:7" ht="12.75">
      <c r="A16" s="6">
        <v>1715</v>
      </c>
      <c r="B16" s="5" t="s">
        <v>240</v>
      </c>
      <c r="C16" s="215">
        <f>'3a.m.'!C76</f>
        <v>0</v>
      </c>
      <c r="D16" s="215">
        <f>'3a.m.'!D76</f>
        <v>9341</v>
      </c>
      <c r="E16" s="215">
        <f>'3a.m.'!E76</f>
        <v>9341</v>
      </c>
      <c r="F16" s="215">
        <f>'3a.m.'!F76</f>
        <v>9341</v>
      </c>
      <c r="G16" s="914">
        <f t="shared" si="0"/>
        <v>1</v>
      </c>
    </row>
    <row r="17" spans="1:7" ht="12.75">
      <c r="A17" s="6">
        <v>1716</v>
      </c>
      <c r="B17" s="39" t="s">
        <v>201</v>
      </c>
      <c r="C17" s="215">
        <f>SUM('3a.m.'!C80)</f>
        <v>35000</v>
      </c>
      <c r="D17" s="215">
        <f>SUM('3a.m.'!D80)</f>
        <v>327064</v>
      </c>
      <c r="E17" s="215">
        <f>SUM('3a.m.'!E80)</f>
        <v>324813</v>
      </c>
      <c r="F17" s="215">
        <f>SUM('3a.m.'!F80)</f>
        <v>79521</v>
      </c>
      <c r="G17" s="914">
        <f t="shared" si="0"/>
        <v>0.24482086615991355</v>
      </c>
    </row>
    <row r="18" spans="1:7" ht="12.75">
      <c r="A18" s="6">
        <v>1717</v>
      </c>
      <c r="B18" s="40" t="s">
        <v>202</v>
      </c>
      <c r="C18" s="215">
        <f>SUM('3a.m.'!M79)</f>
        <v>0</v>
      </c>
      <c r="D18" s="215">
        <f>SUM('3a.m.'!N79)</f>
        <v>0</v>
      </c>
      <c r="E18" s="215">
        <f>SUM('3a.m.'!E79)</f>
        <v>2251</v>
      </c>
      <c r="F18" s="215">
        <f>SUM('3a.m.'!F79)</f>
        <v>0</v>
      </c>
      <c r="G18" s="914">
        <f t="shared" si="0"/>
        <v>0</v>
      </c>
    </row>
    <row r="19" spans="1:7" ht="12.75">
      <c r="A19" s="6">
        <v>1718</v>
      </c>
      <c r="B19" s="40" t="s">
        <v>355</v>
      </c>
      <c r="C19" s="215">
        <f>SUM('3a.m.'!C81)</f>
        <v>4000</v>
      </c>
      <c r="D19" s="215">
        <f>SUM('3a.m.'!D81)</f>
        <v>4000</v>
      </c>
      <c r="E19" s="215">
        <f>SUM('3a.m.'!E81)</f>
        <v>4000</v>
      </c>
      <c r="F19" s="215">
        <f>SUM('3a.m.'!F81)</f>
        <v>0</v>
      </c>
      <c r="G19" s="914">
        <f t="shared" si="0"/>
        <v>0</v>
      </c>
    </row>
    <row r="20" spans="1:7" ht="12.75">
      <c r="A20" s="6"/>
      <c r="B20" s="6"/>
      <c r="C20" s="215"/>
      <c r="D20" s="215"/>
      <c r="E20" s="215"/>
      <c r="F20" s="215"/>
      <c r="G20" s="154"/>
    </row>
    <row r="21" spans="1:7" ht="12.75">
      <c r="A21" s="6"/>
      <c r="B21" s="91" t="s">
        <v>577</v>
      </c>
      <c r="C21" s="215"/>
      <c r="D21" s="215"/>
      <c r="E21" s="215"/>
      <c r="F21" s="215"/>
      <c r="G21" s="154"/>
    </row>
    <row r="22" spans="1:7" ht="7.5" customHeight="1">
      <c r="A22" s="2"/>
      <c r="B22" s="78"/>
      <c r="C22" s="215"/>
      <c r="D22" s="215"/>
      <c r="E22" s="215"/>
      <c r="F22" s="215"/>
      <c r="G22" s="154"/>
    </row>
    <row r="23" spans="1:7" ht="12.75">
      <c r="A23" s="7">
        <v>1750</v>
      </c>
      <c r="B23" s="7" t="s">
        <v>27</v>
      </c>
      <c r="C23" s="219">
        <f>SUM(C24:C32)</f>
        <v>5212010</v>
      </c>
      <c r="D23" s="219">
        <f>SUM(D24:D32)</f>
        <v>6417123</v>
      </c>
      <c r="E23" s="219">
        <f>SUM(E24:E32)</f>
        <v>6824336</v>
      </c>
      <c r="F23" s="219">
        <f>SUM(F24:F32)</f>
        <v>3989873</v>
      </c>
      <c r="G23" s="154">
        <f t="shared" si="0"/>
        <v>0.5846536571470103</v>
      </c>
    </row>
    <row r="24" spans="1:7" ht="12.75">
      <c r="A24" s="6">
        <v>1751</v>
      </c>
      <c r="B24" s="6" t="s">
        <v>226</v>
      </c>
      <c r="C24" s="215">
        <f>SUM('3c.m.'!C896)</f>
        <v>289147</v>
      </c>
      <c r="D24" s="215">
        <f>SUM('3c.m.'!D896)</f>
        <v>309758</v>
      </c>
      <c r="E24" s="215">
        <f>SUM('3c.m.'!E896)</f>
        <v>313520</v>
      </c>
      <c r="F24" s="215">
        <f>SUM('3c.m.'!F896)</f>
        <v>208122</v>
      </c>
      <c r="G24" s="914">
        <f t="shared" si="0"/>
        <v>0.6638236795100791</v>
      </c>
    </row>
    <row r="25" spans="1:7" ht="12.75">
      <c r="A25" s="6">
        <v>1752</v>
      </c>
      <c r="B25" s="6" t="s">
        <v>80</v>
      </c>
      <c r="C25" s="215">
        <f>SUM('3c.m.'!C897)</f>
        <v>38206</v>
      </c>
      <c r="D25" s="215">
        <f>SUM('3c.m.'!D897)</f>
        <v>43925</v>
      </c>
      <c r="E25" s="215">
        <f>SUM('3c.m.'!E897)</f>
        <v>46636</v>
      </c>
      <c r="F25" s="215">
        <f>SUM('3c.m.'!F897)</f>
        <v>24285</v>
      </c>
      <c r="G25" s="914">
        <f t="shared" si="0"/>
        <v>0.5207350544643623</v>
      </c>
    </row>
    <row r="26" spans="1:7" ht="12.75">
      <c r="A26" s="6">
        <v>1753</v>
      </c>
      <c r="B26" s="6" t="s">
        <v>81</v>
      </c>
      <c r="C26" s="215">
        <f>SUM('3c.m.'!C898)</f>
        <v>4477857</v>
      </c>
      <c r="D26" s="215">
        <f>SUM('3c.m.'!D898)</f>
        <v>5010761</v>
      </c>
      <c r="E26" s="215">
        <f>SUM('3c.m.'!E898)</f>
        <v>5089403</v>
      </c>
      <c r="F26" s="215">
        <f>SUM('3c.m.'!F898)</f>
        <v>3160306</v>
      </c>
      <c r="G26" s="914">
        <f t="shared" si="0"/>
        <v>0.6209580966569164</v>
      </c>
    </row>
    <row r="27" spans="1:7" ht="12.75">
      <c r="A27" s="6">
        <v>1754</v>
      </c>
      <c r="B27" s="6" t="s">
        <v>91</v>
      </c>
      <c r="C27" s="215">
        <f>SUM('3c.m.'!C899)</f>
        <v>184000</v>
      </c>
      <c r="D27" s="215">
        <f>SUM('3c.m.'!D899)</f>
        <v>184886</v>
      </c>
      <c r="E27" s="215">
        <f>SUM('3c.m.'!E899)</f>
        <v>194886</v>
      </c>
      <c r="F27" s="215">
        <f>SUM('3c.m.'!F899)</f>
        <v>110669</v>
      </c>
      <c r="G27" s="914">
        <f t="shared" si="0"/>
        <v>0.5678653161335345</v>
      </c>
    </row>
    <row r="28" spans="1:7" ht="12.75">
      <c r="A28" s="6">
        <v>1755</v>
      </c>
      <c r="B28" s="6" t="s">
        <v>240</v>
      </c>
      <c r="C28" s="215">
        <f>SUM('3c.m.'!C900)</f>
        <v>52700</v>
      </c>
      <c r="D28" s="215">
        <f>SUM('3c.m.'!D900)</f>
        <v>94980</v>
      </c>
      <c r="E28" s="215">
        <f>SUM('3c.m.'!E900)</f>
        <v>114645</v>
      </c>
      <c r="F28" s="215">
        <f>SUM('3c.m.'!F900)</f>
        <v>66324</v>
      </c>
      <c r="G28" s="914">
        <f t="shared" si="0"/>
        <v>0.5785162894151511</v>
      </c>
    </row>
    <row r="29" spans="1:7" ht="12.75">
      <c r="A29" s="6">
        <v>1756</v>
      </c>
      <c r="B29" s="6" t="s">
        <v>201</v>
      </c>
      <c r="C29" s="215">
        <f>SUM('3c.m.'!C903)</f>
        <v>20000</v>
      </c>
      <c r="D29" s="215">
        <f>SUM('3c.m.'!D903)</f>
        <v>74067</v>
      </c>
      <c r="E29" s="215">
        <f>SUM('3c.m.'!E903)</f>
        <v>75052</v>
      </c>
      <c r="F29" s="215">
        <f>SUM('3c.m.'!F903)</f>
        <v>24929</v>
      </c>
      <c r="G29" s="914">
        <f t="shared" si="0"/>
        <v>0.33215637158236955</v>
      </c>
    </row>
    <row r="30" spans="1:7" ht="12.75">
      <c r="A30" s="5">
        <v>1757</v>
      </c>
      <c r="B30" s="5" t="s">
        <v>202</v>
      </c>
      <c r="C30" s="215">
        <f>SUM('3c.m.'!C904)</f>
        <v>0</v>
      </c>
      <c r="D30" s="215">
        <f>SUM('3c.m.'!D904)</f>
        <v>2286</v>
      </c>
      <c r="E30" s="215">
        <f>SUM('3c.m.'!E904)</f>
        <v>2286</v>
      </c>
      <c r="F30" s="215">
        <f>SUM('3c.m.'!F904)</f>
        <v>0</v>
      </c>
      <c r="G30" s="914">
        <f t="shared" si="0"/>
        <v>0</v>
      </c>
    </row>
    <row r="31" spans="1:7" ht="12.75">
      <c r="A31" s="6">
        <v>1758</v>
      </c>
      <c r="B31" s="6" t="s">
        <v>356</v>
      </c>
      <c r="C31" s="215">
        <f>SUM('3c.m.'!C905)</f>
        <v>150100</v>
      </c>
      <c r="D31" s="215">
        <f>SUM('3c.m.'!D905)</f>
        <v>696460</v>
      </c>
      <c r="E31" s="215">
        <f>SUM('3c.m.'!E905)</f>
        <v>987908</v>
      </c>
      <c r="F31" s="215">
        <f>SUM('3c.m.'!F905)</f>
        <v>395238</v>
      </c>
      <c r="G31" s="914">
        <f t="shared" si="0"/>
        <v>0.40007571555246035</v>
      </c>
    </row>
    <row r="32" spans="1:7" ht="12.75">
      <c r="A32" s="6"/>
      <c r="B32" s="6"/>
      <c r="C32" s="215"/>
      <c r="D32" s="215"/>
      <c r="E32" s="215"/>
      <c r="F32" s="215"/>
      <c r="G32" s="154"/>
    </row>
    <row r="33" spans="1:7" ht="12.75">
      <c r="A33" s="4">
        <v>1760</v>
      </c>
      <c r="B33" s="4" t="s">
        <v>267</v>
      </c>
      <c r="C33" s="217">
        <f aca="true" t="shared" si="1" ref="C33">SUM(C34:C40)</f>
        <v>1538290</v>
      </c>
      <c r="D33" s="217">
        <f aca="true" t="shared" si="2" ref="D33">SUM(D34:D40)</f>
        <v>1657749</v>
      </c>
      <c r="E33" s="217">
        <f aca="true" t="shared" si="3" ref="E33:F33">SUM(E34:E40)</f>
        <v>1657749</v>
      </c>
      <c r="F33" s="217">
        <f t="shared" si="3"/>
        <v>1068205</v>
      </c>
      <c r="G33" s="154">
        <f t="shared" si="0"/>
        <v>0.6443707702432636</v>
      </c>
    </row>
    <row r="34" spans="1:7" ht="12.75">
      <c r="A34" s="6">
        <v>1761</v>
      </c>
      <c r="B34" s="6" t="s">
        <v>226</v>
      </c>
      <c r="C34" s="149">
        <f>SUM('3d.m.'!C71)</f>
        <v>350</v>
      </c>
      <c r="D34" s="149">
        <f>SUM('3d.m.'!D71)</f>
        <v>441</v>
      </c>
      <c r="E34" s="149">
        <f>SUM('3d.m.'!E71)</f>
        <v>3997</v>
      </c>
      <c r="F34" s="149">
        <f>SUM('3d.m.'!F71)</f>
        <v>617</v>
      </c>
      <c r="G34" s="914">
        <f t="shared" si="0"/>
        <v>0.15436577433074805</v>
      </c>
    </row>
    <row r="35" spans="1:7" ht="12.75">
      <c r="A35" s="5">
        <v>1762</v>
      </c>
      <c r="B35" s="5" t="s">
        <v>80</v>
      </c>
      <c r="C35" s="149">
        <f>SUM('3d.m.'!C72)</f>
        <v>150</v>
      </c>
      <c r="D35" s="149">
        <f>SUM('3d.m.'!D72)</f>
        <v>227</v>
      </c>
      <c r="E35" s="149">
        <f>SUM('3d.m.'!E72)</f>
        <v>699</v>
      </c>
      <c r="F35" s="149">
        <f>SUM('3d.m.'!F72)</f>
        <v>88</v>
      </c>
      <c r="G35" s="914">
        <f t="shared" si="0"/>
        <v>0.12589413447782546</v>
      </c>
    </row>
    <row r="36" spans="1:7" ht="12.75">
      <c r="A36" s="6">
        <v>1763</v>
      </c>
      <c r="B36" s="6" t="s">
        <v>81</v>
      </c>
      <c r="C36" s="149">
        <f>SUM('3d.m.'!C73)</f>
        <v>10000</v>
      </c>
      <c r="D36" s="149">
        <f>SUM('3d.m.'!D73)</f>
        <v>11114</v>
      </c>
      <c r="E36" s="149">
        <f>SUM('3d.m.'!E73)</f>
        <v>11153</v>
      </c>
      <c r="F36" s="149">
        <f>SUM('3d.m.'!F73)</f>
        <v>4113</v>
      </c>
      <c r="G36" s="914">
        <f t="shared" si="0"/>
        <v>0.36877970052900566</v>
      </c>
    </row>
    <row r="37" spans="1:7" ht="12.75">
      <c r="A37" s="6">
        <v>1764</v>
      </c>
      <c r="B37" s="6" t="s">
        <v>240</v>
      </c>
      <c r="C37" s="149">
        <f>SUM('3d.m.'!C74)</f>
        <v>1314990</v>
      </c>
      <c r="D37" s="149">
        <f>SUM('3d.m.'!D74)</f>
        <v>1345144</v>
      </c>
      <c r="E37" s="149">
        <f>SUM('3d.m.'!E74)</f>
        <v>1341077</v>
      </c>
      <c r="F37" s="149">
        <f>SUM('3d.m.'!F74)</f>
        <v>983305</v>
      </c>
      <c r="G37" s="914">
        <f t="shared" si="0"/>
        <v>0.733220389284135</v>
      </c>
    </row>
    <row r="38" spans="1:7" ht="12.75">
      <c r="A38" s="6">
        <v>1765</v>
      </c>
      <c r="B38" s="6" t="s">
        <v>323</v>
      </c>
      <c r="C38" s="149">
        <f>SUM('3d.m.'!C77)</f>
        <v>8500</v>
      </c>
      <c r="D38" s="149">
        <f>SUM('3d.m.'!D77)</f>
        <v>8500</v>
      </c>
      <c r="E38" s="149">
        <f>SUM('3d.m.'!E77)</f>
        <v>8500</v>
      </c>
      <c r="F38" s="149">
        <f>SUM('3d.m.'!F77)</f>
        <v>0</v>
      </c>
      <c r="G38" s="914">
        <f t="shared" si="0"/>
        <v>0</v>
      </c>
    </row>
    <row r="39" spans="1:7" ht="12.75">
      <c r="A39" s="6">
        <v>1766</v>
      </c>
      <c r="B39" s="6" t="s">
        <v>269</v>
      </c>
      <c r="C39" s="149">
        <f>SUM('3d.m.'!C78)</f>
        <v>204300</v>
      </c>
      <c r="D39" s="149">
        <f>SUM('3d.m.'!D78)</f>
        <v>292323</v>
      </c>
      <c r="E39" s="149">
        <f>SUM('3d.m.'!E78)</f>
        <v>292323</v>
      </c>
      <c r="F39" s="149">
        <f>SUM('3d.m.'!F78)</f>
        <v>80082</v>
      </c>
      <c r="G39" s="914">
        <f t="shared" si="0"/>
        <v>0.2739503904927084</v>
      </c>
    </row>
    <row r="40" spans="1:7" ht="12.75">
      <c r="A40" s="6"/>
      <c r="B40" s="6"/>
      <c r="C40" s="149"/>
      <c r="D40" s="149"/>
      <c r="E40" s="149"/>
      <c r="F40" s="149"/>
      <c r="G40" s="154"/>
    </row>
    <row r="41" spans="1:7" ht="12.75">
      <c r="A41" s="4">
        <v>1770</v>
      </c>
      <c r="B41" s="20" t="s">
        <v>259</v>
      </c>
      <c r="C41" s="217">
        <f aca="true" t="shared" si="4" ref="C41">SUM(C42:C48)</f>
        <v>7473205</v>
      </c>
      <c r="D41" s="217">
        <f aca="true" t="shared" si="5" ref="D41">SUM(D42:D48)</f>
        <v>10906217</v>
      </c>
      <c r="E41" s="217">
        <f aca="true" t="shared" si="6" ref="E41:F41">SUM(E42:E48)</f>
        <v>10633447</v>
      </c>
      <c r="F41" s="217">
        <f t="shared" si="6"/>
        <v>3435079</v>
      </c>
      <c r="G41" s="154">
        <f t="shared" si="0"/>
        <v>0.323044728581428</v>
      </c>
    </row>
    <row r="42" spans="1:7" ht="12.75">
      <c r="A42" s="61">
        <v>1771</v>
      </c>
      <c r="B42" s="6" t="s">
        <v>226</v>
      </c>
      <c r="C42" s="149">
        <f>'4.mell.'!C97</f>
        <v>0</v>
      </c>
      <c r="D42" s="149">
        <f>'4.mell.'!D97</f>
        <v>0</v>
      </c>
      <c r="E42" s="149">
        <f>'4.mell.'!E97</f>
        <v>0</v>
      </c>
      <c r="F42" s="149">
        <f>'4.mell.'!F97</f>
        <v>0</v>
      </c>
      <c r="G42" s="154"/>
    </row>
    <row r="43" spans="1:7" ht="12.75">
      <c r="A43" s="61">
        <v>1772</v>
      </c>
      <c r="B43" s="6" t="s">
        <v>80</v>
      </c>
      <c r="C43" s="149">
        <f>'4.mell.'!C98</f>
        <v>0</v>
      </c>
      <c r="D43" s="149">
        <f>'4.mell.'!D98</f>
        <v>0</v>
      </c>
      <c r="E43" s="149">
        <f>'4.mell.'!E98</f>
        <v>0</v>
      </c>
      <c r="F43" s="149">
        <f>'4.mell.'!F98</f>
        <v>0</v>
      </c>
      <c r="G43" s="154"/>
    </row>
    <row r="44" spans="1:7" ht="12.75">
      <c r="A44" s="6">
        <v>1773</v>
      </c>
      <c r="B44" s="6" t="s">
        <v>81</v>
      </c>
      <c r="C44" s="149">
        <f>SUM('4.mell.'!C99)</f>
        <v>19053</v>
      </c>
      <c r="D44" s="149">
        <f>SUM('4.mell.'!D99)</f>
        <v>140237</v>
      </c>
      <c r="E44" s="149">
        <f>SUM('4.mell.'!E99)</f>
        <v>215727</v>
      </c>
      <c r="F44" s="149">
        <f>SUM('4.mell.'!F99)</f>
        <v>145761</v>
      </c>
      <c r="G44" s="914">
        <f t="shared" si="0"/>
        <v>0.6756734205732244</v>
      </c>
    </row>
    <row r="45" spans="1:7" ht="12.75">
      <c r="A45" s="6">
        <v>1774</v>
      </c>
      <c r="B45" s="6" t="s">
        <v>220</v>
      </c>
      <c r="C45" s="149">
        <f>SUM('4.mell.'!H100)</f>
        <v>0</v>
      </c>
      <c r="D45" s="149">
        <f>SUM('4.mell.'!I100)</f>
        <v>0</v>
      </c>
      <c r="E45" s="149">
        <f>SUM('4.mell.'!E100)</f>
        <v>0</v>
      </c>
      <c r="F45" s="149">
        <f>SUM('4.mell.'!F100)</f>
        <v>0</v>
      </c>
      <c r="G45" s="914"/>
    </row>
    <row r="46" spans="1:7" ht="12.75">
      <c r="A46" s="6">
        <v>1775</v>
      </c>
      <c r="B46" s="6" t="s">
        <v>201</v>
      </c>
      <c r="C46" s="149">
        <f>SUM('4.mell.'!C103)</f>
        <v>0</v>
      </c>
      <c r="D46" s="149">
        <f>SUM('4.mell.'!D103)</f>
        <v>512316</v>
      </c>
      <c r="E46" s="149">
        <f>SUM('4.mell.'!E103)</f>
        <v>2134940</v>
      </c>
      <c r="F46" s="149">
        <f>SUM('4.mell.'!F103)</f>
        <v>378659</v>
      </c>
      <c r="G46" s="914">
        <f t="shared" si="0"/>
        <v>0.1773628298687551</v>
      </c>
    </row>
    <row r="47" spans="1:7" ht="12.75">
      <c r="A47" s="6">
        <v>1776</v>
      </c>
      <c r="B47" s="6" t="s">
        <v>202</v>
      </c>
      <c r="C47" s="220">
        <f>SUM('4.mell.'!C104)</f>
        <v>7448152</v>
      </c>
      <c r="D47" s="220">
        <f>SUM('4.mell.'!D104)</f>
        <v>10231973</v>
      </c>
      <c r="E47" s="220">
        <f>SUM('4.mell.'!E104)</f>
        <v>8255089</v>
      </c>
      <c r="F47" s="220">
        <f>SUM('4.mell.'!F104)</f>
        <v>2897968</v>
      </c>
      <c r="G47" s="914">
        <f t="shared" si="0"/>
        <v>0.351052302404008</v>
      </c>
    </row>
    <row r="48" spans="1:7" ht="12.75">
      <c r="A48" s="6">
        <v>1777</v>
      </c>
      <c r="B48" s="6" t="s">
        <v>269</v>
      </c>
      <c r="C48" s="220">
        <f>SUM('4.mell.'!C105)</f>
        <v>6000</v>
      </c>
      <c r="D48" s="220">
        <f>SUM('4.mell.'!D105)</f>
        <v>21691</v>
      </c>
      <c r="E48" s="220">
        <f>SUM('4.mell.'!E105)</f>
        <v>27691</v>
      </c>
      <c r="F48" s="220">
        <f>SUM('4.mell.'!F105)</f>
        <v>12691</v>
      </c>
      <c r="G48" s="914">
        <f t="shared" si="0"/>
        <v>0.45830775342168933</v>
      </c>
    </row>
    <row r="49" spans="1:7" ht="12.75">
      <c r="A49" s="6"/>
      <c r="B49" s="6"/>
      <c r="C49" s="215"/>
      <c r="D49" s="215"/>
      <c r="E49" s="215"/>
      <c r="F49" s="215"/>
      <c r="G49" s="154"/>
    </row>
    <row r="50" spans="1:7" ht="12.75">
      <c r="A50" s="4">
        <v>1780</v>
      </c>
      <c r="B50" s="4" t="s">
        <v>260</v>
      </c>
      <c r="C50" s="217">
        <f>SUM(C51:C57)</f>
        <v>1717061</v>
      </c>
      <c r="D50" s="217">
        <f>SUM(D51:D57)</f>
        <v>1993441</v>
      </c>
      <c r="E50" s="217">
        <f>SUM(E51:E57)</f>
        <v>2222441</v>
      </c>
      <c r="F50" s="217">
        <f>SUM(F51:F57)</f>
        <v>216368</v>
      </c>
      <c r="G50" s="154">
        <f t="shared" si="0"/>
        <v>0.09735601530029368</v>
      </c>
    </row>
    <row r="51" spans="1:7" ht="12.75">
      <c r="A51" s="61">
        <v>1781</v>
      </c>
      <c r="B51" s="6" t="s">
        <v>226</v>
      </c>
      <c r="C51" s="220">
        <f>SUM('5.mell. '!M64)</f>
        <v>0</v>
      </c>
      <c r="D51" s="220">
        <f>SUM('5.mell. '!N64)</f>
        <v>0</v>
      </c>
      <c r="E51" s="220">
        <f>SUM('5.mell. '!E64)</f>
        <v>0</v>
      </c>
      <c r="F51" s="220">
        <f>SUM('5.mell. '!F64)</f>
        <v>0</v>
      </c>
      <c r="G51" s="154"/>
    </row>
    <row r="52" spans="1:7" ht="12.75">
      <c r="A52" s="61">
        <v>1782</v>
      </c>
      <c r="B52" s="6" t="s">
        <v>80</v>
      </c>
      <c r="C52" s="220">
        <f>SUM('5.mell. '!M65)</f>
        <v>0</v>
      </c>
      <c r="D52" s="220">
        <f>SUM('5.mell. '!N65)</f>
        <v>0</v>
      </c>
      <c r="E52" s="220">
        <f>SUM('5.mell. '!E65)</f>
        <v>0</v>
      </c>
      <c r="F52" s="220">
        <f>SUM('5.mell. '!F65)</f>
        <v>0</v>
      </c>
      <c r="G52" s="154"/>
    </row>
    <row r="53" spans="1:7" ht="12.75">
      <c r="A53" s="6">
        <v>1783</v>
      </c>
      <c r="B53" s="6" t="s">
        <v>81</v>
      </c>
      <c r="C53" s="149">
        <f>SUM('5.mell. '!C66)</f>
        <v>0</v>
      </c>
      <c r="D53" s="149">
        <f>SUM('5.mell. '!D66)</f>
        <v>4788</v>
      </c>
      <c r="E53" s="149">
        <f>SUM('5.mell. '!E66)</f>
        <v>31751</v>
      </c>
      <c r="F53" s="149">
        <f>SUM('5.mell. '!F66)</f>
        <v>1508</v>
      </c>
      <c r="G53" s="154">
        <f t="shared" si="0"/>
        <v>0.04749456710024881</v>
      </c>
    </row>
    <row r="54" spans="1:7" ht="12.75">
      <c r="A54" s="6">
        <v>1784</v>
      </c>
      <c r="B54" s="6" t="s">
        <v>220</v>
      </c>
      <c r="C54" s="149">
        <f>SUM('5.mell. '!M67)</f>
        <v>0</v>
      </c>
      <c r="D54" s="149">
        <f>SUM('5.mell. '!N67)</f>
        <v>0</v>
      </c>
      <c r="E54" s="149">
        <f>SUM('5.mell. '!E67)</f>
        <v>32000</v>
      </c>
      <c r="F54" s="149">
        <f>SUM('5.mell. '!F67)</f>
        <v>32000</v>
      </c>
      <c r="G54" s="154">
        <f t="shared" si="0"/>
        <v>1</v>
      </c>
    </row>
    <row r="55" spans="1:7" ht="12.75">
      <c r="A55" s="6">
        <v>1785</v>
      </c>
      <c r="B55" s="6" t="s">
        <v>201</v>
      </c>
      <c r="C55" s="149">
        <f>SUM('5.mell. '!C71)</f>
        <v>1717061</v>
      </c>
      <c r="D55" s="149">
        <f>SUM('5.mell. '!D71)</f>
        <v>1988653</v>
      </c>
      <c r="E55" s="149">
        <f>SUM('5.mell. '!E71)</f>
        <v>2158690</v>
      </c>
      <c r="F55" s="149">
        <f>SUM('5.mell. '!F71)</f>
        <v>178860</v>
      </c>
      <c r="G55" s="914">
        <f t="shared" si="0"/>
        <v>0.08285580606756876</v>
      </c>
    </row>
    <row r="56" spans="1:7" ht="12.75">
      <c r="A56" s="6">
        <v>1786</v>
      </c>
      <c r="B56" s="6" t="s">
        <v>202</v>
      </c>
      <c r="C56" s="540"/>
      <c r="D56" s="540"/>
      <c r="E56" s="540"/>
      <c r="F56" s="540"/>
      <c r="G56" s="154"/>
    </row>
    <row r="57" spans="1:7" ht="12.75">
      <c r="A57" s="5">
        <v>1787</v>
      </c>
      <c r="B57" s="6" t="s">
        <v>269</v>
      </c>
      <c r="C57" s="540"/>
      <c r="D57" s="540"/>
      <c r="E57" s="540"/>
      <c r="F57" s="540">
        <f>'5.mell. '!F72</f>
        <v>4000</v>
      </c>
      <c r="G57" s="154"/>
    </row>
    <row r="58" spans="1:7" ht="12.75">
      <c r="A58" s="5"/>
      <c r="B58" s="6"/>
      <c r="C58" s="534"/>
      <c r="D58" s="534"/>
      <c r="E58" s="534"/>
      <c r="F58" s="534"/>
      <c r="G58" s="154"/>
    </row>
    <row r="59" spans="1:7" ht="0.6" hidden="1">
      <c r="A59" s="62">
        <v>1790</v>
      </c>
      <c r="B59" s="117" t="s">
        <v>369</v>
      </c>
      <c r="C59" s="514"/>
      <c r="D59" s="514"/>
      <c r="E59" s="514"/>
      <c r="F59" s="514"/>
      <c r="G59" s="154"/>
    </row>
    <row r="60" spans="1:7" ht="12.75" hidden="1">
      <c r="A60" s="5">
        <v>1795</v>
      </c>
      <c r="B60" s="5" t="s">
        <v>313</v>
      </c>
      <c r="C60" s="535"/>
      <c r="D60" s="535"/>
      <c r="E60" s="535"/>
      <c r="F60" s="535"/>
      <c r="G60" s="154"/>
    </row>
    <row r="61" spans="1:7" s="18" customFormat="1" ht="12.75">
      <c r="A61" s="5"/>
      <c r="B61" s="58"/>
      <c r="C61" s="534"/>
      <c r="D61" s="534"/>
      <c r="E61" s="534"/>
      <c r="F61" s="534"/>
      <c r="G61" s="154"/>
    </row>
    <row r="62" spans="1:7" s="21" customFormat="1" ht="14.1" customHeight="1">
      <c r="A62" s="4">
        <v>1801</v>
      </c>
      <c r="B62" s="7" t="s">
        <v>474</v>
      </c>
      <c r="C62" s="515">
        <v>25000</v>
      </c>
      <c r="D62" s="515">
        <f>25000+553</f>
        <v>25553</v>
      </c>
      <c r="E62" s="515">
        <v>25553</v>
      </c>
      <c r="F62" s="515">
        <v>23833</v>
      </c>
      <c r="G62" s="154">
        <f t="shared" si="0"/>
        <v>0.9326889210660196</v>
      </c>
    </row>
    <row r="63" spans="1:7" s="21" customFormat="1" ht="11.45" customHeight="1">
      <c r="A63" s="4"/>
      <c r="B63" s="7"/>
      <c r="C63" s="515"/>
      <c r="D63" s="515"/>
      <c r="E63" s="515"/>
      <c r="F63" s="515"/>
      <c r="G63" s="154"/>
    </row>
    <row r="64" spans="1:7" s="21" customFormat="1" ht="14.1" customHeight="1">
      <c r="A64" s="4">
        <v>1802</v>
      </c>
      <c r="B64" s="7" t="s">
        <v>327</v>
      </c>
      <c r="C64" s="515">
        <f>7865+3790</f>
        <v>11655</v>
      </c>
      <c r="D64" s="515">
        <f>7865+3790</f>
        <v>11655</v>
      </c>
      <c r="E64" s="515">
        <v>11655</v>
      </c>
      <c r="F64" s="515">
        <v>11633</v>
      </c>
      <c r="G64" s="154">
        <f t="shared" si="0"/>
        <v>0.9981123981123982</v>
      </c>
    </row>
    <row r="65" spans="1:7" s="21" customFormat="1" ht="14.1" customHeight="1">
      <c r="A65" s="4"/>
      <c r="B65" s="7"/>
      <c r="C65" s="515"/>
      <c r="D65" s="515"/>
      <c r="E65" s="515"/>
      <c r="F65" s="515"/>
      <c r="G65" s="154"/>
    </row>
    <row r="66" spans="1:7" s="21" customFormat="1" ht="14.1" customHeight="1">
      <c r="A66" s="4">
        <v>1803</v>
      </c>
      <c r="B66" s="7" t="s">
        <v>354</v>
      </c>
      <c r="C66" s="515">
        <v>1731799</v>
      </c>
      <c r="D66" s="515">
        <v>1731799</v>
      </c>
      <c r="E66" s="515">
        <v>1731799</v>
      </c>
      <c r="F66" s="515">
        <v>1316167</v>
      </c>
      <c r="G66" s="154">
        <f t="shared" si="0"/>
        <v>0.7599998614157879</v>
      </c>
    </row>
    <row r="67" spans="1:7" s="21" customFormat="1" ht="11.1" customHeight="1">
      <c r="A67" s="4"/>
      <c r="B67" s="7"/>
      <c r="C67" s="515"/>
      <c r="D67" s="515"/>
      <c r="E67" s="515"/>
      <c r="F67" s="515"/>
      <c r="G67" s="154"/>
    </row>
    <row r="68" spans="1:7" s="21" customFormat="1" ht="12.75">
      <c r="A68" s="515">
        <v>1804</v>
      </c>
      <c r="B68" s="571" t="s">
        <v>391</v>
      </c>
      <c r="C68" s="515">
        <v>85000</v>
      </c>
      <c r="D68" s="515">
        <f>85000+215730</f>
        <v>300730</v>
      </c>
      <c r="E68" s="217">
        <f>300730+119347</f>
        <v>420077</v>
      </c>
      <c r="F68" s="217">
        <v>473522</v>
      </c>
      <c r="G68" s="1017">
        <f t="shared" si="0"/>
        <v>1.1272266751095632</v>
      </c>
    </row>
    <row r="69" spans="1:7" s="21" customFormat="1" ht="12.75">
      <c r="A69" s="4"/>
      <c r="B69" s="7"/>
      <c r="C69" s="536"/>
      <c r="D69" s="536"/>
      <c r="E69" s="536"/>
      <c r="F69" s="536"/>
      <c r="G69" s="154"/>
    </row>
    <row r="70" spans="1:7" s="21" customFormat="1" ht="12.75">
      <c r="A70" s="4">
        <v>1806</v>
      </c>
      <c r="B70" s="4" t="s">
        <v>309</v>
      </c>
      <c r="C70" s="513">
        <f>C71</f>
        <v>0</v>
      </c>
      <c r="D70" s="513">
        <f>D71</f>
        <v>9151</v>
      </c>
      <c r="E70" s="513">
        <f>E71</f>
        <v>9151</v>
      </c>
      <c r="F70" s="513">
        <f>F71</f>
        <v>9151</v>
      </c>
      <c r="G70" s="154">
        <f t="shared" si="0"/>
        <v>1</v>
      </c>
    </row>
    <row r="71" spans="1:7" s="21" customFormat="1" ht="12.75">
      <c r="A71" s="17"/>
      <c r="B71" s="66" t="s">
        <v>310</v>
      </c>
      <c r="C71" s="535"/>
      <c r="D71" s="535">
        <v>9151</v>
      </c>
      <c r="E71" s="535">
        <v>9151</v>
      </c>
      <c r="F71" s="535">
        <v>9151</v>
      </c>
      <c r="G71" s="914">
        <f t="shared" si="0"/>
        <v>1</v>
      </c>
    </row>
    <row r="72" spans="1:7" s="21" customFormat="1" ht="12.75">
      <c r="A72" s="17">
        <v>1807</v>
      </c>
      <c r="B72" s="4" t="s">
        <v>309</v>
      </c>
      <c r="C72" s="513">
        <f>C73</f>
        <v>0</v>
      </c>
      <c r="D72" s="513">
        <f>D73</f>
        <v>0</v>
      </c>
      <c r="E72" s="513">
        <f>E73</f>
        <v>0</v>
      </c>
      <c r="F72" s="513">
        <f>F73</f>
        <v>0</v>
      </c>
      <c r="G72" s="154"/>
    </row>
    <row r="73" spans="1:7" s="21" customFormat="1" ht="12.75">
      <c r="A73" s="17"/>
      <c r="B73" s="66" t="s">
        <v>607</v>
      </c>
      <c r="C73" s="535"/>
      <c r="D73" s="535"/>
      <c r="E73" s="535"/>
      <c r="F73" s="535"/>
      <c r="G73" s="154"/>
    </row>
    <row r="74" spans="1:7" s="21" customFormat="1" ht="12.75">
      <c r="A74" s="17"/>
      <c r="B74" s="66"/>
      <c r="C74" s="537"/>
      <c r="D74" s="537"/>
      <c r="E74" s="537"/>
      <c r="F74" s="537"/>
      <c r="G74" s="154"/>
    </row>
    <row r="75" spans="1:7" s="21" customFormat="1" ht="12.75">
      <c r="A75" s="17"/>
      <c r="B75" s="66"/>
      <c r="C75" s="537"/>
      <c r="D75" s="537"/>
      <c r="E75" s="537"/>
      <c r="F75" s="537"/>
      <c r="G75" s="154"/>
    </row>
    <row r="76" spans="1:7" s="21" customFormat="1" ht="12.75">
      <c r="A76" s="4"/>
      <c r="B76" s="4"/>
      <c r="C76" s="515"/>
      <c r="D76" s="515"/>
      <c r="E76" s="515"/>
      <c r="F76" s="515"/>
      <c r="G76" s="154"/>
    </row>
    <row r="77" spans="1:7" s="21" customFormat="1" ht="12.75">
      <c r="A77" s="62">
        <v>1812</v>
      </c>
      <c r="B77" s="87" t="s">
        <v>28</v>
      </c>
      <c r="C77" s="513">
        <f>SUM('6.mell. '!C12)</f>
        <v>50846</v>
      </c>
      <c r="D77" s="513">
        <f>SUM('6.mell. '!D12)</f>
        <v>24000</v>
      </c>
      <c r="E77" s="513">
        <f>SUM('6.mell. '!E12)</f>
        <v>44446</v>
      </c>
      <c r="F77" s="513">
        <f>SUM('6.mell. '!F12)</f>
        <v>0</v>
      </c>
      <c r="G77" s="154">
        <f aca="true" t="shared" si="7" ref="G77:G139">SUM(F77/E77)</f>
        <v>0</v>
      </c>
    </row>
    <row r="78" spans="1:7" s="21" customFormat="1" ht="12.75">
      <c r="A78" s="62">
        <v>1813</v>
      </c>
      <c r="B78" s="82" t="s">
        <v>29</v>
      </c>
      <c r="C78" s="513">
        <f>SUM('6.mell. '!C14)</f>
        <v>209692</v>
      </c>
      <c r="D78" s="513">
        <f>SUM('6.mell. '!D14)</f>
        <v>248282</v>
      </c>
      <c r="E78" s="513">
        <f>SUM('6.mell. '!E14)</f>
        <v>49282</v>
      </c>
      <c r="F78" s="513">
        <f>SUM('6.mell. '!F14)</f>
        <v>0</v>
      </c>
      <c r="G78" s="154">
        <f t="shared" si="7"/>
        <v>0</v>
      </c>
    </row>
    <row r="79" spans="1:7" s="21" customFormat="1" ht="12.75">
      <c r="A79" s="17">
        <v>1816</v>
      </c>
      <c r="B79" s="62" t="s">
        <v>52</v>
      </c>
      <c r="C79" s="513">
        <f>SUM('6.mell. '!C22)</f>
        <v>260538</v>
      </c>
      <c r="D79" s="513">
        <f>SUM('6.mell. '!D22)</f>
        <v>272282</v>
      </c>
      <c r="E79" s="513">
        <f>SUM('6.mell. '!E22)</f>
        <v>93728</v>
      </c>
      <c r="F79" s="513">
        <f>SUM('6.mell. '!F22)</f>
        <v>0</v>
      </c>
      <c r="G79" s="154">
        <f t="shared" si="7"/>
        <v>0</v>
      </c>
    </row>
    <row r="80" spans="1:7" ht="12.75">
      <c r="A80" s="5"/>
      <c r="B80" s="5"/>
      <c r="C80" s="513"/>
      <c r="D80" s="513"/>
      <c r="E80" s="513"/>
      <c r="F80" s="513"/>
      <c r="G80" s="154"/>
    </row>
    <row r="81" spans="1:7" s="23" customFormat="1" ht="14.1" customHeight="1">
      <c r="A81" s="71"/>
      <c r="B81" s="71" t="s">
        <v>47</v>
      </c>
      <c r="C81" s="538"/>
      <c r="D81" s="538"/>
      <c r="E81" s="538"/>
      <c r="F81" s="538"/>
      <c r="G81" s="154"/>
    </row>
    <row r="82" spans="1:7" s="18" customFormat="1" ht="12" customHeight="1">
      <c r="A82" s="5">
        <v>1821</v>
      </c>
      <c r="B82" s="6" t="s">
        <v>226</v>
      </c>
      <c r="C82" s="539">
        <f>SUM(C12+C24+C34+C42+C51)</f>
        <v>2450058</v>
      </c>
      <c r="D82" s="539">
        <f>SUM(D12+D24+D34+D42+D51)</f>
        <v>2529859</v>
      </c>
      <c r="E82" s="539">
        <f>SUM(E12+E24+E34+E42+E51)</f>
        <v>2537177</v>
      </c>
      <c r="F82" s="886">
        <f>SUM(F12+F24+F34+F42+F51)</f>
        <v>1845484</v>
      </c>
      <c r="G82" s="914">
        <f t="shared" si="7"/>
        <v>0.7273769232497378</v>
      </c>
    </row>
    <row r="83" spans="1:7" s="18" customFormat="1" ht="12" customHeight="1">
      <c r="A83" s="5">
        <v>1822</v>
      </c>
      <c r="B83" s="6" t="s">
        <v>80</v>
      </c>
      <c r="C83" s="540">
        <f aca="true" t="shared" si="8" ref="C83">SUM(C13+C25+C35+C43+C52)</f>
        <v>371107</v>
      </c>
      <c r="D83" s="540">
        <f aca="true" t="shared" si="9" ref="D83">SUM(D13+D25+D35+D43+D52)</f>
        <v>404344</v>
      </c>
      <c r="E83" s="540">
        <f aca="true" t="shared" si="10" ref="E83:F83">SUM(E13+E25+E35+E43+E52)</f>
        <v>407527</v>
      </c>
      <c r="F83" s="149">
        <f t="shared" si="10"/>
        <v>280416</v>
      </c>
      <c r="G83" s="914">
        <f t="shared" si="7"/>
        <v>0.6880918319522388</v>
      </c>
    </row>
    <row r="84" spans="1:7" s="18" customFormat="1" ht="12.75">
      <c r="A84" s="144">
        <v>1823</v>
      </c>
      <c r="B84" s="6" t="s">
        <v>81</v>
      </c>
      <c r="C84" s="540">
        <f>SUM(C14+C26+C36+C44+C53+C62+C64+C68)</f>
        <v>5360565</v>
      </c>
      <c r="D84" s="540">
        <f>SUM(D14+D26+D36+D44+D53+D62+D64+D68)</f>
        <v>6295807</v>
      </c>
      <c r="E84" s="540">
        <f>SUM(E14+E26+E36+E44+E53+E62+E64+E68)</f>
        <v>6596288</v>
      </c>
      <c r="F84" s="149">
        <f>SUM(F14+F26+F36+F44+F53+F62+F64+F68)</f>
        <v>4288967</v>
      </c>
      <c r="G84" s="914">
        <f t="shared" si="7"/>
        <v>0.6502091782529811</v>
      </c>
    </row>
    <row r="85" spans="1:7" s="18" customFormat="1" ht="12.75">
      <c r="A85" s="144">
        <v>1824</v>
      </c>
      <c r="B85" s="6" t="s">
        <v>91</v>
      </c>
      <c r="C85" s="539">
        <f>SUM(C15+C27)</f>
        <v>184000</v>
      </c>
      <c r="D85" s="539">
        <f>SUM(D15+D27)</f>
        <v>184886</v>
      </c>
      <c r="E85" s="539">
        <f>SUM(E15+E27)</f>
        <v>194886</v>
      </c>
      <c r="F85" s="886">
        <f>SUM(F15+F27)</f>
        <v>110669</v>
      </c>
      <c r="G85" s="914">
        <f t="shared" si="7"/>
        <v>0.5678653161335345</v>
      </c>
    </row>
    <row r="86" spans="1:7" s="18" customFormat="1" ht="12.75">
      <c r="A86" s="5">
        <v>1825</v>
      </c>
      <c r="B86" s="6" t="s">
        <v>240</v>
      </c>
      <c r="C86" s="540">
        <f>SUM(C16+C28+C37+C45+C54+C66+C70+C77+C78)</f>
        <v>3360027</v>
      </c>
      <c r="D86" s="540">
        <f>SUM(D16+D28+D37+D45+D54+D66+D70+D77+D78)</f>
        <v>3462697</v>
      </c>
      <c r="E86" s="540">
        <f>SUM(E16+E28+E37+E45+E54+E66+E70+E77+E78)</f>
        <v>3331741</v>
      </c>
      <c r="F86" s="149">
        <f>SUM(F16+F28+F37+F45+F54+F66+F70+F77+F78)</f>
        <v>2416288</v>
      </c>
      <c r="G86" s="914">
        <f t="shared" si="7"/>
        <v>0.7252328437294495</v>
      </c>
    </row>
    <row r="87" spans="1:7" s="18" customFormat="1" ht="12.75" thickBot="1">
      <c r="A87" s="86"/>
      <c r="B87" s="156" t="s">
        <v>57</v>
      </c>
      <c r="C87" s="541">
        <f aca="true" t="shared" si="11" ref="C87">SUM(C79)</f>
        <v>260538</v>
      </c>
      <c r="D87" s="541">
        <f aca="true" t="shared" si="12" ref="D87">SUM(D79)</f>
        <v>272282</v>
      </c>
      <c r="E87" s="541">
        <f aca="true" t="shared" si="13" ref="E87:F87">SUM(E79)</f>
        <v>93728</v>
      </c>
      <c r="F87" s="1062">
        <f t="shared" si="13"/>
        <v>0</v>
      </c>
      <c r="G87" s="916">
        <f t="shared" si="7"/>
        <v>0</v>
      </c>
    </row>
    <row r="88" spans="1:7" s="18" customFormat="1" ht="17.25" customHeight="1" thickBot="1">
      <c r="A88" s="148">
        <v>1820</v>
      </c>
      <c r="B88" s="148" t="s">
        <v>38</v>
      </c>
      <c r="C88" s="542">
        <f aca="true" t="shared" si="14" ref="C88">SUM(C82:C87)-C87</f>
        <v>11725757</v>
      </c>
      <c r="D88" s="542">
        <f aca="true" t="shared" si="15" ref="D88">SUM(D82:D87)-D87</f>
        <v>12877593</v>
      </c>
      <c r="E88" s="542">
        <f aca="true" t="shared" si="16" ref="E88:F88">SUM(E82:E87)-E87</f>
        <v>13067619</v>
      </c>
      <c r="F88" s="542">
        <f t="shared" si="16"/>
        <v>8941824</v>
      </c>
      <c r="G88" s="917">
        <f t="shared" si="7"/>
        <v>0.6842733936457743</v>
      </c>
    </row>
    <row r="89" spans="1:7" s="18" customFormat="1" ht="12.75">
      <c r="A89" s="63"/>
      <c r="B89" s="63"/>
      <c r="C89" s="514"/>
      <c r="D89" s="514"/>
      <c r="E89" s="514"/>
      <c r="F89" s="514"/>
      <c r="G89" s="915"/>
    </row>
    <row r="90" spans="1:7" s="18" customFormat="1" ht="12.75">
      <c r="A90" s="5"/>
      <c r="B90" s="87" t="s">
        <v>48</v>
      </c>
      <c r="C90" s="513"/>
      <c r="D90" s="513"/>
      <c r="E90" s="513"/>
      <c r="F90" s="513"/>
      <c r="G90" s="154"/>
    </row>
    <row r="91" spans="1:7" s="18" customFormat="1" ht="12.75">
      <c r="A91" s="5">
        <v>1831</v>
      </c>
      <c r="B91" s="6" t="s">
        <v>201</v>
      </c>
      <c r="C91" s="539">
        <f>SUM(C17+C29+C46+C55+C38)</f>
        <v>1780561</v>
      </c>
      <c r="D91" s="539">
        <f>SUM(D17+D29+D46+D55+D38)</f>
        <v>2910600</v>
      </c>
      <c r="E91" s="539">
        <f>SUM(E17+E29+E46+E55+E38)</f>
        <v>4701995</v>
      </c>
      <c r="F91" s="886">
        <f>SUM(F17+F29+F46+F55+F38)</f>
        <v>661969</v>
      </c>
      <c r="G91" s="914">
        <f t="shared" si="7"/>
        <v>0.1407847094690658</v>
      </c>
    </row>
    <row r="92" spans="1:7" s="18" customFormat="1" ht="12.75">
      <c r="A92" s="5">
        <v>1832</v>
      </c>
      <c r="B92" s="6" t="s">
        <v>202</v>
      </c>
      <c r="C92" s="539">
        <f>SUM(C18+C30+C47+C56)</f>
        <v>7448152</v>
      </c>
      <c r="D92" s="539">
        <f>SUM(D18+D30+D47+D56)</f>
        <v>10234259</v>
      </c>
      <c r="E92" s="539">
        <f>SUM(E18+E30+E47+E56)</f>
        <v>8259626</v>
      </c>
      <c r="F92" s="886">
        <f>SUM(F18+F30+F47+F56)</f>
        <v>2897968</v>
      </c>
      <c r="G92" s="914">
        <f t="shared" si="7"/>
        <v>0.35085946990820166</v>
      </c>
    </row>
    <row r="93" spans="1:10" s="18" customFormat="1" ht="12.75" thickBot="1">
      <c r="A93" s="149">
        <v>1833</v>
      </c>
      <c r="B93" s="215" t="s">
        <v>269</v>
      </c>
      <c r="C93" s="886">
        <f>SUM(C31+C48+C39+C57+C59+C19+C72)</f>
        <v>364400</v>
      </c>
      <c r="D93" s="886">
        <f>SUM(D31+D48+D39+D57+D59+D19+D72)</f>
        <v>1014474</v>
      </c>
      <c r="E93" s="886">
        <f>SUM(E31+E48+E39+E57+E59+E19+E72)</f>
        <v>1311922</v>
      </c>
      <c r="F93" s="886">
        <f>SUM(F31+F48+F39+F57+F59+F19+F72)</f>
        <v>492011</v>
      </c>
      <c r="G93" s="916">
        <f t="shared" si="7"/>
        <v>0.3750306801776325</v>
      </c>
      <c r="H93" s="887"/>
      <c r="I93" s="595"/>
      <c r="J93" s="595"/>
    </row>
    <row r="94" spans="1:7" s="18" customFormat="1" ht="18.75" customHeight="1" thickBot="1">
      <c r="A94" s="142">
        <v>1830</v>
      </c>
      <c r="B94" s="142" t="s">
        <v>49</v>
      </c>
      <c r="C94" s="543">
        <f aca="true" t="shared" si="17" ref="C94">SUM(C91:C93)</f>
        <v>9593113</v>
      </c>
      <c r="D94" s="543">
        <f aca="true" t="shared" si="18" ref="D94">SUM(D91:D93)</f>
        <v>14159333</v>
      </c>
      <c r="E94" s="543">
        <f aca="true" t="shared" si="19" ref="E94:F94">SUM(E91:E93)</f>
        <v>14273543</v>
      </c>
      <c r="F94" s="1063">
        <f t="shared" si="19"/>
        <v>4051948</v>
      </c>
      <c r="G94" s="917">
        <f t="shared" si="7"/>
        <v>0.28387822140585556</v>
      </c>
    </row>
    <row r="95" spans="1:7" s="18" customFormat="1" ht="18.75" customHeight="1">
      <c r="A95" s="589"/>
      <c r="B95" s="589"/>
      <c r="C95" s="590"/>
      <c r="D95" s="590"/>
      <c r="E95" s="590"/>
      <c r="F95" s="1064"/>
      <c r="G95" s="915"/>
    </row>
    <row r="96" spans="1:8" s="18" customFormat="1" ht="12.75">
      <c r="A96" s="66">
        <v>1842</v>
      </c>
      <c r="B96" s="112" t="s">
        <v>469</v>
      </c>
      <c r="C96" s="535"/>
      <c r="D96" s="535">
        <v>303423</v>
      </c>
      <c r="E96" s="535">
        <f>303423+425405</f>
        <v>728828</v>
      </c>
      <c r="F96" s="220">
        <v>862125</v>
      </c>
      <c r="G96" s="914">
        <f t="shared" si="7"/>
        <v>1.1828922599021992</v>
      </c>
      <c r="H96" s="595"/>
    </row>
    <row r="97" spans="1:7" s="18" customFormat="1" ht="12.75">
      <c r="A97" s="66">
        <v>1843</v>
      </c>
      <c r="B97" s="112" t="s">
        <v>370</v>
      </c>
      <c r="C97" s="503">
        <v>114066</v>
      </c>
      <c r="D97" s="503">
        <v>114066</v>
      </c>
      <c r="E97" s="503">
        <v>114066</v>
      </c>
      <c r="F97" s="1065">
        <v>114066</v>
      </c>
      <c r="G97" s="914">
        <f t="shared" si="7"/>
        <v>1</v>
      </c>
    </row>
    <row r="98" spans="1:7" s="18" customFormat="1" ht="12.75">
      <c r="A98" s="66">
        <v>1844</v>
      </c>
      <c r="B98" s="112" t="s">
        <v>375</v>
      </c>
      <c r="C98" s="514"/>
      <c r="D98" s="514"/>
      <c r="E98" s="514"/>
      <c r="F98" s="218"/>
      <c r="G98" s="154"/>
    </row>
    <row r="99" spans="1:7" s="18" customFormat="1" ht="12.75">
      <c r="A99" s="62">
        <v>1845</v>
      </c>
      <c r="B99" s="117" t="s">
        <v>378</v>
      </c>
      <c r="C99" s="514">
        <f>SUM(C100:C102)</f>
        <v>10197824</v>
      </c>
      <c r="D99" s="514">
        <f>SUM(D100:D102)</f>
        <v>10721119</v>
      </c>
      <c r="E99" s="514">
        <f>SUM(E100:E102)</f>
        <v>10786006</v>
      </c>
      <c r="F99" s="514">
        <f>SUM(F100:F102)</f>
        <v>6918297</v>
      </c>
      <c r="G99" s="154">
        <f t="shared" si="7"/>
        <v>0.641414162016969</v>
      </c>
    </row>
    <row r="100" spans="1:7" s="18" customFormat="1" ht="12.75">
      <c r="A100" s="66">
        <v>1846</v>
      </c>
      <c r="B100" s="61" t="s">
        <v>305</v>
      </c>
      <c r="C100" s="503">
        <f>SUM('2.mell'!C697)</f>
        <v>6595005</v>
      </c>
      <c r="D100" s="503">
        <f>SUM('2.mell'!D697)</f>
        <v>7011422</v>
      </c>
      <c r="E100" s="503">
        <f>SUM('2.mell'!E697)</f>
        <v>7024297</v>
      </c>
      <c r="F100" s="503">
        <f>SUM('2.mell'!F697)</f>
        <v>4505104</v>
      </c>
      <c r="G100" s="914">
        <f t="shared" si="7"/>
        <v>0.6413601247213778</v>
      </c>
    </row>
    <row r="101" spans="1:7" s="18" customFormat="1" ht="12.75">
      <c r="A101" s="66">
        <v>1847</v>
      </c>
      <c r="B101" s="66" t="s">
        <v>306</v>
      </c>
      <c r="C101" s="503">
        <f>SUM('2.mell'!C698)</f>
        <v>417247</v>
      </c>
      <c r="D101" s="503">
        <f>SUM('2.mell'!D698)</f>
        <v>524125</v>
      </c>
      <c r="E101" s="503">
        <f>SUM('2.mell'!E698)</f>
        <v>576137</v>
      </c>
      <c r="F101" s="503">
        <f>SUM('2.mell'!F698)</f>
        <v>368244</v>
      </c>
      <c r="G101" s="914">
        <f t="shared" si="7"/>
        <v>0.6391604774558829</v>
      </c>
    </row>
    <row r="102" spans="1:7" s="18" customFormat="1" ht="12.75" thickBot="1">
      <c r="A102" s="141">
        <v>1849</v>
      </c>
      <c r="B102" s="61" t="s">
        <v>293</v>
      </c>
      <c r="C102" s="544">
        <f>SUM('1b.mell '!C152)</f>
        <v>3185572</v>
      </c>
      <c r="D102" s="544">
        <f>SUM('1b.mell '!D152)</f>
        <v>3185572</v>
      </c>
      <c r="E102" s="544">
        <f>SUM('1b.mell '!E152)</f>
        <v>3185572</v>
      </c>
      <c r="F102" s="544">
        <f>SUM('1b.mell '!F152)</f>
        <v>2044949</v>
      </c>
      <c r="G102" s="916">
        <f t="shared" si="7"/>
        <v>0.6419409135941677</v>
      </c>
    </row>
    <row r="103" spans="1:7" s="18" customFormat="1" ht="18.75" customHeight="1" thickBot="1">
      <c r="A103" s="147">
        <v>1840</v>
      </c>
      <c r="B103" s="142" t="s">
        <v>40</v>
      </c>
      <c r="C103" s="545">
        <f>SUM(C99+C97+C98)+C96</f>
        <v>10311890</v>
      </c>
      <c r="D103" s="545">
        <f>SUM(D99+D97+D98)+D96</f>
        <v>11138608</v>
      </c>
      <c r="E103" s="545">
        <f>SUM(E99+E97+E98)+E96</f>
        <v>11628900</v>
      </c>
      <c r="F103" s="545">
        <f>SUM(F99+F97+F98)+F96</f>
        <v>7894488</v>
      </c>
      <c r="G103" s="917">
        <f t="shared" si="7"/>
        <v>0.6788679926734257</v>
      </c>
    </row>
    <row r="104" spans="1:7" s="18" customFormat="1" ht="12.75">
      <c r="A104" s="150"/>
      <c r="B104" s="150"/>
      <c r="C104" s="514"/>
      <c r="D104" s="514"/>
      <c r="E104" s="514"/>
      <c r="F104" s="514"/>
      <c r="G104" s="915"/>
    </row>
    <row r="105" spans="1:7" s="18" customFormat="1" ht="12.75" thickBot="1">
      <c r="A105" s="61">
        <v>1851</v>
      </c>
      <c r="B105" s="116" t="s">
        <v>371</v>
      </c>
      <c r="C105" s="544">
        <v>48000</v>
      </c>
      <c r="D105" s="544">
        <v>48000</v>
      </c>
      <c r="E105" s="544">
        <v>48000</v>
      </c>
      <c r="F105" s="544">
        <v>36000</v>
      </c>
      <c r="G105" s="916">
        <f t="shared" si="7"/>
        <v>0.75</v>
      </c>
    </row>
    <row r="106" spans="1:7" s="18" customFormat="1" ht="18.75" customHeight="1" thickBot="1">
      <c r="A106" s="147">
        <v>1865</v>
      </c>
      <c r="B106" s="142" t="s">
        <v>42</v>
      </c>
      <c r="C106" s="542">
        <f aca="true" t="shared" si="20" ref="C106">SUM(C105)</f>
        <v>48000</v>
      </c>
      <c r="D106" s="542">
        <f aca="true" t="shared" si="21" ref="D106">SUM(D105)</f>
        <v>48000</v>
      </c>
      <c r="E106" s="542">
        <f aca="true" t="shared" si="22" ref="E106:F106">SUM(E105)</f>
        <v>48000</v>
      </c>
      <c r="F106" s="542">
        <f t="shared" si="22"/>
        <v>36000</v>
      </c>
      <c r="G106" s="917">
        <f t="shared" si="7"/>
        <v>0.75</v>
      </c>
    </row>
    <row r="107" spans="1:7" s="18" customFormat="1" ht="18.75" customHeight="1" thickBot="1">
      <c r="A107" s="147"/>
      <c r="B107" s="177"/>
      <c r="C107" s="542"/>
      <c r="D107" s="542"/>
      <c r="E107" s="542"/>
      <c r="F107" s="542"/>
      <c r="G107" s="917"/>
    </row>
    <row r="108" spans="1:7" s="18" customFormat="1" ht="18" customHeight="1" thickBot="1">
      <c r="A108" s="84">
        <v>1870</v>
      </c>
      <c r="B108" s="140" t="s">
        <v>586</v>
      </c>
      <c r="C108" s="570">
        <f>SUM(C106+C103+C94+C88)</f>
        <v>31678760</v>
      </c>
      <c r="D108" s="570">
        <f>SUM(D106+D103+D94+D88)</f>
        <v>38223534</v>
      </c>
      <c r="E108" s="570">
        <f>SUM(E106+E103+E94+E88)</f>
        <v>39018062</v>
      </c>
      <c r="F108" s="570">
        <f>SUM(F106+F103+F94+F88)</f>
        <v>20924260</v>
      </c>
      <c r="G108" s="917">
        <f t="shared" si="7"/>
        <v>0.5362711248959521</v>
      </c>
    </row>
    <row r="109" spans="1:7" ht="7.5" customHeight="1">
      <c r="A109" s="7"/>
      <c r="B109" s="54"/>
      <c r="C109" s="571"/>
      <c r="D109" s="571"/>
      <c r="E109" s="571"/>
      <c r="F109" s="571"/>
      <c r="G109" s="915"/>
    </row>
    <row r="110" spans="1:7" s="26" customFormat="1" ht="12" customHeight="1">
      <c r="A110" s="14"/>
      <c r="B110" s="25" t="s">
        <v>582</v>
      </c>
      <c r="C110" s="584"/>
      <c r="D110" s="584"/>
      <c r="E110" s="584"/>
      <c r="F110" s="584"/>
      <c r="G110" s="154"/>
    </row>
    <row r="111" spans="1:7" s="26" customFormat="1" ht="9" customHeight="1">
      <c r="A111" s="14"/>
      <c r="B111" s="25"/>
      <c r="C111" s="584"/>
      <c r="D111" s="584"/>
      <c r="E111" s="584"/>
      <c r="F111" s="584"/>
      <c r="G111" s="154"/>
    </row>
    <row r="112" spans="1:7" s="26" customFormat="1" ht="12" customHeight="1">
      <c r="A112" s="14"/>
      <c r="B112" s="71" t="s">
        <v>47</v>
      </c>
      <c r="C112" s="584"/>
      <c r="D112" s="584"/>
      <c r="E112" s="584"/>
      <c r="F112" s="584"/>
      <c r="G112" s="154"/>
    </row>
    <row r="113" spans="1:7" s="18" customFormat="1" ht="12.75">
      <c r="A113" s="5">
        <v>1911</v>
      </c>
      <c r="B113" s="6" t="s">
        <v>226</v>
      </c>
      <c r="C113" s="540">
        <f>SUM('2.mell'!C703)</f>
        <v>3914388</v>
      </c>
      <c r="D113" s="540">
        <f>SUM('2.mell'!D703)</f>
        <v>4006878</v>
      </c>
      <c r="E113" s="540">
        <f>SUM('2.mell'!E703)</f>
        <v>4110771</v>
      </c>
      <c r="F113" s="540">
        <f>SUM('2.mell'!F703)</f>
        <v>2734066</v>
      </c>
      <c r="G113" s="914">
        <f t="shared" si="7"/>
        <v>0.6650981044675074</v>
      </c>
    </row>
    <row r="114" spans="1:7" s="18" customFormat="1" ht="12.75">
      <c r="A114" s="5">
        <v>1912</v>
      </c>
      <c r="B114" s="6" t="s">
        <v>80</v>
      </c>
      <c r="C114" s="540">
        <f>SUM('2.mell'!C704)</f>
        <v>587378</v>
      </c>
      <c r="D114" s="540">
        <f>SUM('2.mell'!D704)</f>
        <v>604129</v>
      </c>
      <c r="E114" s="540">
        <f>SUM('2.mell'!E704)</f>
        <v>617223</v>
      </c>
      <c r="F114" s="540">
        <f>SUM('2.mell'!F704)</f>
        <v>389726</v>
      </c>
      <c r="G114" s="914">
        <f t="shared" si="7"/>
        <v>0.6314184662593585</v>
      </c>
    </row>
    <row r="115" spans="1:7" s="18" customFormat="1" ht="12.75">
      <c r="A115" s="5">
        <v>1913</v>
      </c>
      <c r="B115" s="5" t="s">
        <v>81</v>
      </c>
      <c r="C115" s="540">
        <f>SUM('2.mell'!C705)</f>
        <v>2421880</v>
      </c>
      <c r="D115" s="540">
        <f>SUM('2.mell'!D705)</f>
        <v>2707812</v>
      </c>
      <c r="E115" s="540">
        <f>SUM('2.mell'!E705)</f>
        <v>2718438</v>
      </c>
      <c r="F115" s="540">
        <f>SUM('2.mell'!F705)</f>
        <v>1721176</v>
      </c>
      <c r="G115" s="914">
        <f t="shared" si="7"/>
        <v>0.6331488891782707</v>
      </c>
    </row>
    <row r="116" spans="1:7" s="24" customFormat="1" ht="12.75">
      <c r="A116" s="66">
        <v>1915</v>
      </c>
      <c r="B116" s="6" t="s">
        <v>198</v>
      </c>
      <c r="C116" s="540">
        <f>SUM('2.mell'!C706)</f>
        <v>230</v>
      </c>
      <c r="D116" s="540">
        <f>SUM('2.mell'!D706)</f>
        <v>230</v>
      </c>
      <c r="E116" s="540">
        <f>SUM('2.mell'!E706)</f>
        <v>230</v>
      </c>
      <c r="F116" s="540">
        <f>SUM('2.mell'!F706)</f>
        <v>175</v>
      </c>
      <c r="G116" s="914">
        <f t="shared" si="7"/>
        <v>0.7608695652173914</v>
      </c>
    </row>
    <row r="117" spans="1:7" s="18" customFormat="1" ht="12.75">
      <c r="A117" s="5">
        <v>1916</v>
      </c>
      <c r="B117" s="6" t="s">
        <v>240</v>
      </c>
      <c r="C117" s="540">
        <f>SUM('2.mell'!C707)</f>
        <v>0</v>
      </c>
      <c r="D117" s="540">
        <f>SUM('2.mell'!D707)</f>
        <v>20</v>
      </c>
      <c r="E117" s="540">
        <f>SUM('2.mell'!E707)</f>
        <v>1933</v>
      </c>
      <c r="F117" s="540">
        <f>SUM('2.mell'!F707)</f>
        <v>1910</v>
      </c>
      <c r="G117" s="154">
        <f t="shared" si="7"/>
        <v>0.9881013967925505</v>
      </c>
    </row>
    <row r="118" spans="1:7" s="18" customFormat="1" ht="12.75">
      <c r="A118" s="62">
        <v>1910</v>
      </c>
      <c r="B118" s="63" t="s">
        <v>38</v>
      </c>
      <c r="C118" s="513">
        <f aca="true" t="shared" si="23" ref="C118">SUM(C113:C117)</f>
        <v>6923876</v>
      </c>
      <c r="D118" s="513">
        <f aca="true" t="shared" si="24" ref="D118">SUM(D113:D117)</f>
        <v>7319069</v>
      </c>
      <c r="E118" s="513">
        <f aca="true" t="shared" si="25" ref="E118:F118">SUM(E113:E117)</f>
        <v>7448595</v>
      </c>
      <c r="F118" s="513">
        <f t="shared" si="25"/>
        <v>4847053</v>
      </c>
      <c r="G118" s="154">
        <f t="shared" si="7"/>
        <v>0.650733863231925</v>
      </c>
    </row>
    <row r="119" spans="1:7" s="18" customFormat="1" ht="12.75">
      <c r="A119" s="5"/>
      <c r="B119" s="82" t="s">
        <v>48</v>
      </c>
      <c r="C119" s="513"/>
      <c r="D119" s="513"/>
      <c r="E119" s="513"/>
      <c r="F119" s="513"/>
      <c r="G119" s="154"/>
    </row>
    <row r="120" spans="1:7" s="18" customFormat="1" ht="12.75">
      <c r="A120" s="5">
        <v>1921</v>
      </c>
      <c r="B120" s="6" t="s">
        <v>201</v>
      </c>
      <c r="C120" s="540">
        <f>SUM('2.mell'!C709)</f>
        <v>289642</v>
      </c>
      <c r="D120" s="540">
        <f>SUM('2.mell'!D709)</f>
        <v>343264</v>
      </c>
      <c r="E120" s="540">
        <f>SUM('2.mell'!E709)</f>
        <v>311877</v>
      </c>
      <c r="F120" s="540">
        <f>SUM('2.mell'!F709)</f>
        <v>146426</v>
      </c>
      <c r="G120" s="914">
        <f t="shared" si="7"/>
        <v>0.4694991935923457</v>
      </c>
    </row>
    <row r="121" spans="1:7" s="18" customFormat="1" ht="12.75">
      <c r="A121" s="5">
        <v>1922</v>
      </c>
      <c r="B121" s="6" t="s">
        <v>202</v>
      </c>
      <c r="C121" s="540">
        <f>SUM('2.mell'!C710)</f>
        <v>204237</v>
      </c>
      <c r="D121" s="540">
        <f>SUM('2.mell'!D710)</f>
        <v>306620</v>
      </c>
      <c r="E121" s="540">
        <f>SUM('2.mell'!E710)</f>
        <v>315664</v>
      </c>
      <c r="F121" s="540">
        <f>SUM('2.mell'!F710)</f>
        <v>207081</v>
      </c>
      <c r="G121" s="914">
        <f t="shared" si="7"/>
        <v>0.656017157483907</v>
      </c>
    </row>
    <row r="122" spans="1:7" s="18" customFormat="1" ht="12.75">
      <c r="A122" s="5">
        <v>1923</v>
      </c>
      <c r="B122" s="6" t="s">
        <v>269</v>
      </c>
      <c r="C122" s="540">
        <f>SUM('2.mell'!O711)</f>
        <v>0</v>
      </c>
      <c r="D122" s="540">
        <f>SUM('2.mell'!P711)</f>
        <v>0</v>
      </c>
      <c r="E122" s="540">
        <f>SUM('2.mell'!E711)</f>
        <v>0</v>
      </c>
      <c r="F122" s="540">
        <f>SUM('2.mell'!F711)</f>
        <v>0</v>
      </c>
      <c r="G122" s="154"/>
    </row>
    <row r="123" spans="1:7" s="18" customFormat="1" ht="12.75" thickBot="1">
      <c r="A123" s="83">
        <v>1920</v>
      </c>
      <c r="B123" s="83" t="s">
        <v>44</v>
      </c>
      <c r="C123" s="625">
        <f aca="true" t="shared" si="26" ref="C123">SUM(C120:C122)</f>
        <v>493879</v>
      </c>
      <c r="D123" s="625">
        <f aca="true" t="shared" si="27" ref="D123">SUM(D120:D122)</f>
        <v>649884</v>
      </c>
      <c r="E123" s="625">
        <f aca="true" t="shared" si="28" ref="E123:F123">SUM(E120:E122)</f>
        <v>627541</v>
      </c>
      <c r="F123" s="625">
        <f t="shared" si="28"/>
        <v>353507</v>
      </c>
      <c r="G123" s="918">
        <f t="shared" si="7"/>
        <v>0.5633209622956906</v>
      </c>
    </row>
    <row r="124" spans="1:7" s="18" customFormat="1" ht="16.5" customHeight="1" thickBot="1">
      <c r="A124" s="84"/>
      <c r="B124" s="142"/>
      <c r="C124" s="570"/>
      <c r="D124" s="570"/>
      <c r="E124" s="570"/>
      <c r="F124" s="570"/>
      <c r="G124" s="917"/>
    </row>
    <row r="125" spans="1:7" s="28" customFormat="1" ht="13.5" thickBot="1">
      <c r="A125" s="27">
        <v>1940</v>
      </c>
      <c r="B125" s="85" t="s">
        <v>583</v>
      </c>
      <c r="C125" s="585">
        <f aca="true" t="shared" si="29" ref="C125">SUM(C118+C123)</f>
        <v>7417755</v>
      </c>
      <c r="D125" s="585">
        <f aca="true" t="shared" si="30" ref="D125">SUM(D118+D123)</f>
        <v>7968953</v>
      </c>
      <c r="E125" s="585">
        <f aca="true" t="shared" si="31" ref="E125:F125">SUM(E118+E123)</f>
        <v>8076136</v>
      </c>
      <c r="F125" s="585">
        <f t="shared" si="31"/>
        <v>5200560</v>
      </c>
      <c r="G125" s="917">
        <f t="shared" si="7"/>
        <v>0.6439416077193351</v>
      </c>
    </row>
    <row r="126" spans="1:7" s="28" customFormat="1" ht="12.75">
      <c r="A126" s="81"/>
      <c r="B126" s="158"/>
      <c r="C126" s="586"/>
      <c r="D126" s="586"/>
      <c r="E126" s="586"/>
      <c r="F126" s="586"/>
      <c r="G126" s="915"/>
    </row>
    <row r="127" spans="1:7" ht="14.25" customHeight="1">
      <c r="A127" s="14"/>
      <c r="B127" s="14" t="s">
        <v>584</v>
      </c>
      <c r="C127" s="573"/>
      <c r="D127" s="573"/>
      <c r="E127" s="573"/>
      <c r="F127" s="573"/>
      <c r="G127" s="154"/>
    </row>
    <row r="128" spans="1:7" ht="14.25" customHeight="1">
      <c r="A128" s="14"/>
      <c r="B128" s="71" t="s">
        <v>47</v>
      </c>
      <c r="C128" s="584"/>
      <c r="D128" s="584"/>
      <c r="E128" s="584"/>
      <c r="F128" s="584"/>
      <c r="G128" s="154"/>
    </row>
    <row r="129" spans="1:7" ht="12.75">
      <c r="A129" s="5">
        <v>1951</v>
      </c>
      <c r="B129" s="6" t="s">
        <v>120</v>
      </c>
      <c r="C129" s="534">
        <f aca="true" t="shared" si="32" ref="C129">SUM(C82+C113)</f>
        <v>6364446</v>
      </c>
      <c r="D129" s="534">
        <f aca="true" t="shared" si="33" ref="D129">SUM(D82+D113)</f>
        <v>6536737</v>
      </c>
      <c r="E129" s="534">
        <f aca="true" t="shared" si="34" ref="E129:F129">SUM(E82+E113)</f>
        <v>6647948</v>
      </c>
      <c r="F129" s="534">
        <f t="shared" si="34"/>
        <v>4579550</v>
      </c>
      <c r="G129" s="914">
        <f t="shared" si="7"/>
        <v>0.6888666999200355</v>
      </c>
    </row>
    <row r="130" spans="1:7" ht="12.75">
      <c r="A130" s="5">
        <v>1952</v>
      </c>
      <c r="B130" s="6" t="s">
        <v>252</v>
      </c>
      <c r="C130" s="534">
        <f aca="true" t="shared" si="35" ref="C130">SUM(C83+C114)</f>
        <v>958485</v>
      </c>
      <c r="D130" s="534">
        <f aca="true" t="shared" si="36" ref="D130">SUM(D83+D114)</f>
        <v>1008473</v>
      </c>
      <c r="E130" s="534">
        <f aca="true" t="shared" si="37" ref="E130:F130">SUM(E83+E114)</f>
        <v>1024750</v>
      </c>
      <c r="F130" s="534">
        <f t="shared" si="37"/>
        <v>670142</v>
      </c>
      <c r="G130" s="914">
        <f t="shared" si="7"/>
        <v>0.6539565747743352</v>
      </c>
    </row>
    <row r="131" spans="1:7" ht="12.75">
      <c r="A131" s="5">
        <v>1953</v>
      </c>
      <c r="B131" s="6" t="s">
        <v>253</v>
      </c>
      <c r="C131" s="534">
        <f aca="true" t="shared" si="38" ref="C131">SUM(C84+C115)</f>
        <v>7782445</v>
      </c>
      <c r="D131" s="534">
        <f aca="true" t="shared" si="39" ref="D131">SUM(D84+D115)</f>
        <v>9003619</v>
      </c>
      <c r="E131" s="534">
        <f aca="true" t="shared" si="40" ref="E131:F131">SUM(E84+E115)</f>
        <v>9314726</v>
      </c>
      <c r="F131" s="534">
        <f t="shared" si="40"/>
        <v>6010143</v>
      </c>
      <c r="G131" s="914">
        <f t="shared" si="7"/>
        <v>0.6452302515393368</v>
      </c>
    </row>
    <row r="132" spans="1:7" ht="12.75">
      <c r="A132" s="5">
        <v>1954</v>
      </c>
      <c r="B132" s="6" t="s">
        <v>123</v>
      </c>
      <c r="C132" s="534">
        <f>SUM(C116+C85)</f>
        <v>184230</v>
      </c>
      <c r="D132" s="534">
        <f>SUM(D116+D85)</f>
        <v>185116</v>
      </c>
      <c r="E132" s="534">
        <f>SUM(E116+E85)</f>
        <v>195116</v>
      </c>
      <c r="F132" s="534">
        <f>SUM(F116+F85)</f>
        <v>110844</v>
      </c>
      <c r="G132" s="914">
        <f t="shared" si="7"/>
        <v>0.5680928268312183</v>
      </c>
    </row>
    <row r="133" spans="1:7" ht="12.75" thickBot="1">
      <c r="A133" s="5">
        <v>1955</v>
      </c>
      <c r="B133" s="6" t="s">
        <v>70</v>
      </c>
      <c r="C133" s="632">
        <f>SUM(C86+C117)</f>
        <v>3360027</v>
      </c>
      <c r="D133" s="632">
        <f>SUM(D86+D117)</f>
        <v>3462717</v>
      </c>
      <c r="E133" s="632">
        <f>SUM(E86+E117)</f>
        <v>3333674</v>
      </c>
      <c r="F133" s="632">
        <f>SUM(F86+F117)</f>
        <v>2418198</v>
      </c>
      <c r="G133" s="916">
        <f t="shared" si="7"/>
        <v>0.725385265625853</v>
      </c>
    </row>
    <row r="134" spans="1:7" ht="18" customHeight="1" thickBot="1">
      <c r="A134" s="142">
        <v>1950</v>
      </c>
      <c r="B134" s="142" t="s">
        <v>38</v>
      </c>
      <c r="C134" s="545">
        <f aca="true" t="shared" si="41" ref="C134">SUM(C129:C133)</f>
        <v>18649633</v>
      </c>
      <c r="D134" s="545">
        <f aca="true" t="shared" si="42" ref="D134">SUM(D129:D133)</f>
        <v>20196662</v>
      </c>
      <c r="E134" s="545">
        <f aca="true" t="shared" si="43" ref="E134:F134">SUM(E129:E133)</f>
        <v>20516214</v>
      </c>
      <c r="F134" s="545">
        <f t="shared" si="43"/>
        <v>13788877</v>
      </c>
      <c r="G134" s="917">
        <f t="shared" si="7"/>
        <v>0.6720965671346575</v>
      </c>
    </row>
    <row r="135" spans="1:7" ht="12.75">
      <c r="A135" s="6"/>
      <c r="B135" s="82" t="s">
        <v>48</v>
      </c>
      <c r="C135" s="534"/>
      <c r="D135" s="534"/>
      <c r="E135" s="534"/>
      <c r="F135" s="534"/>
      <c r="G135" s="915"/>
    </row>
    <row r="136" spans="1:7" ht="12.75">
      <c r="A136" s="6">
        <v>1961</v>
      </c>
      <c r="B136" s="82" t="s">
        <v>203</v>
      </c>
      <c r="C136" s="535">
        <f aca="true" t="shared" si="44" ref="C136">SUM(C91+C120)</f>
        <v>2070203</v>
      </c>
      <c r="D136" s="535">
        <f aca="true" t="shared" si="45" ref="D136">SUM(D91+D120)</f>
        <v>3253864</v>
      </c>
      <c r="E136" s="535">
        <f aca="true" t="shared" si="46" ref="E136:F136">SUM(E91+E120)</f>
        <v>5013872</v>
      </c>
      <c r="F136" s="535">
        <f t="shared" si="46"/>
        <v>808395</v>
      </c>
      <c r="G136" s="914">
        <f t="shared" si="7"/>
        <v>0.16123167883025336</v>
      </c>
    </row>
    <row r="137" spans="1:7" ht="12.75">
      <c r="A137" s="5">
        <v>1962</v>
      </c>
      <c r="B137" s="6" t="s">
        <v>202</v>
      </c>
      <c r="C137" s="503">
        <f aca="true" t="shared" si="47" ref="C137">SUM(C92+C121)</f>
        <v>7652389</v>
      </c>
      <c r="D137" s="503">
        <f aca="true" t="shared" si="48" ref="D137">SUM(D92+D121)</f>
        <v>10540879</v>
      </c>
      <c r="E137" s="503">
        <f aca="true" t="shared" si="49" ref="E137:F137">SUM(E92+E121)</f>
        <v>8575290</v>
      </c>
      <c r="F137" s="503">
        <f t="shared" si="49"/>
        <v>3105049</v>
      </c>
      <c r="G137" s="914">
        <f t="shared" si="7"/>
        <v>0.3620925939530908</v>
      </c>
    </row>
    <row r="138" spans="1:7" ht="12.75" thickBot="1">
      <c r="A138" s="5">
        <v>1963</v>
      </c>
      <c r="B138" s="6" t="s">
        <v>269</v>
      </c>
      <c r="C138" s="587">
        <f>SUM(C122+C93)</f>
        <v>364400</v>
      </c>
      <c r="D138" s="587">
        <f>SUM(D122+D93)</f>
        <v>1014474</v>
      </c>
      <c r="E138" s="587">
        <f>SUM(E122+E93)</f>
        <v>1311922</v>
      </c>
      <c r="F138" s="587">
        <f>SUM(F122+F93)</f>
        <v>492011</v>
      </c>
      <c r="G138" s="916">
        <f t="shared" si="7"/>
        <v>0.3750306801776325</v>
      </c>
    </row>
    <row r="139" spans="1:7" ht="17.25" customHeight="1" thickBot="1">
      <c r="A139" s="142">
        <v>1960</v>
      </c>
      <c r="B139" s="142" t="s">
        <v>44</v>
      </c>
      <c r="C139" s="545">
        <f aca="true" t="shared" si="50" ref="C139">SUM(C136:C138)</f>
        <v>10086992</v>
      </c>
      <c r="D139" s="545">
        <f aca="true" t="shared" si="51" ref="D139">SUM(D136:D138)</f>
        <v>14809217</v>
      </c>
      <c r="E139" s="545">
        <f aca="true" t="shared" si="52" ref="E139:F139">SUM(E136:E138)</f>
        <v>14901084</v>
      </c>
      <c r="F139" s="545">
        <f t="shared" si="52"/>
        <v>4405455</v>
      </c>
      <c r="G139" s="917">
        <f t="shared" si="7"/>
        <v>0.29564661201829345</v>
      </c>
    </row>
    <row r="140" spans="1:7" ht="13.5" customHeight="1">
      <c r="A140" s="597">
        <v>1973</v>
      </c>
      <c r="B140" s="112" t="s">
        <v>469</v>
      </c>
      <c r="C140" s="598">
        <f>C96</f>
        <v>0</v>
      </c>
      <c r="D140" s="598">
        <f>D96</f>
        <v>303423</v>
      </c>
      <c r="E140" s="598">
        <f>E96</f>
        <v>728828</v>
      </c>
      <c r="F140" s="598">
        <f>F96</f>
        <v>862125</v>
      </c>
      <c r="G140" s="915">
        <f aca="true" t="shared" si="53" ref="G140:G146">SUM(F140/E140)</f>
        <v>1.1828922599021992</v>
      </c>
    </row>
    <row r="141" spans="1:7" ht="12.75">
      <c r="A141" s="66">
        <v>1974</v>
      </c>
      <c r="B141" s="112" t="s">
        <v>378</v>
      </c>
      <c r="C141" s="535">
        <f>SUM(C99)</f>
        <v>10197824</v>
      </c>
      <c r="D141" s="535">
        <f>SUM(D99)</f>
        <v>10721119</v>
      </c>
      <c r="E141" s="535">
        <f>SUM(E99)</f>
        <v>10786006</v>
      </c>
      <c r="F141" s="535">
        <f>SUM(F99)</f>
        <v>6918297</v>
      </c>
      <c r="G141" s="914">
        <f t="shared" si="53"/>
        <v>0.641414162016969</v>
      </c>
    </row>
    <row r="142" spans="1:7" ht="12.75" thickBot="1">
      <c r="A142" s="169">
        <v>1975</v>
      </c>
      <c r="B142" s="112" t="s">
        <v>370</v>
      </c>
      <c r="C142" s="626">
        <f>SUM(C97)</f>
        <v>114066</v>
      </c>
      <c r="D142" s="626">
        <f>SUM(D97)</f>
        <v>114066</v>
      </c>
      <c r="E142" s="626">
        <f>SUM(E97)</f>
        <v>114066</v>
      </c>
      <c r="F142" s="626">
        <f>SUM(F97)</f>
        <v>114066</v>
      </c>
      <c r="G142" s="918">
        <f t="shared" si="53"/>
        <v>1</v>
      </c>
    </row>
    <row r="143" spans="1:7" ht="17.25" customHeight="1" thickBot="1">
      <c r="A143" s="147">
        <v>1970</v>
      </c>
      <c r="B143" s="142" t="s">
        <v>21</v>
      </c>
      <c r="C143" s="543">
        <f>SUM(C140:C142)</f>
        <v>10311890</v>
      </c>
      <c r="D143" s="543">
        <f>SUM(D140:D142)</f>
        <v>11138608</v>
      </c>
      <c r="E143" s="543">
        <f>SUM(E140:E142)</f>
        <v>11628900</v>
      </c>
      <c r="F143" s="543">
        <f>SUM(F140:F142)</f>
        <v>7894488</v>
      </c>
      <c r="G143" s="917">
        <f t="shared" si="53"/>
        <v>0.6788679926734257</v>
      </c>
    </row>
    <row r="144" spans="1:7" ht="12" customHeight="1" thickBot="1">
      <c r="A144" s="6">
        <v>1981</v>
      </c>
      <c r="B144" s="116" t="s">
        <v>371</v>
      </c>
      <c r="C144" s="496">
        <f aca="true" t="shared" si="54" ref="C144">SUM(C105)</f>
        <v>48000</v>
      </c>
      <c r="D144" s="496">
        <f aca="true" t="shared" si="55" ref="D144">SUM(D105)</f>
        <v>48000</v>
      </c>
      <c r="E144" s="496">
        <f aca="true" t="shared" si="56" ref="E144:F144">SUM(E105)</f>
        <v>48000</v>
      </c>
      <c r="F144" s="496">
        <f t="shared" si="56"/>
        <v>36000</v>
      </c>
      <c r="G144" s="919">
        <f t="shared" si="53"/>
        <v>0.75</v>
      </c>
    </row>
    <row r="145" spans="1:7" ht="17.25" customHeight="1" thickBot="1">
      <c r="A145" s="147">
        <v>1980</v>
      </c>
      <c r="B145" s="142" t="s">
        <v>20</v>
      </c>
      <c r="C145" s="543">
        <f aca="true" t="shared" si="57" ref="C145">SUM(C144:C144)</f>
        <v>48000</v>
      </c>
      <c r="D145" s="543">
        <f aca="true" t="shared" si="58" ref="D145">SUM(D144:D144)</f>
        <v>48000</v>
      </c>
      <c r="E145" s="543">
        <f aca="true" t="shared" si="59" ref="E145:F145">SUM(E144:E144)</f>
        <v>48000</v>
      </c>
      <c r="F145" s="543">
        <f t="shared" si="59"/>
        <v>36000</v>
      </c>
      <c r="G145" s="920">
        <f t="shared" si="53"/>
        <v>0.75</v>
      </c>
    </row>
    <row r="146" spans="1:7" ht="26.25" customHeight="1" thickBot="1">
      <c r="A146" s="29"/>
      <c r="B146" s="482" t="s">
        <v>585</v>
      </c>
      <c r="C146" s="516">
        <f>SUM(C144+C139+C134+C142)+C140</f>
        <v>28898691</v>
      </c>
      <c r="D146" s="516">
        <f>SUM(D144+D139+D134+D142)+D140</f>
        <v>35471368</v>
      </c>
      <c r="E146" s="516">
        <f>SUM(E144+E139+E134+E142)+E140</f>
        <v>36308192</v>
      </c>
      <c r="F146" s="516">
        <f>SUM(F144+F139+F134+F142)+F140</f>
        <v>19206523</v>
      </c>
      <c r="G146" s="961">
        <f t="shared" si="53"/>
        <v>0.5289859379392948</v>
      </c>
    </row>
    <row r="147" ht="12.75">
      <c r="G147" s="438"/>
    </row>
    <row r="148" ht="12.75">
      <c r="G148" s="438"/>
    </row>
    <row r="149" ht="12.75">
      <c r="G149" s="438"/>
    </row>
    <row r="150" ht="12.75">
      <c r="G150" s="438"/>
    </row>
    <row r="151" ht="12.75">
      <c r="G151" s="438"/>
    </row>
    <row r="152" ht="12.75">
      <c r="G152" s="438"/>
    </row>
    <row r="153" ht="12.75">
      <c r="G153" s="438"/>
    </row>
    <row r="154" ht="12.75">
      <c r="G154" s="438"/>
    </row>
    <row r="155" ht="12.75">
      <c r="G155" s="438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</sheetData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/>
  <pageMargins left="0" right="0" top="0.3937007874015748" bottom="0.31496062992125984" header="0.11811023622047245" footer="0"/>
  <pageSetup firstPageNumber="8" useFirstPageNumber="1" horizontalDpi="600" verticalDpi="600" orientation="landscape" paperSize="9" scale="78" r:id="rId1"/>
  <headerFooter alignWithMargins="0">
    <oddFooter>&amp;C&amp;P. oldal</oddFooter>
  </headerFooter>
  <rowBreaks count="2" manualBreakCount="2">
    <brk id="49" max="16383" man="1"/>
    <brk id="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13"/>
  <sheetViews>
    <sheetView workbookViewId="0" topLeftCell="A672">
      <selection activeCell="F709" sqref="F709:F710"/>
    </sheetView>
  </sheetViews>
  <sheetFormatPr defaultColWidth="9.125" defaultRowHeight="12.75"/>
  <cols>
    <col min="1" max="1" width="8.625" style="178" customWidth="1"/>
    <col min="2" max="2" width="61.875" style="178" customWidth="1"/>
    <col min="3" max="3" width="11.75390625" style="178" customWidth="1"/>
    <col min="4" max="6" width="11.75390625" style="930" customWidth="1"/>
    <col min="7" max="7" width="8.625" style="178" customWidth="1"/>
    <col min="8" max="8" width="9.75390625" style="178" bestFit="1" customWidth="1"/>
    <col min="9" max="16384" width="9.125" style="178" customWidth="1"/>
  </cols>
  <sheetData>
    <row r="1" spans="1:7" ht="12.75">
      <c r="A1" s="1128" t="s">
        <v>228</v>
      </c>
      <c r="B1" s="1124"/>
      <c r="C1" s="1124"/>
      <c r="D1" s="1124"/>
      <c r="E1" s="1124"/>
      <c r="F1" s="1124"/>
      <c r="G1" s="1124"/>
    </row>
    <row r="2" spans="1:7" ht="12.75">
      <c r="A2" s="1122" t="s">
        <v>614</v>
      </c>
      <c r="B2" s="1123"/>
      <c r="C2" s="1124"/>
      <c r="D2" s="1124"/>
      <c r="E2" s="1124"/>
      <c r="F2" s="1124"/>
      <c r="G2" s="1124"/>
    </row>
    <row r="3" spans="1:2" ht="12.75">
      <c r="A3" s="179"/>
      <c r="B3" s="179"/>
    </row>
    <row r="4" spans="1:7" ht="12.75">
      <c r="A4" s="221"/>
      <c r="B4" s="222"/>
      <c r="C4" s="223"/>
      <c r="D4" s="223"/>
      <c r="E4" s="223"/>
      <c r="F4" s="223"/>
      <c r="G4" s="223" t="s">
        <v>140</v>
      </c>
    </row>
    <row r="5" spans="1:7" ht="12.6" customHeight="1">
      <c r="A5" s="1129" t="s">
        <v>229</v>
      </c>
      <c r="B5" s="1129" t="s">
        <v>124</v>
      </c>
      <c r="C5" s="1098" t="s">
        <v>670</v>
      </c>
      <c r="D5" s="1098" t="s">
        <v>718</v>
      </c>
      <c r="E5" s="1098" t="s">
        <v>727</v>
      </c>
      <c r="F5" s="1098" t="s">
        <v>728</v>
      </c>
      <c r="G5" s="1125" t="s">
        <v>733</v>
      </c>
    </row>
    <row r="6" spans="1:7" ht="12.75">
      <c r="A6" s="1130"/>
      <c r="B6" s="1130"/>
      <c r="C6" s="1132"/>
      <c r="D6" s="1132"/>
      <c r="E6" s="1132"/>
      <c r="F6" s="1132"/>
      <c r="G6" s="1126"/>
    </row>
    <row r="7" spans="1:7" ht="13.5" thickBot="1">
      <c r="A7" s="1131"/>
      <c r="B7" s="1131"/>
      <c r="C7" s="1133"/>
      <c r="D7" s="1133"/>
      <c r="E7" s="1133"/>
      <c r="F7" s="1133"/>
      <c r="G7" s="1127"/>
    </row>
    <row r="8" spans="1:7" ht="13.5" thickBot="1">
      <c r="A8" s="224" t="s">
        <v>231</v>
      </c>
      <c r="B8" s="225" t="s">
        <v>232</v>
      </c>
      <c r="C8" s="224" t="s">
        <v>127</v>
      </c>
      <c r="D8" s="224" t="s">
        <v>477</v>
      </c>
      <c r="E8" s="224" t="s">
        <v>478</v>
      </c>
      <c r="F8" s="224" t="s">
        <v>491</v>
      </c>
      <c r="G8" s="224" t="s">
        <v>492</v>
      </c>
    </row>
    <row r="9" spans="1:7" ht="15">
      <c r="A9" s="180">
        <v>2305</v>
      </c>
      <c r="B9" s="226" t="s">
        <v>268</v>
      </c>
      <c r="C9" s="227"/>
      <c r="D9" s="227"/>
      <c r="E9" s="227"/>
      <c r="F9" s="227"/>
      <c r="G9" s="660"/>
    </row>
    <row r="10" spans="1:7" ht="12.75" customHeight="1">
      <c r="A10" s="180"/>
      <c r="B10" s="228" t="s">
        <v>148</v>
      </c>
      <c r="C10" s="227"/>
      <c r="D10" s="227"/>
      <c r="E10" s="227"/>
      <c r="F10" s="227"/>
      <c r="G10" s="660"/>
    </row>
    <row r="11" spans="1:7" ht="12.75" customHeight="1" thickBot="1">
      <c r="A11" s="180"/>
      <c r="B11" s="229" t="s">
        <v>149</v>
      </c>
      <c r="C11" s="661"/>
      <c r="D11" s="661"/>
      <c r="E11" s="661"/>
      <c r="F11" s="661"/>
      <c r="G11" s="660"/>
    </row>
    <row r="12" spans="1:7" ht="13.5" customHeight="1" thickBot="1">
      <c r="A12" s="180"/>
      <c r="B12" s="230" t="s">
        <v>150</v>
      </c>
      <c r="C12" s="659"/>
      <c r="D12" s="659"/>
      <c r="E12" s="659"/>
      <c r="F12" s="659"/>
      <c r="G12" s="662"/>
    </row>
    <row r="13" spans="1:7" ht="12.75">
      <c r="A13" s="231"/>
      <c r="B13" s="228" t="s">
        <v>151</v>
      </c>
      <c r="C13" s="663"/>
      <c r="D13" s="663"/>
      <c r="E13" s="663"/>
      <c r="F13" s="663"/>
      <c r="G13" s="660"/>
    </row>
    <row r="14" spans="1:7" ht="12.75">
      <c r="A14" s="231"/>
      <c r="B14" s="232" t="s">
        <v>152</v>
      </c>
      <c r="C14" s="664"/>
      <c r="D14" s="664"/>
      <c r="E14" s="664"/>
      <c r="F14" s="664"/>
      <c r="G14" s="660"/>
    </row>
    <row r="15" spans="1:7" ht="12.75">
      <c r="A15" s="231"/>
      <c r="B15" s="232" t="s">
        <v>153</v>
      </c>
      <c r="C15" s="664"/>
      <c r="D15" s="664"/>
      <c r="E15" s="664"/>
      <c r="F15" s="664"/>
      <c r="G15" s="660"/>
    </row>
    <row r="16" spans="1:7" ht="12.75">
      <c r="A16" s="231"/>
      <c r="B16" s="233" t="s">
        <v>154</v>
      </c>
      <c r="C16" s="663"/>
      <c r="D16" s="663"/>
      <c r="E16" s="663"/>
      <c r="F16" s="663"/>
      <c r="G16" s="660"/>
    </row>
    <row r="17" spans="1:7" ht="12.75">
      <c r="A17" s="231"/>
      <c r="B17" s="233" t="s">
        <v>155</v>
      </c>
      <c r="C17" s="663"/>
      <c r="D17" s="663"/>
      <c r="E17" s="663"/>
      <c r="F17" s="663"/>
      <c r="G17" s="660"/>
    </row>
    <row r="18" spans="1:7" ht="12.75">
      <c r="A18" s="231"/>
      <c r="B18" s="233" t="s">
        <v>156</v>
      </c>
      <c r="C18" s="663"/>
      <c r="D18" s="663"/>
      <c r="E18" s="663"/>
      <c r="F18" s="663"/>
      <c r="G18" s="660"/>
    </row>
    <row r="19" spans="1:7" s="930" customFormat="1" ht="12.75">
      <c r="A19" s="231"/>
      <c r="B19" s="233" t="s">
        <v>294</v>
      </c>
      <c r="C19" s="663"/>
      <c r="D19" s="663"/>
      <c r="E19" s="663"/>
      <c r="F19" s="663"/>
      <c r="G19" s="660"/>
    </row>
    <row r="20" spans="1:7" ht="12.75">
      <c r="A20" s="231"/>
      <c r="B20" s="234" t="s">
        <v>372</v>
      </c>
      <c r="C20" s="663"/>
      <c r="D20" s="663"/>
      <c r="E20" s="663"/>
      <c r="F20" s="663"/>
      <c r="G20" s="660"/>
    </row>
    <row r="21" spans="1:7" ht="13.5" thickBot="1">
      <c r="A21" s="231"/>
      <c r="B21" s="235" t="s">
        <v>157</v>
      </c>
      <c r="C21" s="663"/>
      <c r="D21" s="663"/>
      <c r="E21" s="663"/>
      <c r="F21" s="663">
        <v>52</v>
      </c>
      <c r="G21" s="660">
        <v>1</v>
      </c>
    </row>
    <row r="22" spans="1:7" ht="13.5" thickBot="1">
      <c r="A22" s="231"/>
      <c r="B22" s="236" t="s">
        <v>290</v>
      </c>
      <c r="C22" s="665"/>
      <c r="D22" s="665"/>
      <c r="E22" s="665"/>
      <c r="F22" s="665">
        <f>F13+F16+F17+F18+F19+F20+F21</f>
        <v>52</v>
      </c>
      <c r="G22" s="699">
        <v>1</v>
      </c>
    </row>
    <row r="23" spans="1:7" ht="13.5" thickBot="1">
      <c r="A23" s="231"/>
      <c r="B23" s="881" t="s">
        <v>184</v>
      </c>
      <c r="C23" s="882"/>
      <c r="D23" s="882"/>
      <c r="E23" s="882"/>
      <c r="F23" s="882"/>
      <c r="G23" s="699"/>
    </row>
    <row r="24" spans="1:7" ht="18.75" customHeight="1" thickBot="1">
      <c r="A24" s="237"/>
      <c r="B24" s="238" t="s">
        <v>45</v>
      </c>
      <c r="C24" s="667"/>
      <c r="D24" s="667"/>
      <c r="E24" s="667"/>
      <c r="F24" s="667">
        <f>F12+F22+F23</f>
        <v>52</v>
      </c>
      <c r="G24" s="699">
        <v>1</v>
      </c>
    </row>
    <row r="25" spans="1:7" ht="12.6" customHeight="1" thickBot="1">
      <c r="A25" s="237"/>
      <c r="B25" s="483" t="s">
        <v>383</v>
      </c>
      <c r="C25" s="668"/>
      <c r="D25" s="668"/>
      <c r="E25" s="668"/>
      <c r="F25" s="668"/>
      <c r="G25" s="683"/>
    </row>
    <row r="26" spans="1:7" ht="18.75" customHeight="1" thickBot="1">
      <c r="A26" s="231"/>
      <c r="B26" s="239" t="s">
        <v>46</v>
      </c>
      <c r="C26" s="669"/>
      <c r="D26" s="669"/>
      <c r="E26" s="669"/>
      <c r="F26" s="669"/>
      <c r="G26" s="699"/>
    </row>
    <row r="27" spans="1:7" ht="12.75" customHeight="1">
      <c r="A27" s="231"/>
      <c r="B27" s="479" t="s">
        <v>348</v>
      </c>
      <c r="C27" s="670"/>
      <c r="D27" s="670">
        <v>1460</v>
      </c>
      <c r="E27" s="670">
        <v>1460</v>
      </c>
      <c r="F27" s="670">
        <v>1460</v>
      </c>
      <c r="G27" s="660">
        <f>F27/E27</f>
        <v>1</v>
      </c>
    </row>
    <row r="28" spans="1:7" ht="13.5" thickBot="1">
      <c r="A28" s="231"/>
      <c r="B28" s="241" t="s">
        <v>376</v>
      </c>
      <c r="C28" s="671">
        <f>211780+6608</f>
        <v>218388</v>
      </c>
      <c r="D28" s="671">
        <f>211780+6608+406</f>
        <v>218794</v>
      </c>
      <c r="E28" s="671">
        <f>218794+1233+1320</f>
        <v>221347</v>
      </c>
      <c r="F28" s="671">
        <v>145808</v>
      </c>
      <c r="G28" s="683">
        <f aca="true" t="shared" si="0" ref="G28:G78">F28/E28</f>
        <v>0.658730409718677</v>
      </c>
    </row>
    <row r="29" spans="1:7" ht="18.75" customHeight="1" thickBot="1">
      <c r="A29" s="231"/>
      <c r="B29" s="242" t="s">
        <v>39</v>
      </c>
      <c r="C29" s="666">
        <f aca="true" t="shared" si="1" ref="C29:D29">SUM(C27:C28)</f>
        <v>218388</v>
      </c>
      <c r="D29" s="666">
        <f t="shared" si="1"/>
        <v>220254</v>
      </c>
      <c r="E29" s="666">
        <f aca="true" t="shared" si="2" ref="E29:F29">SUM(E27:E28)</f>
        <v>222807</v>
      </c>
      <c r="F29" s="666">
        <f t="shared" si="2"/>
        <v>147268</v>
      </c>
      <c r="G29" s="699">
        <f t="shared" si="0"/>
        <v>0.6609666662178477</v>
      </c>
    </row>
    <row r="30" spans="1:7" ht="12.75" customHeight="1" thickBot="1">
      <c r="A30" s="231"/>
      <c r="B30" s="201" t="s">
        <v>348</v>
      </c>
      <c r="C30" s="668"/>
      <c r="D30" s="668"/>
      <c r="E30" s="668"/>
      <c r="F30" s="668"/>
      <c r="G30" s="662"/>
    </row>
    <row r="31" spans="1:7" ht="15" customHeight="1" thickBot="1">
      <c r="A31" s="231"/>
      <c r="B31" s="242" t="s">
        <v>41</v>
      </c>
      <c r="C31" s="672"/>
      <c r="D31" s="672"/>
      <c r="E31" s="672"/>
      <c r="F31" s="672"/>
      <c r="G31" s="662"/>
    </row>
    <row r="32" spans="1:7" ht="15.75" thickBot="1">
      <c r="A32" s="243"/>
      <c r="B32" s="244" t="s">
        <v>50</v>
      </c>
      <c r="C32" s="567">
        <f aca="true" t="shared" si="3" ref="C32:D32">SUM(C24+C26+C29+C31)</f>
        <v>218388</v>
      </c>
      <c r="D32" s="567">
        <f t="shared" si="3"/>
        <v>220254</v>
      </c>
      <c r="E32" s="567">
        <f aca="true" t="shared" si="4" ref="E32">SUM(E24+E26+E29+E31)</f>
        <v>222807</v>
      </c>
      <c r="F32" s="567">
        <f>SUM(F24+F26+F29+F31)</f>
        <v>147320</v>
      </c>
      <c r="G32" s="699">
        <f>F32/E32</f>
        <v>0.6612000520629963</v>
      </c>
    </row>
    <row r="33" spans="1:7" ht="12.75">
      <c r="A33" s="227"/>
      <c r="B33" s="245" t="s">
        <v>271</v>
      </c>
      <c r="C33" s="673">
        <f>179726+5848</f>
        <v>185574</v>
      </c>
      <c r="D33" s="673">
        <f>185574+305</f>
        <v>185879</v>
      </c>
      <c r="E33" s="673">
        <f>185879+1091</f>
        <v>186970</v>
      </c>
      <c r="F33" s="673">
        <v>125308</v>
      </c>
      <c r="G33" s="660">
        <f t="shared" si="0"/>
        <v>0.670203776006846</v>
      </c>
    </row>
    <row r="34" spans="1:7" ht="12.75">
      <c r="A34" s="227"/>
      <c r="B34" s="245" t="s">
        <v>272</v>
      </c>
      <c r="C34" s="673">
        <f>27300+760</f>
        <v>28060</v>
      </c>
      <c r="D34" s="673">
        <f>28060+78</f>
        <v>28138</v>
      </c>
      <c r="E34" s="673">
        <f>28138+142</f>
        <v>28280</v>
      </c>
      <c r="F34" s="673">
        <v>19104</v>
      </c>
      <c r="G34" s="660">
        <f t="shared" si="0"/>
        <v>0.6755304101838755</v>
      </c>
    </row>
    <row r="35" spans="1:7" ht="12.75">
      <c r="A35" s="227"/>
      <c r="B35" s="245" t="s">
        <v>273</v>
      </c>
      <c r="C35" s="673">
        <v>4500</v>
      </c>
      <c r="D35" s="673">
        <f>4500+1077+46</f>
        <v>5623</v>
      </c>
      <c r="E35" s="673">
        <f>4500+1077+46+700</f>
        <v>6323</v>
      </c>
      <c r="F35" s="673">
        <v>2454</v>
      </c>
      <c r="G35" s="660">
        <f t="shared" si="0"/>
        <v>0.3881069112762929</v>
      </c>
    </row>
    <row r="36" spans="1:7" ht="12.75">
      <c r="A36" s="227"/>
      <c r="B36" s="246" t="s">
        <v>275</v>
      </c>
      <c r="C36" s="673"/>
      <c r="D36" s="673"/>
      <c r="E36" s="673"/>
      <c r="F36" s="673"/>
      <c r="G36" s="660"/>
    </row>
    <row r="37" spans="1:7" ht="13.5" thickBot="1">
      <c r="A37" s="227"/>
      <c r="B37" s="247" t="s">
        <v>274</v>
      </c>
      <c r="C37" s="673"/>
      <c r="D37" s="673"/>
      <c r="E37" s="673"/>
      <c r="F37" s="673"/>
      <c r="G37" s="683"/>
    </row>
    <row r="38" spans="1:7" ht="13.5" thickBot="1">
      <c r="A38" s="227"/>
      <c r="B38" s="248" t="s">
        <v>38</v>
      </c>
      <c r="C38" s="567">
        <f>SUM(C33:C37)</f>
        <v>218134</v>
      </c>
      <c r="D38" s="567">
        <f>SUM(D33:D37)</f>
        <v>219640</v>
      </c>
      <c r="E38" s="567">
        <f>SUM(E33:E37)</f>
        <v>221573</v>
      </c>
      <c r="F38" s="567">
        <f>SUM(F33:F37)</f>
        <v>146866</v>
      </c>
      <c r="G38" s="699">
        <f t="shared" si="0"/>
        <v>0.662833467976694</v>
      </c>
    </row>
    <row r="39" spans="1:7" ht="12.75">
      <c r="A39" s="227"/>
      <c r="B39" s="245" t="s">
        <v>544</v>
      </c>
      <c r="C39" s="673">
        <v>254</v>
      </c>
      <c r="D39" s="673">
        <f>254+360</f>
        <v>614</v>
      </c>
      <c r="E39" s="673">
        <f>254+360+620</f>
        <v>1234</v>
      </c>
      <c r="F39" s="673">
        <v>388</v>
      </c>
      <c r="G39" s="660">
        <f t="shared" si="0"/>
        <v>0.31442463533225284</v>
      </c>
    </row>
    <row r="40" spans="1:7" ht="12.75">
      <c r="A40" s="227"/>
      <c r="B40" s="245" t="s">
        <v>205</v>
      </c>
      <c r="C40" s="673"/>
      <c r="D40" s="673"/>
      <c r="E40" s="673"/>
      <c r="F40" s="673"/>
      <c r="G40" s="660"/>
    </row>
    <row r="41" spans="1:7" ht="13.5" thickBot="1">
      <c r="A41" s="227"/>
      <c r="B41" s="247" t="s">
        <v>357</v>
      </c>
      <c r="C41" s="673"/>
      <c r="D41" s="673"/>
      <c r="E41" s="673"/>
      <c r="F41" s="673"/>
      <c r="G41" s="683"/>
    </row>
    <row r="42" spans="1:7" ht="13.5" thickBot="1">
      <c r="A42" s="227"/>
      <c r="B42" s="249" t="s">
        <v>44</v>
      </c>
      <c r="C42" s="567">
        <f aca="true" t="shared" si="5" ref="C42:D42">SUM(C39:C41)</f>
        <v>254</v>
      </c>
      <c r="D42" s="567">
        <f t="shared" si="5"/>
        <v>614</v>
      </c>
      <c r="E42" s="567">
        <f aca="true" t="shared" si="6" ref="E42:F42">SUM(E39:E41)</f>
        <v>1234</v>
      </c>
      <c r="F42" s="567">
        <f t="shared" si="6"/>
        <v>388</v>
      </c>
      <c r="G42" s="699">
        <f t="shared" si="0"/>
        <v>0.31442463533225284</v>
      </c>
    </row>
    <row r="43" spans="1:7" ht="15.75" thickBot="1">
      <c r="A43" s="224"/>
      <c r="B43" s="250" t="s">
        <v>84</v>
      </c>
      <c r="C43" s="562">
        <f aca="true" t="shared" si="7" ref="C43:D43">SUM(C38+C42)</f>
        <v>218388</v>
      </c>
      <c r="D43" s="562">
        <f t="shared" si="7"/>
        <v>220254</v>
      </c>
      <c r="E43" s="562">
        <f aca="true" t="shared" si="8" ref="E43:F43">SUM(E38+E42)</f>
        <v>222807</v>
      </c>
      <c r="F43" s="562">
        <f t="shared" si="8"/>
        <v>147254</v>
      </c>
      <c r="G43" s="699">
        <f>F43/E43</f>
        <v>0.6609038315672309</v>
      </c>
    </row>
    <row r="44" spans="1:7" ht="15">
      <c r="A44" s="180">
        <v>2309</v>
      </c>
      <c r="B44" s="251" t="s">
        <v>276</v>
      </c>
      <c r="C44" s="549"/>
      <c r="D44" s="549"/>
      <c r="E44" s="549"/>
      <c r="F44" s="549"/>
      <c r="G44" s="660"/>
    </row>
    <row r="45" spans="1:7" ht="12.6" customHeight="1">
      <c r="A45" s="227"/>
      <c r="B45" s="228" t="s">
        <v>148</v>
      </c>
      <c r="C45" s="549"/>
      <c r="D45" s="549"/>
      <c r="E45" s="549"/>
      <c r="F45" s="549"/>
      <c r="G45" s="660"/>
    </row>
    <row r="46" spans="1:7" ht="13.5" thickBot="1">
      <c r="A46" s="227"/>
      <c r="B46" s="229" t="s">
        <v>149</v>
      </c>
      <c r="C46" s="675"/>
      <c r="D46" s="675"/>
      <c r="E46" s="1023"/>
      <c r="F46" s="1023"/>
      <c r="G46" s="660"/>
    </row>
    <row r="47" spans="1:7" ht="13.5" thickBot="1">
      <c r="A47" s="227"/>
      <c r="B47" s="230" t="s">
        <v>150</v>
      </c>
      <c r="C47" s="659"/>
      <c r="D47" s="659"/>
      <c r="E47" s="659"/>
      <c r="F47" s="659"/>
      <c r="G47" s="699"/>
    </row>
    <row r="48" spans="1:7" ht="12.75">
      <c r="A48" s="227"/>
      <c r="B48" s="228" t="s">
        <v>151</v>
      </c>
      <c r="C48" s="673"/>
      <c r="D48" s="673"/>
      <c r="E48" s="673"/>
      <c r="F48" s="673"/>
      <c r="G48" s="660"/>
    </row>
    <row r="49" spans="1:7" ht="12.75">
      <c r="A49" s="227"/>
      <c r="B49" s="232" t="s">
        <v>152</v>
      </c>
      <c r="C49" s="676"/>
      <c r="D49" s="676"/>
      <c r="E49" s="676"/>
      <c r="F49" s="676"/>
      <c r="G49" s="660"/>
    </row>
    <row r="50" spans="1:7" ht="12.75">
      <c r="A50" s="227"/>
      <c r="B50" s="232" t="s">
        <v>153</v>
      </c>
      <c r="C50" s="676"/>
      <c r="D50" s="676"/>
      <c r="E50" s="676"/>
      <c r="F50" s="676"/>
      <c r="G50" s="660"/>
    </row>
    <row r="51" spans="1:7" ht="12.75">
      <c r="A51" s="227"/>
      <c r="B51" s="233" t="s">
        <v>154</v>
      </c>
      <c r="C51" s="673"/>
      <c r="D51" s="673"/>
      <c r="E51" s="673"/>
      <c r="F51" s="673"/>
      <c r="G51" s="660"/>
    </row>
    <row r="52" spans="1:7" ht="12.75">
      <c r="A52" s="227"/>
      <c r="B52" s="233" t="s">
        <v>155</v>
      </c>
      <c r="C52" s="673"/>
      <c r="D52" s="673"/>
      <c r="E52" s="673"/>
      <c r="F52" s="673"/>
      <c r="G52" s="660"/>
    </row>
    <row r="53" spans="1:7" ht="12.75">
      <c r="A53" s="227"/>
      <c r="B53" s="233" t="s">
        <v>156</v>
      </c>
      <c r="C53" s="673"/>
      <c r="D53" s="673"/>
      <c r="E53" s="673"/>
      <c r="F53" s="673"/>
      <c r="G53" s="660"/>
    </row>
    <row r="54" spans="1:7" ht="12.75">
      <c r="A54" s="227"/>
      <c r="B54" s="233" t="s">
        <v>294</v>
      </c>
      <c r="C54" s="673"/>
      <c r="D54" s="673"/>
      <c r="E54" s="673"/>
      <c r="F54" s="673"/>
      <c r="G54" s="660"/>
    </row>
    <row r="55" spans="1:7" ht="12.75">
      <c r="A55" s="227"/>
      <c r="B55" s="234" t="s">
        <v>372</v>
      </c>
      <c r="C55" s="673"/>
      <c r="D55" s="673"/>
      <c r="E55" s="673"/>
      <c r="F55" s="673"/>
      <c r="G55" s="660"/>
    </row>
    <row r="56" spans="1:7" ht="13.5" thickBot="1">
      <c r="A56" s="227"/>
      <c r="B56" s="235" t="s">
        <v>157</v>
      </c>
      <c r="C56" s="674"/>
      <c r="D56" s="674"/>
      <c r="E56" s="674"/>
      <c r="F56" s="674"/>
      <c r="G56" s="683"/>
    </row>
    <row r="57" spans="1:7" ht="13.5" thickBot="1">
      <c r="A57" s="227"/>
      <c r="B57" s="236" t="s">
        <v>290</v>
      </c>
      <c r="C57" s="562"/>
      <c r="D57" s="562"/>
      <c r="E57" s="562"/>
      <c r="F57" s="562"/>
      <c r="G57" s="662"/>
    </row>
    <row r="58" spans="1:7" ht="13.5" thickBot="1">
      <c r="A58" s="227"/>
      <c r="B58" s="881" t="s">
        <v>184</v>
      </c>
      <c r="C58" s="562"/>
      <c r="D58" s="562"/>
      <c r="E58" s="562"/>
      <c r="F58" s="562"/>
      <c r="G58" s="662"/>
    </row>
    <row r="59" spans="1:7" ht="13.5" thickBot="1">
      <c r="A59" s="227"/>
      <c r="B59" s="238" t="s">
        <v>45</v>
      </c>
      <c r="C59" s="672"/>
      <c r="D59" s="672"/>
      <c r="E59" s="672"/>
      <c r="F59" s="672"/>
      <c r="G59" s="662"/>
    </row>
    <row r="60" spans="1:7" ht="13.5" thickBot="1">
      <c r="A60" s="227"/>
      <c r="B60" s="483" t="s">
        <v>383</v>
      </c>
      <c r="C60" s="677"/>
      <c r="D60" s="677"/>
      <c r="E60" s="677"/>
      <c r="F60" s="677"/>
      <c r="G60" s="662"/>
    </row>
    <row r="61" spans="1:7" ht="13.5" thickBot="1">
      <c r="A61" s="227"/>
      <c r="B61" s="239" t="s">
        <v>46</v>
      </c>
      <c r="C61" s="672"/>
      <c r="D61" s="672"/>
      <c r="E61" s="672"/>
      <c r="F61" s="672"/>
      <c r="G61" s="662"/>
    </row>
    <row r="62" spans="1:7" ht="12.75">
      <c r="A62" s="227"/>
      <c r="B62" s="479" t="s">
        <v>348</v>
      </c>
      <c r="C62" s="678"/>
      <c r="D62" s="678">
        <v>580</v>
      </c>
      <c r="E62" s="678">
        <v>580</v>
      </c>
      <c r="F62" s="678">
        <v>580</v>
      </c>
      <c r="G62" s="660">
        <f t="shared" si="0"/>
        <v>1</v>
      </c>
    </row>
    <row r="63" spans="1:7" ht="13.5" thickBot="1">
      <c r="A63" s="227"/>
      <c r="B63" s="241" t="s">
        <v>376</v>
      </c>
      <c r="C63" s="674">
        <f>178417+19372+6409</f>
        <v>204198</v>
      </c>
      <c r="D63" s="674">
        <f>204198+462</f>
        <v>204660</v>
      </c>
      <c r="E63" s="673">
        <f>204660+69+788+1320</f>
        <v>206837</v>
      </c>
      <c r="F63" s="673">
        <v>135755</v>
      </c>
      <c r="G63" s="660">
        <f t="shared" si="0"/>
        <v>0.6563380826447879</v>
      </c>
    </row>
    <row r="64" spans="1:7" ht="13.5" thickBot="1">
      <c r="A64" s="227"/>
      <c r="B64" s="242" t="s">
        <v>39</v>
      </c>
      <c r="C64" s="672">
        <f aca="true" t="shared" si="9" ref="C64:D64">SUM(C62:C63)</f>
        <v>204198</v>
      </c>
      <c r="D64" s="672">
        <f t="shared" si="9"/>
        <v>205240</v>
      </c>
      <c r="E64" s="1026">
        <f aca="true" t="shared" si="10" ref="E64:F64">SUM(E62:E63)</f>
        <v>207417</v>
      </c>
      <c r="F64" s="1026">
        <f t="shared" si="10"/>
        <v>136335</v>
      </c>
      <c r="G64" s="699">
        <f t="shared" si="0"/>
        <v>0.6572990642039949</v>
      </c>
    </row>
    <row r="65" spans="1:7" ht="13.5" thickBot="1">
      <c r="A65" s="227"/>
      <c r="B65" s="201" t="s">
        <v>348</v>
      </c>
      <c r="C65" s="679"/>
      <c r="D65" s="679"/>
      <c r="E65" s="679"/>
      <c r="F65" s="679"/>
      <c r="G65" s="662"/>
    </row>
    <row r="66" spans="1:7" ht="13.5" thickBot="1">
      <c r="A66" s="227"/>
      <c r="B66" s="242" t="s">
        <v>41</v>
      </c>
      <c r="C66" s="672"/>
      <c r="D66" s="672"/>
      <c r="E66" s="1024"/>
      <c r="F66" s="1024"/>
      <c r="G66" s="660"/>
    </row>
    <row r="67" spans="1:7" ht="15.75" thickBot="1">
      <c r="A67" s="227"/>
      <c r="B67" s="244" t="s">
        <v>50</v>
      </c>
      <c r="C67" s="567">
        <f aca="true" t="shared" si="11" ref="C67:D67">SUM(C59+C61+C64+C66)</f>
        <v>204198</v>
      </c>
      <c r="D67" s="567">
        <f t="shared" si="11"/>
        <v>205240</v>
      </c>
      <c r="E67" s="567">
        <f aca="true" t="shared" si="12" ref="E67:F67">SUM(E59+E61+E64+E66)</f>
        <v>207417</v>
      </c>
      <c r="F67" s="567">
        <f t="shared" si="12"/>
        <v>136335</v>
      </c>
      <c r="G67" s="699">
        <f t="shared" si="0"/>
        <v>0.6572990642039949</v>
      </c>
    </row>
    <row r="68" spans="1:7" ht="12.75">
      <c r="A68" s="227"/>
      <c r="B68" s="245" t="s">
        <v>271</v>
      </c>
      <c r="C68" s="673">
        <f>150576+16749+5672</f>
        <v>172997</v>
      </c>
      <c r="D68" s="673">
        <f>172997+279</f>
        <v>173276</v>
      </c>
      <c r="E68" s="673">
        <f>173276+61+697</f>
        <v>174034</v>
      </c>
      <c r="F68" s="673">
        <v>115831</v>
      </c>
      <c r="G68" s="660">
        <f t="shared" si="0"/>
        <v>0.6655653492995621</v>
      </c>
    </row>
    <row r="69" spans="1:7" ht="12.75">
      <c r="A69" s="227"/>
      <c r="B69" s="245" t="s">
        <v>272</v>
      </c>
      <c r="C69" s="673">
        <f>23087+2623+737</f>
        <v>26447</v>
      </c>
      <c r="D69" s="673">
        <f>26447+138</f>
        <v>26585</v>
      </c>
      <c r="E69" s="673">
        <f>26585+8+91</f>
        <v>26684</v>
      </c>
      <c r="F69" s="673">
        <v>17248</v>
      </c>
      <c r="G69" s="660">
        <f t="shared" si="0"/>
        <v>0.646379853095488</v>
      </c>
    </row>
    <row r="70" spans="1:7" ht="12.75">
      <c r="A70" s="227"/>
      <c r="B70" s="245" t="s">
        <v>273</v>
      </c>
      <c r="C70" s="673">
        <v>4500</v>
      </c>
      <c r="D70" s="673">
        <f>4500+163+462</f>
        <v>5125</v>
      </c>
      <c r="E70" s="673">
        <f>5125-7+920</f>
        <v>6038</v>
      </c>
      <c r="F70" s="673">
        <v>3149</v>
      </c>
      <c r="G70" s="660">
        <f t="shared" si="0"/>
        <v>0.5215303080490229</v>
      </c>
    </row>
    <row r="71" spans="1:7" ht="12.75">
      <c r="A71" s="227"/>
      <c r="B71" s="246" t="s">
        <v>275</v>
      </c>
      <c r="C71" s="673"/>
      <c r="D71" s="673"/>
      <c r="E71" s="673"/>
      <c r="F71" s="673"/>
      <c r="G71" s="660"/>
    </row>
    <row r="72" spans="1:7" ht="13.5" thickBot="1">
      <c r="A72" s="227"/>
      <c r="B72" s="247" t="s">
        <v>274</v>
      </c>
      <c r="C72" s="674"/>
      <c r="D72" s="674"/>
      <c r="E72" s="673">
        <v>7</v>
      </c>
      <c r="F72" s="673">
        <v>7</v>
      </c>
      <c r="G72" s="660">
        <f t="shared" si="0"/>
        <v>1</v>
      </c>
    </row>
    <row r="73" spans="1:7" ht="13.5" thickBot="1">
      <c r="A73" s="227"/>
      <c r="B73" s="248" t="s">
        <v>38</v>
      </c>
      <c r="C73" s="562">
        <f aca="true" t="shared" si="13" ref="C73:D73">SUM(C68:C72)</f>
        <v>203944</v>
      </c>
      <c r="D73" s="562">
        <f t="shared" si="13"/>
        <v>204986</v>
      </c>
      <c r="E73" s="1033">
        <f aca="true" t="shared" si="14" ref="E73:F73">SUM(E68:E72)</f>
        <v>206763</v>
      </c>
      <c r="F73" s="1033">
        <f t="shared" si="14"/>
        <v>136235</v>
      </c>
      <c r="G73" s="699">
        <f t="shared" si="0"/>
        <v>0.6588944830554789</v>
      </c>
    </row>
    <row r="74" spans="1:7" ht="12.75">
      <c r="A74" s="227"/>
      <c r="B74" s="245" t="s">
        <v>544</v>
      </c>
      <c r="C74" s="673">
        <v>254</v>
      </c>
      <c r="D74" s="673">
        <v>254</v>
      </c>
      <c r="E74" s="673">
        <v>654</v>
      </c>
      <c r="F74" s="673">
        <v>31</v>
      </c>
      <c r="G74" s="660">
        <f t="shared" si="0"/>
        <v>0.047400611620795105</v>
      </c>
    </row>
    <row r="75" spans="1:7" ht="12.75">
      <c r="A75" s="227"/>
      <c r="B75" s="245" t="s">
        <v>205</v>
      </c>
      <c r="C75" s="673"/>
      <c r="D75" s="673"/>
      <c r="E75" s="673"/>
      <c r="F75" s="673"/>
      <c r="G75" s="660"/>
    </row>
    <row r="76" spans="1:7" ht="13.5" thickBot="1">
      <c r="A76" s="227"/>
      <c r="B76" s="247" t="s">
        <v>357</v>
      </c>
      <c r="C76" s="674"/>
      <c r="D76" s="674"/>
      <c r="E76" s="674"/>
      <c r="F76" s="674"/>
      <c r="G76" s="683"/>
    </row>
    <row r="77" spans="1:7" ht="13.5" thickBot="1">
      <c r="A77" s="227"/>
      <c r="B77" s="249" t="s">
        <v>44</v>
      </c>
      <c r="C77" s="562">
        <f aca="true" t="shared" si="15" ref="C77:D77">SUM(C74:C76)</f>
        <v>254</v>
      </c>
      <c r="D77" s="562">
        <f t="shared" si="15"/>
        <v>254</v>
      </c>
      <c r="E77" s="562">
        <f aca="true" t="shared" si="16" ref="E77:F77">SUM(E74:E76)</f>
        <v>654</v>
      </c>
      <c r="F77" s="562">
        <f t="shared" si="16"/>
        <v>31</v>
      </c>
      <c r="G77" s="699">
        <f t="shared" si="0"/>
        <v>0.047400611620795105</v>
      </c>
    </row>
    <row r="78" spans="1:7" ht="15.75" thickBot="1">
      <c r="A78" s="224"/>
      <c r="B78" s="250" t="s">
        <v>84</v>
      </c>
      <c r="C78" s="567">
        <f>SUM(C73+C77)</f>
        <v>204198</v>
      </c>
      <c r="D78" s="567">
        <f>SUM(D73+D77)</f>
        <v>205240</v>
      </c>
      <c r="E78" s="567">
        <f>SUM(E73+E77)</f>
        <v>207417</v>
      </c>
      <c r="F78" s="567">
        <f>SUM(F73+F77)</f>
        <v>136266</v>
      </c>
      <c r="G78" s="699">
        <f t="shared" si="0"/>
        <v>0.6569664010182387</v>
      </c>
    </row>
    <row r="79" spans="1:7" ht="15">
      <c r="A79" s="180">
        <v>2310</v>
      </c>
      <c r="B79" s="251" t="s">
        <v>277</v>
      </c>
      <c r="C79" s="546"/>
      <c r="D79" s="546"/>
      <c r="E79" s="546"/>
      <c r="F79" s="546"/>
      <c r="G79" s="660"/>
    </row>
    <row r="80" spans="1:7" ht="12.6" customHeight="1">
      <c r="A80" s="227"/>
      <c r="B80" s="228" t="s">
        <v>148</v>
      </c>
      <c r="C80" s="549"/>
      <c r="D80" s="549"/>
      <c r="E80" s="549"/>
      <c r="F80" s="549"/>
      <c r="G80" s="660"/>
    </row>
    <row r="81" spans="1:7" ht="13.5" thickBot="1">
      <c r="A81" s="227"/>
      <c r="B81" s="229" t="s">
        <v>149</v>
      </c>
      <c r="C81" s="550"/>
      <c r="D81" s="550"/>
      <c r="E81" s="1025"/>
      <c r="F81" s="1025"/>
      <c r="G81" s="660"/>
    </row>
    <row r="82" spans="1:7" ht="13.5" thickBot="1">
      <c r="A82" s="227"/>
      <c r="B82" s="230" t="s">
        <v>150</v>
      </c>
      <c r="C82" s="551"/>
      <c r="D82" s="551"/>
      <c r="E82" s="1027"/>
      <c r="F82" s="1027"/>
      <c r="G82" s="699"/>
    </row>
    <row r="83" spans="1:7" ht="12.75">
      <c r="A83" s="227"/>
      <c r="B83" s="228" t="s">
        <v>151</v>
      </c>
      <c r="C83" s="546"/>
      <c r="D83" s="546"/>
      <c r="E83" s="546"/>
      <c r="F83" s="546"/>
      <c r="G83" s="660"/>
    </row>
    <row r="84" spans="1:7" ht="12.75">
      <c r="A84" s="227"/>
      <c r="B84" s="232" t="s">
        <v>152</v>
      </c>
      <c r="C84" s="552"/>
      <c r="D84" s="552"/>
      <c r="E84" s="552"/>
      <c r="F84" s="552"/>
      <c r="G84" s="660"/>
    </row>
    <row r="85" spans="1:7" ht="12.75">
      <c r="A85" s="227"/>
      <c r="B85" s="232" t="s">
        <v>153</v>
      </c>
      <c r="C85" s="552"/>
      <c r="D85" s="552"/>
      <c r="E85" s="552"/>
      <c r="F85" s="552"/>
      <c r="G85" s="660"/>
    </row>
    <row r="86" spans="1:7" ht="12.75">
      <c r="A86" s="227"/>
      <c r="B86" s="233" t="s">
        <v>154</v>
      </c>
      <c r="C86" s="546"/>
      <c r="D86" s="546"/>
      <c r="E86" s="546"/>
      <c r="F86" s="546"/>
      <c r="G86" s="660"/>
    </row>
    <row r="87" spans="1:7" ht="12.75">
      <c r="A87" s="227"/>
      <c r="B87" s="233" t="s">
        <v>155</v>
      </c>
      <c r="C87" s="546"/>
      <c r="D87" s="546"/>
      <c r="E87" s="546"/>
      <c r="F87" s="546"/>
      <c r="G87" s="660"/>
    </row>
    <row r="88" spans="1:7" ht="12.75">
      <c r="A88" s="227"/>
      <c r="B88" s="233" t="s">
        <v>156</v>
      </c>
      <c r="C88" s="546"/>
      <c r="D88" s="546"/>
      <c r="E88" s="546"/>
      <c r="F88" s="546"/>
      <c r="G88" s="660"/>
    </row>
    <row r="89" spans="1:7" s="930" customFormat="1" ht="12.75">
      <c r="A89" s="227"/>
      <c r="B89" s="233" t="s">
        <v>294</v>
      </c>
      <c r="C89" s="546"/>
      <c r="D89" s="546"/>
      <c r="E89" s="546"/>
      <c r="F89" s="546"/>
      <c r="G89" s="660"/>
    </row>
    <row r="90" spans="1:7" ht="12.75">
      <c r="A90" s="227"/>
      <c r="B90" s="234" t="s">
        <v>372</v>
      </c>
      <c r="C90" s="546"/>
      <c r="D90" s="546"/>
      <c r="E90" s="546"/>
      <c r="F90" s="546"/>
      <c r="G90" s="660"/>
    </row>
    <row r="91" spans="1:7" ht="13.5" thickBot="1">
      <c r="A91" s="227"/>
      <c r="B91" s="235" t="s">
        <v>157</v>
      </c>
      <c r="C91" s="547"/>
      <c r="D91" s="547"/>
      <c r="E91" s="547"/>
      <c r="F91" s="547"/>
      <c r="G91" s="683"/>
    </row>
    <row r="92" spans="1:7" ht="13.5" thickBot="1">
      <c r="A92" s="227"/>
      <c r="B92" s="236" t="s">
        <v>290</v>
      </c>
      <c r="C92" s="553"/>
      <c r="D92" s="553"/>
      <c r="E92" s="553"/>
      <c r="F92" s="553"/>
      <c r="G92" s="699"/>
    </row>
    <row r="93" spans="1:7" ht="13.5" thickBot="1">
      <c r="A93" s="227"/>
      <c r="B93" s="881" t="s">
        <v>184</v>
      </c>
      <c r="C93" s="553"/>
      <c r="D93" s="553"/>
      <c r="E93" s="553"/>
      <c r="F93" s="553"/>
      <c r="G93" s="662"/>
    </row>
    <row r="94" spans="1:7" ht="13.15" customHeight="1" thickBot="1">
      <c r="A94" s="227"/>
      <c r="B94" s="238" t="s">
        <v>45</v>
      </c>
      <c r="C94" s="680"/>
      <c r="D94" s="680"/>
      <c r="E94" s="680"/>
      <c r="F94" s="680"/>
      <c r="G94" s="699"/>
    </row>
    <row r="95" spans="1:7" ht="13.5" thickBot="1">
      <c r="A95" s="227"/>
      <c r="B95" s="483" t="s">
        <v>383</v>
      </c>
      <c r="C95" s="554"/>
      <c r="D95" s="554"/>
      <c r="E95" s="554"/>
      <c r="F95" s="554"/>
      <c r="G95" s="662"/>
    </row>
    <row r="96" spans="1:7" ht="13.5" thickBot="1">
      <c r="A96" s="227"/>
      <c r="B96" s="239" t="s">
        <v>46</v>
      </c>
      <c r="C96" s="555"/>
      <c r="D96" s="555"/>
      <c r="E96" s="555"/>
      <c r="F96" s="555"/>
      <c r="G96" s="662"/>
    </row>
    <row r="97" spans="1:7" ht="12.75">
      <c r="A97" s="227"/>
      <c r="B97" s="479" t="s">
        <v>348</v>
      </c>
      <c r="C97" s="556"/>
      <c r="D97" s="556">
        <v>1110</v>
      </c>
      <c r="E97" s="556">
        <v>1110</v>
      </c>
      <c r="F97" s="556">
        <v>1110</v>
      </c>
      <c r="G97" s="660">
        <f aca="true" t="shared" si="17" ref="G97:G148">F97/E97</f>
        <v>1</v>
      </c>
    </row>
    <row r="98" spans="1:7" ht="13.5" thickBot="1">
      <c r="A98" s="227"/>
      <c r="B98" s="241" t="s">
        <v>376</v>
      </c>
      <c r="C98" s="547">
        <f>88647+10366+2810</f>
        <v>101823</v>
      </c>
      <c r="D98" s="547">
        <f>101823+334</f>
        <v>102157</v>
      </c>
      <c r="E98" s="546">
        <f>102157+786+660</f>
        <v>103603</v>
      </c>
      <c r="F98" s="546">
        <v>69242</v>
      </c>
      <c r="G98" s="660">
        <f t="shared" si="17"/>
        <v>0.6683397198922811</v>
      </c>
    </row>
    <row r="99" spans="1:7" ht="13.5" thickBot="1">
      <c r="A99" s="227"/>
      <c r="B99" s="242" t="s">
        <v>39</v>
      </c>
      <c r="C99" s="555">
        <f aca="true" t="shared" si="18" ref="C99:D99">SUM(C97:C98)</f>
        <v>101823</v>
      </c>
      <c r="D99" s="555">
        <f t="shared" si="18"/>
        <v>103267</v>
      </c>
      <c r="E99" s="966">
        <f aca="true" t="shared" si="19" ref="E99:F99">SUM(E97:E98)</f>
        <v>104713</v>
      </c>
      <c r="F99" s="966">
        <f t="shared" si="19"/>
        <v>70352</v>
      </c>
      <c r="G99" s="699">
        <f t="shared" si="17"/>
        <v>0.6718554525226094</v>
      </c>
    </row>
    <row r="100" spans="1:7" ht="13.5" thickBot="1">
      <c r="A100" s="227"/>
      <c r="B100" s="201" t="s">
        <v>348</v>
      </c>
      <c r="C100" s="554"/>
      <c r="D100" s="554"/>
      <c r="E100" s="554"/>
      <c r="F100" s="554"/>
      <c r="G100" s="662"/>
    </row>
    <row r="101" spans="1:7" ht="13.5" thickBot="1">
      <c r="A101" s="227"/>
      <c r="B101" s="242" t="s">
        <v>41</v>
      </c>
      <c r="C101" s="555"/>
      <c r="D101" s="555"/>
      <c r="E101" s="555"/>
      <c r="F101" s="555"/>
      <c r="G101" s="662"/>
    </row>
    <row r="102" spans="1:7" ht="15.75" thickBot="1">
      <c r="A102" s="227"/>
      <c r="B102" s="244" t="s">
        <v>50</v>
      </c>
      <c r="C102" s="548">
        <f aca="true" t="shared" si="20" ref="C102:D102">SUM(C94+C96+C99+C101)</f>
        <v>101823</v>
      </c>
      <c r="D102" s="548">
        <f t="shared" si="20"/>
        <v>103267</v>
      </c>
      <c r="E102" s="548">
        <f aca="true" t="shared" si="21" ref="E102:F102">SUM(E94+E96+E99+E101)</f>
        <v>104713</v>
      </c>
      <c r="F102" s="548">
        <f t="shared" si="21"/>
        <v>70352</v>
      </c>
      <c r="G102" s="699">
        <f t="shared" si="17"/>
        <v>0.6718554525226094</v>
      </c>
    </row>
    <row r="103" spans="1:7" ht="12.75">
      <c r="A103" s="227"/>
      <c r="B103" s="245" t="s">
        <v>271</v>
      </c>
      <c r="C103" s="546">
        <f>75713+9173+2487</f>
        <v>87373</v>
      </c>
      <c r="D103" s="546">
        <f>87373+137</f>
        <v>87510</v>
      </c>
      <c r="E103" s="546">
        <f>87510+696</f>
        <v>88206</v>
      </c>
      <c r="F103" s="546">
        <v>59909</v>
      </c>
      <c r="G103" s="660">
        <f t="shared" si="17"/>
        <v>0.679194159127497</v>
      </c>
    </row>
    <row r="104" spans="1:7" ht="12.75">
      <c r="A104" s="227"/>
      <c r="B104" s="245" t="s">
        <v>272</v>
      </c>
      <c r="C104" s="546">
        <f>10280+1193+323</f>
        <v>11796</v>
      </c>
      <c r="D104" s="546">
        <f>11796+182</f>
        <v>11978</v>
      </c>
      <c r="E104" s="546">
        <f>11978+90</f>
        <v>12068</v>
      </c>
      <c r="F104" s="546">
        <v>8272</v>
      </c>
      <c r="G104" s="660">
        <f t="shared" si="17"/>
        <v>0.6854491216440173</v>
      </c>
    </row>
    <row r="105" spans="1:7" ht="12.75">
      <c r="A105" s="227"/>
      <c r="B105" s="245" t="s">
        <v>273</v>
      </c>
      <c r="C105" s="546">
        <v>2400</v>
      </c>
      <c r="D105" s="546">
        <f>2400+791+334</f>
        <v>3525</v>
      </c>
      <c r="E105" s="546">
        <f>2400+791+334+460</f>
        <v>3985</v>
      </c>
      <c r="F105" s="546">
        <v>1936</v>
      </c>
      <c r="G105" s="660">
        <f t="shared" si="17"/>
        <v>0.48582183186951067</v>
      </c>
    </row>
    <row r="106" spans="1:7" ht="12.75">
      <c r="A106" s="227"/>
      <c r="B106" s="246" t="s">
        <v>275</v>
      </c>
      <c r="C106" s="546"/>
      <c r="D106" s="546"/>
      <c r="E106" s="546"/>
      <c r="F106" s="546"/>
      <c r="G106" s="660"/>
    </row>
    <row r="107" spans="1:7" ht="13.5" thickBot="1">
      <c r="A107" s="227"/>
      <c r="B107" s="247" t="s">
        <v>274</v>
      </c>
      <c r="C107" s="547"/>
      <c r="D107" s="547"/>
      <c r="E107" s="547"/>
      <c r="F107" s="547"/>
      <c r="G107" s="683"/>
    </row>
    <row r="108" spans="1:7" ht="13.5" thickBot="1">
      <c r="A108" s="227"/>
      <c r="B108" s="248" t="s">
        <v>38</v>
      </c>
      <c r="C108" s="553">
        <f aca="true" t="shared" si="22" ref="C108:D108">SUM(C103:C107)</f>
        <v>101569</v>
      </c>
      <c r="D108" s="553">
        <f t="shared" si="22"/>
        <v>103013</v>
      </c>
      <c r="E108" s="553">
        <f aca="true" t="shared" si="23" ref="E108:F108">SUM(E103:E107)</f>
        <v>104259</v>
      </c>
      <c r="F108" s="553">
        <f t="shared" si="23"/>
        <v>70117</v>
      </c>
      <c r="G108" s="699">
        <f t="shared" si="17"/>
        <v>0.6725270720033762</v>
      </c>
    </row>
    <row r="109" spans="1:7" ht="12.75">
      <c r="A109" s="227"/>
      <c r="B109" s="245" t="s">
        <v>544</v>
      </c>
      <c r="C109" s="546">
        <v>254</v>
      </c>
      <c r="D109" s="546">
        <v>254</v>
      </c>
      <c r="E109" s="546">
        <v>454</v>
      </c>
      <c r="F109" s="546">
        <v>175</v>
      </c>
      <c r="G109" s="660">
        <f t="shared" si="17"/>
        <v>0.3854625550660793</v>
      </c>
    </row>
    <row r="110" spans="1:7" ht="12.75">
      <c r="A110" s="227"/>
      <c r="B110" s="245" t="s">
        <v>205</v>
      </c>
      <c r="C110" s="546"/>
      <c r="D110" s="546"/>
      <c r="E110" s="546"/>
      <c r="F110" s="546"/>
      <c r="G110" s="660"/>
    </row>
    <row r="111" spans="1:7" ht="13.5" thickBot="1">
      <c r="A111" s="227"/>
      <c r="B111" s="247" t="s">
        <v>357</v>
      </c>
      <c r="C111" s="547"/>
      <c r="D111" s="547"/>
      <c r="E111" s="547"/>
      <c r="F111" s="547"/>
      <c r="G111" s="683"/>
    </row>
    <row r="112" spans="1:7" ht="13.5" thickBot="1">
      <c r="A112" s="227"/>
      <c r="B112" s="249" t="s">
        <v>44</v>
      </c>
      <c r="C112" s="553">
        <f aca="true" t="shared" si="24" ref="C112:D112">SUM(C109:C111)</f>
        <v>254</v>
      </c>
      <c r="D112" s="553">
        <f t="shared" si="24"/>
        <v>254</v>
      </c>
      <c r="E112" s="553">
        <f aca="true" t="shared" si="25" ref="E112:F112">SUM(E109:E111)</f>
        <v>454</v>
      </c>
      <c r="F112" s="553">
        <f t="shared" si="25"/>
        <v>175</v>
      </c>
      <c r="G112" s="699">
        <f t="shared" si="17"/>
        <v>0.3854625550660793</v>
      </c>
    </row>
    <row r="113" spans="1:7" ht="15.75" thickBot="1">
      <c r="A113" s="224"/>
      <c r="B113" s="250" t="s">
        <v>84</v>
      </c>
      <c r="C113" s="548">
        <f aca="true" t="shared" si="26" ref="C113:D113">SUM(C108+C112)</f>
        <v>101823</v>
      </c>
      <c r="D113" s="548">
        <f t="shared" si="26"/>
        <v>103267</v>
      </c>
      <c r="E113" s="548">
        <f aca="true" t="shared" si="27" ref="E113:F113">SUM(E108+E112)</f>
        <v>104713</v>
      </c>
      <c r="F113" s="548">
        <f t="shared" si="27"/>
        <v>70292</v>
      </c>
      <c r="G113" s="699">
        <f t="shared" si="17"/>
        <v>0.6712824577655114</v>
      </c>
    </row>
    <row r="114" spans="1:7" ht="15">
      <c r="A114" s="181">
        <v>2315</v>
      </c>
      <c r="B114" s="184" t="s">
        <v>159</v>
      </c>
      <c r="C114" s="546"/>
      <c r="D114" s="546"/>
      <c r="E114" s="546"/>
      <c r="F114" s="546"/>
      <c r="G114" s="660"/>
    </row>
    <row r="115" spans="1:7" ht="12.6" customHeight="1">
      <c r="A115" s="227"/>
      <c r="B115" s="228" t="s">
        <v>148</v>
      </c>
      <c r="C115" s="549"/>
      <c r="D115" s="549"/>
      <c r="E115" s="549"/>
      <c r="F115" s="549"/>
      <c r="G115" s="660"/>
    </row>
    <row r="116" spans="1:7" ht="13.5" thickBot="1">
      <c r="A116" s="227"/>
      <c r="B116" s="229" t="s">
        <v>149</v>
      </c>
      <c r="C116" s="550"/>
      <c r="D116" s="550"/>
      <c r="E116" s="1025"/>
      <c r="F116" s="1025"/>
      <c r="G116" s="660"/>
    </row>
    <row r="117" spans="1:7" ht="13.5" thickBot="1">
      <c r="A117" s="227"/>
      <c r="B117" s="230" t="s">
        <v>150</v>
      </c>
      <c r="C117" s="551"/>
      <c r="D117" s="551"/>
      <c r="E117" s="1027"/>
      <c r="F117" s="1027"/>
      <c r="G117" s="699"/>
    </row>
    <row r="118" spans="1:7" ht="12.75">
      <c r="A118" s="227"/>
      <c r="B118" s="228" t="s">
        <v>151</v>
      </c>
      <c r="C118" s="546"/>
      <c r="D118" s="546"/>
      <c r="E118" s="546"/>
      <c r="F118" s="546"/>
      <c r="G118" s="660"/>
    </row>
    <row r="119" spans="1:7" ht="12.75">
      <c r="A119" s="227"/>
      <c r="B119" s="232" t="s">
        <v>152</v>
      </c>
      <c r="C119" s="552"/>
      <c r="D119" s="552"/>
      <c r="E119" s="552"/>
      <c r="F119" s="552"/>
      <c r="G119" s="660"/>
    </row>
    <row r="120" spans="1:7" ht="12.75">
      <c r="A120" s="227"/>
      <c r="B120" s="232" t="s">
        <v>153</v>
      </c>
      <c r="C120" s="552"/>
      <c r="D120" s="552"/>
      <c r="E120" s="552"/>
      <c r="F120" s="552"/>
      <c r="G120" s="660"/>
    </row>
    <row r="121" spans="1:7" ht="12.75">
      <c r="A121" s="227"/>
      <c r="B121" s="233" t="s">
        <v>154</v>
      </c>
      <c r="C121" s="546"/>
      <c r="D121" s="546"/>
      <c r="E121" s="546"/>
      <c r="F121" s="546"/>
      <c r="G121" s="660"/>
    </row>
    <row r="122" spans="1:7" ht="12.75">
      <c r="A122" s="227"/>
      <c r="B122" s="233" t="s">
        <v>155</v>
      </c>
      <c r="C122" s="546"/>
      <c r="D122" s="546"/>
      <c r="E122" s="546"/>
      <c r="F122" s="546"/>
      <c r="G122" s="660"/>
    </row>
    <row r="123" spans="1:7" ht="12.75">
      <c r="A123" s="227"/>
      <c r="B123" s="233" t="s">
        <v>156</v>
      </c>
      <c r="C123" s="546"/>
      <c r="D123" s="546"/>
      <c r="E123" s="546"/>
      <c r="F123" s="546"/>
      <c r="G123" s="660"/>
    </row>
    <row r="124" spans="1:7" ht="12.75">
      <c r="A124" s="227"/>
      <c r="B124" s="233" t="s">
        <v>294</v>
      </c>
      <c r="C124" s="546"/>
      <c r="D124" s="546"/>
      <c r="E124" s="546"/>
      <c r="F124" s="546"/>
      <c r="G124" s="660"/>
    </row>
    <row r="125" spans="1:7" ht="12.75">
      <c r="A125" s="227"/>
      <c r="B125" s="234" t="s">
        <v>372</v>
      </c>
      <c r="C125" s="546"/>
      <c r="D125" s="546"/>
      <c r="E125" s="546"/>
      <c r="F125" s="546"/>
      <c r="G125" s="660"/>
    </row>
    <row r="126" spans="1:7" ht="13.5" thickBot="1">
      <c r="A126" s="227"/>
      <c r="B126" s="235" t="s">
        <v>157</v>
      </c>
      <c r="C126" s="547"/>
      <c r="D126" s="547"/>
      <c r="E126" s="547"/>
      <c r="F126" s="547"/>
      <c r="G126" s="683"/>
    </row>
    <row r="127" spans="1:7" ht="13.5" thickBot="1">
      <c r="A127" s="227"/>
      <c r="B127" s="236" t="s">
        <v>290</v>
      </c>
      <c r="C127" s="553"/>
      <c r="D127" s="553"/>
      <c r="E127" s="553"/>
      <c r="F127" s="553"/>
      <c r="G127" s="662"/>
    </row>
    <row r="128" spans="1:7" ht="13.5" thickBot="1">
      <c r="A128" s="227"/>
      <c r="B128" s="881" t="s">
        <v>184</v>
      </c>
      <c r="C128" s="553"/>
      <c r="D128" s="553"/>
      <c r="E128" s="553"/>
      <c r="F128" s="553"/>
      <c r="G128" s="662"/>
    </row>
    <row r="129" spans="1:7" ht="13.5" thickBot="1">
      <c r="A129" s="227"/>
      <c r="B129" s="238" t="s">
        <v>45</v>
      </c>
      <c r="C129" s="672"/>
      <c r="D129" s="672"/>
      <c r="E129" s="672"/>
      <c r="F129" s="672"/>
      <c r="G129" s="699"/>
    </row>
    <row r="130" spans="1:7" ht="13.5" thickBot="1">
      <c r="A130" s="227"/>
      <c r="B130" s="483" t="s">
        <v>383</v>
      </c>
      <c r="C130" s="554"/>
      <c r="D130" s="554"/>
      <c r="E130" s="556"/>
      <c r="F130" s="556"/>
      <c r="G130" s="660"/>
    </row>
    <row r="131" spans="1:7" ht="13.5" thickBot="1">
      <c r="A131" s="227"/>
      <c r="B131" s="239" t="s">
        <v>46</v>
      </c>
      <c r="C131" s="555"/>
      <c r="D131" s="966"/>
      <c r="E131" s="966"/>
      <c r="F131" s="966"/>
      <c r="G131" s="699"/>
    </row>
    <row r="132" spans="1:7" ht="12.75">
      <c r="A132" s="227"/>
      <c r="B132" s="479" t="s">
        <v>348</v>
      </c>
      <c r="C132" s="556"/>
      <c r="D132" s="556">
        <v>3142</v>
      </c>
      <c r="E132" s="556">
        <v>3142</v>
      </c>
      <c r="F132" s="556">
        <v>3142</v>
      </c>
      <c r="G132" s="660">
        <f t="shared" si="17"/>
        <v>1</v>
      </c>
    </row>
    <row r="133" spans="1:7" ht="13.5" thickBot="1">
      <c r="A133" s="227"/>
      <c r="B133" s="241" t="s">
        <v>376</v>
      </c>
      <c r="C133" s="547">
        <f>320981+35637+10770</f>
        <v>367388</v>
      </c>
      <c r="D133" s="547">
        <f>367388+1318</f>
        <v>368706</v>
      </c>
      <c r="E133" s="546">
        <f>368706+1897+2145</f>
        <v>372748</v>
      </c>
      <c r="F133" s="546">
        <v>227382</v>
      </c>
      <c r="G133" s="660">
        <f t="shared" si="17"/>
        <v>0.6100153454881045</v>
      </c>
    </row>
    <row r="134" spans="1:7" ht="13.5" thickBot="1">
      <c r="A134" s="227"/>
      <c r="B134" s="242" t="s">
        <v>39</v>
      </c>
      <c r="C134" s="555">
        <f aca="true" t="shared" si="28" ref="C134:D134">SUM(C132:C133)</f>
        <v>367388</v>
      </c>
      <c r="D134" s="555">
        <f t="shared" si="28"/>
        <v>371848</v>
      </c>
      <c r="E134" s="966">
        <f aca="true" t="shared" si="29" ref="E134:F134">SUM(E132:E133)</f>
        <v>375890</v>
      </c>
      <c r="F134" s="966">
        <f t="shared" si="29"/>
        <v>230524</v>
      </c>
      <c r="G134" s="699">
        <f t="shared" si="17"/>
        <v>0.613275160286254</v>
      </c>
    </row>
    <row r="135" spans="1:7" ht="13.5" thickBot="1">
      <c r="A135" s="227"/>
      <c r="B135" s="201" t="s">
        <v>348</v>
      </c>
      <c r="C135" s="554"/>
      <c r="D135" s="554"/>
      <c r="E135" s="556"/>
      <c r="F135" s="556"/>
      <c r="G135" s="660"/>
    </row>
    <row r="136" spans="1:7" ht="13.5" thickBot="1">
      <c r="A136" s="227"/>
      <c r="B136" s="242" t="s">
        <v>41</v>
      </c>
      <c r="C136" s="555">
        <v>0</v>
      </c>
      <c r="D136" s="555">
        <v>0</v>
      </c>
      <c r="E136" s="966">
        <v>0</v>
      </c>
      <c r="F136" s="966">
        <v>0</v>
      </c>
      <c r="G136" s="966"/>
    </row>
    <row r="137" spans="1:7" ht="15.75" thickBot="1">
      <c r="A137" s="227"/>
      <c r="B137" s="244" t="s">
        <v>50</v>
      </c>
      <c r="C137" s="548">
        <f aca="true" t="shared" si="30" ref="C137:D137">SUM(C129+C131+C134+C136)</f>
        <v>367388</v>
      </c>
      <c r="D137" s="548">
        <f t="shared" si="30"/>
        <v>371848</v>
      </c>
      <c r="E137" s="548">
        <f aca="true" t="shared" si="31" ref="E137:F137">SUM(E129+E131+E134+E136)</f>
        <v>375890</v>
      </c>
      <c r="F137" s="548">
        <f t="shared" si="31"/>
        <v>230524</v>
      </c>
      <c r="G137" s="699">
        <f t="shared" si="17"/>
        <v>0.613275160286254</v>
      </c>
    </row>
    <row r="138" spans="1:7" ht="12.75">
      <c r="A138" s="227"/>
      <c r="B138" s="245" t="s">
        <v>271</v>
      </c>
      <c r="C138" s="546">
        <f>272725+30810+9531</f>
        <v>313066</v>
      </c>
      <c r="D138" s="546">
        <f>313066+934</f>
        <v>314000</v>
      </c>
      <c r="E138" s="546">
        <f>314000+1679</f>
        <v>315679</v>
      </c>
      <c r="F138" s="546">
        <v>194170</v>
      </c>
      <c r="G138" s="660">
        <f t="shared" si="17"/>
        <v>0.6150868445477843</v>
      </c>
    </row>
    <row r="139" spans="1:7" ht="12.75">
      <c r="A139" s="227"/>
      <c r="B139" s="245" t="s">
        <v>272</v>
      </c>
      <c r="C139" s="546">
        <f>42002+4827+1239</f>
        <v>48068</v>
      </c>
      <c r="D139" s="546">
        <f>48068+346</f>
        <v>48414</v>
      </c>
      <c r="E139" s="546">
        <f>48414+218</f>
        <v>48632</v>
      </c>
      <c r="F139" s="546">
        <v>30155</v>
      </c>
      <c r="G139" s="660">
        <f t="shared" si="17"/>
        <v>0.6200649777924001</v>
      </c>
    </row>
    <row r="140" spans="1:7" ht="12.75">
      <c r="A140" s="227"/>
      <c r="B140" s="245" t="s">
        <v>273</v>
      </c>
      <c r="C140" s="546">
        <v>6000</v>
      </c>
      <c r="D140" s="546">
        <f>6000+1862+1026</f>
        <v>8888</v>
      </c>
      <c r="E140" s="546">
        <f>8888-3+1345</f>
        <v>10230</v>
      </c>
      <c r="F140" s="546">
        <v>5970</v>
      </c>
      <c r="G140" s="660">
        <f t="shared" si="17"/>
        <v>0.5835777126099707</v>
      </c>
    </row>
    <row r="141" spans="1:7" ht="12.75">
      <c r="A141" s="227"/>
      <c r="B141" s="246" t="s">
        <v>275</v>
      </c>
      <c r="C141" s="546"/>
      <c r="D141" s="546"/>
      <c r="E141" s="546"/>
      <c r="F141" s="546"/>
      <c r="G141" s="660"/>
    </row>
    <row r="142" spans="1:7" ht="13.5" thickBot="1">
      <c r="A142" s="227"/>
      <c r="B142" s="247" t="s">
        <v>274</v>
      </c>
      <c r="C142" s="547"/>
      <c r="D142" s="547"/>
      <c r="E142" s="546">
        <v>3</v>
      </c>
      <c r="F142" s="546">
        <v>2</v>
      </c>
      <c r="G142" s="660">
        <f t="shared" si="17"/>
        <v>0.6666666666666666</v>
      </c>
    </row>
    <row r="143" spans="1:7" ht="13.5" thickBot="1">
      <c r="A143" s="227"/>
      <c r="B143" s="248" t="s">
        <v>38</v>
      </c>
      <c r="C143" s="548">
        <f aca="true" t="shared" si="32" ref="C143:D143">SUM(C138:C142)</f>
        <v>367134</v>
      </c>
      <c r="D143" s="548">
        <f t="shared" si="32"/>
        <v>371302</v>
      </c>
      <c r="E143" s="548">
        <f aca="true" t="shared" si="33" ref="E143:F143">SUM(E138:E142)</f>
        <v>374544</v>
      </c>
      <c r="F143" s="548">
        <f t="shared" si="33"/>
        <v>230297</v>
      </c>
      <c r="G143" s="699">
        <f t="shared" si="17"/>
        <v>0.6148730189243453</v>
      </c>
    </row>
    <row r="144" spans="1:7" ht="12.75">
      <c r="A144" s="227"/>
      <c r="B144" s="245" t="s">
        <v>544</v>
      </c>
      <c r="C144" s="546">
        <v>254</v>
      </c>
      <c r="D144" s="546">
        <f>254+292</f>
        <v>546</v>
      </c>
      <c r="E144" s="546">
        <f>254+292+800</f>
        <v>1346</v>
      </c>
      <c r="F144" s="546">
        <v>226</v>
      </c>
      <c r="G144" s="660">
        <f t="shared" si="17"/>
        <v>0.16790490341753342</v>
      </c>
    </row>
    <row r="145" spans="1:7" ht="12.75">
      <c r="A145" s="227"/>
      <c r="B145" s="245" t="s">
        <v>205</v>
      </c>
      <c r="C145" s="546"/>
      <c r="D145" s="546"/>
      <c r="E145" s="546"/>
      <c r="F145" s="546"/>
      <c r="G145" s="660"/>
    </row>
    <row r="146" spans="1:7" ht="13.5" thickBot="1">
      <c r="A146" s="227"/>
      <c r="B146" s="247" t="s">
        <v>357</v>
      </c>
      <c r="C146" s="547"/>
      <c r="D146" s="547"/>
      <c r="E146" s="547"/>
      <c r="F146" s="547"/>
      <c r="G146" s="683"/>
    </row>
    <row r="147" spans="1:7" ht="13.5" thickBot="1">
      <c r="A147" s="227"/>
      <c r="B147" s="249" t="s">
        <v>44</v>
      </c>
      <c r="C147" s="548">
        <f aca="true" t="shared" si="34" ref="C147:D147">SUM(C144:C146)</f>
        <v>254</v>
      </c>
      <c r="D147" s="548">
        <f t="shared" si="34"/>
        <v>546</v>
      </c>
      <c r="E147" s="548">
        <f aca="true" t="shared" si="35" ref="E147:F147">SUM(E144:E146)</f>
        <v>1346</v>
      </c>
      <c r="F147" s="548">
        <f t="shared" si="35"/>
        <v>226</v>
      </c>
      <c r="G147" s="699">
        <f t="shared" si="17"/>
        <v>0.16790490341753342</v>
      </c>
    </row>
    <row r="148" spans="1:7" ht="15.75" thickBot="1">
      <c r="A148" s="224"/>
      <c r="B148" s="250" t="s">
        <v>84</v>
      </c>
      <c r="C148" s="548">
        <f aca="true" t="shared" si="36" ref="C148:D148">SUM(C143+C147)</f>
        <v>367388</v>
      </c>
      <c r="D148" s="548">
        <f t="shared" si="36"/>
        <v>371848</v>
      </c>
      <c r="E148" s="548">
        <f aca="true" t="shared" si="37" ref="E148:F148">SUM(E143+E147)</f>
        <v>375890</v>
      </c>
      <c r="F148" s="548">
        <f t="shared" si="37"/>
        <v>230523</v>
      </c>
      <c r="G148" s="699">
        <f t="shared" si="17"/>
        <v>0.6132724999334912</v>
      </c>
    </row>
    <row r="149" spans="1:7" ht="15">
      <c r="A149" s="181">
        <v>2325</v>
      </c>
      <c r="B149" s="252" t="s">
        <v>278</v>
      </c>
      <c r="C149" s="546"/>
      <c r="D149" s="546"/>
      <c r="E149" s="546"/>
      <c r="F149" s="546"/>
      <c r="G149" s="660"/>
    </row>
    <row r="150" spans="1:7" ht="12.6" customHeight="1">
      <c r="A150" s="227"/>
      <c r="B150" s="228" t="s">
        <v>148</v>
      </c>
      <c r="C150" s="549"/>
      <c r="D150" s="549"/>
      <c r="E150" s="549"/>
      <c r="F150" s="549"/>
      <c r="G150" s="660"/>
    </row>
    <row r="151" spans="1:7" ht="13.5" thickBot="1">
      <c r="A151" s="227"/>
      <c r="B151" s="229" t="s">
        <v>149</v>
      </c>
      <c r="C151" s="550"/>
      <c r="D151" s="550"/>
      <c r="E151" s="550"/>
      <c r="F151" s="550"/>
      <c r="G151" s="683"/>
    </row>
    <row r="152" spans="1:7" ht="13.5" thickBot="1">
      <c r="A152" s="227"/>
      <c r="B152" s="230" t="s">
        <v>150</v>
      </c>
      <c r="C152" s="551"/>
      <c r="D152" s="551"/>
      <c r="E152" s="551"/>
      <c r="F152" s="551"/>
      <c r="G152" s="662"/>
    </row>
    <row r="153" spans="1:7" ht="12.75">
      <c r="A153" s="227"/>
      <c r="B153" s="228" t="s">
        <v>151</v>
      </c>
      <c r="C153" s="546"/>
      <c r="D153" s="546"/>
      <c r="E153" s="546"/>
      <c r="F153" s="546"/>
      <c r="G153" s="660"/>
    </row>
    <row r="154" spans="1:7" ht="12.75">
      <c r="A154" s="227"/>
      <c r="B154" s="232" t="s">
        <v>152</v>
      </c>
      <c r="C154" s="552"/>
      <c r="D154" s="552"/>
      <c r="E154" s="552"/>
      <c r="F154" s="552"/>
      <c r="G154" s="660"/>
    </row>
    <row r="155" spans="1:7" ht="12.75">
      <c r="A155" s="227"/>
      <c r="B155" s="232" t="s">
        <v>153</v>
      </c>
      <c r="C155" s="552"/>
      <c r="D155" s="552"/>
      <c r="E155" s="552"/>
      <c r="F155" s="552"/>
      <c r="G155" s="660"/>
    </row>
    <row r="156" spans="1:7" ht="12.75">
      <c r="A156" s="227"/>
      <c r="B156" s="233" t="s">
        <v>154</v>
      </c>
      <c r="C156" s="546"/>
      <c r="D156" s="546"/>
      <c r="E156" s="546"/>
      <c r="F156" s="546"/>
      <c r="G156" s="660"/>
    </row>
    <row r="157" spans="1:7" ht="12.75">
      <c r="A157" s="227"/>
      <c r="B157" s="233" t="s">
        <v>155</v>
      </c>
      <c r="C157" s="546"/>
      <c r="D157" s="546"/>
      <c r="E157" s="546"/>
      <c r="F157" s="546"/>
      <c r="G157" s="660"/>
    </row>
    <row r="158" spans="1:7" ht="12.75">
      <c r="A158" s="227"/>
      <c r="B158" s="233" t="s">
        <v>156</v>
      </c>
      <c r="C158" s="546"/>
      <c r="D158" s="546"/>
      <c r="E158" s="546"/>
      <c r="F158" s="546"/>
      <c r="G158" s="660"/>
    </row>
    <row r="159" spans="1:7" s="930" customFormat="1" ht="12.75">
      <c r="A159" s="227"/>
      <c r="B159" s="233" t="s">
        <v>294</v>
      </c>
      <c r="C159" s="546"/>
      <c r="D159" s="546"/>
      <c r="E159" s="546"/>
      <c r="F159" s="546"/>
      <c r="G159" s="660"/>
    </row>
    <row r="160" spans="1:7" ht="12.75">
      <c r="A160" s="227"/>
      <c r="B160" s="234" t="s">
        <v>372</v>
      </c>
      <c r="C160" s="546"/>
      <c r="D160" s="546"/>
      <c r="E160" s="546"/>
      <c r="F160" s="546"/>
      <c r="G160" s="660"/>
    </row>
    <row r="161" spans="1:7" ht="13.5" thickBot="1">
      <c r="A161" s="227"/>
      <c r="B161" s="235" t="s">
        <v>157</v>
      </c>
      <c r="C161" s="547"/>
      <c r="D161" s="547"/>
      <c r="E161" s="547"/>
      <c r="F161" s="547"/>
      <c r="G161" s="683"/>
    </row>
    <row r="162" spans="1:7" ht="13.5" thickBot="1">
      <c r="A162" s="227"/>
      <c r="B162" s="236" t="s">
        <v>290</v>
      </c>
      <c r="C162" s="553"/>
      <c r="D162" s="553"/>
      <c r="E162" s="553"/>
      <c r="F162" s="553"/>
      <c r="G162" s="662"/>
    </row>
    <row r="163" spans="1:7" ht="13.5" thickBot="1">
      <c r="A163" s="227"/>
      <c r="B163" s="881" t="s">
        <v>184</v>
      </c>
      <c r="C163" s="553"/>
      <c r="D163" s="553"/>
      <c r="E163" s="553"/>
      <c r="F163" s="553"/>
      <c r="G163" s="662"/>
    </row>
    <row r="164" spans="1:7" ht="13.5" thickBot="1">
      <c r="A164" s="227"/>
      <c r="B164" s="238" t="s">
        <v>45</v>
      </c>
      <c r="C164" s="672"/>
      <c r="D164" s="672"/>
      <c r="E164" s="672"/>
      <c r="F164" s="672"/>
      <c r="G164" s="662"/>
    </row>
    <row r="165" spans="1:7" ht="13.5" thickBot="1">
      <c r="A165" s="227"/>
      <c r="B165" s="483" t="s">
        <v>383</v>
      </c>
      <c r="C165" s="554"/>
      <c r="D165" s="554"/>
      <c r="E165" s="554"/>
      <c r="F165" s="554"/>
      <c r="G165" s="662"/>
    </row>
    <row r="166" spans="1:7" ht="13.5" thickBot="1">
      <c r="A166" s="227"/>
      <c r="B166" s="239" t="s">
        <v>46</v>
      </c>
      <c r="C166" s="555"/>
      <c r="D166" s="555"/>
      <c r="E166" s="555"/>
      <c r="F166" s="555"/>
      <c r="G166" s="662"/>
    </row>
    <row r="167" spans="1:7" ht="12.75">
      <c r="A167" s="227"/>
      <c r="B167" s="479" t="s">
        <v>348</v>
      </c>
      <c r="C167" s="556"/>
      <c r="D167" s="556">
        <v>1762</v>
      </c>
      <c r="E167" s="556">
        <v>1762</v>
      </c>
      <c r="F167" s="556">
        <v>1762</v>
      </c>
      <c r="G167" s="660">
        <f aca="true" t="shared" si="38" ref="G167:G218">F167/E167</f>
        <v>1</v>
      </c>
    </row>
    <row r="168" spans="1:7" ht="13.5" thickBot="1">
      <c r="A168" s="227"/>
      <c r="B168" s="241" t="s">
        <v>376</v>
      </c>
      <c r="C168" s="547">
        <f>177917+23024+6734</f>
        <v>207675</v>
      </c>
      <c r="D168" s="547">
        <f>207675+522</f>
        <v>208197</v>
      </c>
      <c r="E168" s="547">
        <f>208197+1872+1320</f>
        <v>211389</v>
      </c>
      <c r="F168" s="547">
        <v>142174</v>
      </c>
      <c r="G168" s="683">
        <f t="shared" si="38"/>
        <v>0.6725704743387783</v>
      </c>
    </row>
    <row r="169" spans="1:7" ht="13.5" thickBot="1">
      <c r="A169" s="227"/>
      <c r="B169" s="242" t="s">
        <v>39</v>
      </c>
      <c r="C169" s="555">
        <f aca="true" t="shared" si="39" ref="C169:D169">SUM(C167:C168)</f>
        <v>207675</v>
      </c>
      <c r="D169" s="555">
        <f t="shared" si="39"/>
        <v>209959</v>
      </c>
      <c r="E169" s="555">
        <f aca="true" t="shared" si="40" ref="E169:F169">SUM(E167:E168)</f>
        <v>213151</v>
      </c>
      <c r="F169" s="555">
        <f t="shared" si="40"/>
        <v>143936</v>
      </c>
      <c r="G169" s="699">
        <f t="shared" si="38"/>
        <v>0.675277150939944</v>
      </c>
    </row>
    <row r="170" spans="1:7" ht="13.5" thickBot="1">
      <c r="A170" s="227"/>
      <c r="B170" s="201" t="s">
        <v>348</v>
      </c>
      <c r="C170" s="554"/>
      <c r="D170" s="554"/>
      <c r="E170" s="554"/>
      <c r="F170" s="554"/>
      <c r="G170" s="662"/>
    </row>
    <row r="171" spans="1:7" ht="13.5" thickBot="1">
      <c r="A171" s="227"/>
      <c r="B171" s="242" t="s">
        <v>41</v>
      </c>
      <c r="C171" s="555"/>
      <c r="D171" s="555"/>
      <c r="E171" s="555"/>
      <c r="F171" s="555"/>
      <c r="G171" s="662"/>
    </row>
    <row r="172" spans="1:7" ht="15.75" thickBot="1">
      <c r="A172" s="227"/>
      <c r="B172" s="244" t="s">
        <v>50</v>
      </c>
      <c r="C172" s="548">
        <f>SUM(C164+C166+C169+C171)</f>
        <v>207675</v>
      </c>
      <c r="D172" s="548">
        <f>SUM(D164+D166+D169+D171)</f>
        <v>209959</v>
      </c>
      <c r="E172" s="548">
        <f>SUM(E164+E166+E169+E171)</f>
        <v>213151</v>
      </c>
      <c r="F172" s="548">
        <f>SUM(F164+F166+F169+F171)</f>
        <v>143936</v>
      </c>
      <c r="G172" s="699">
        <f t="shared" si="38"/>
        <v>0.675277150939944</v>
      </c>
    </row>
    <row r="173" spans="1:7" ht="12.75">
      <c r="A173" s="227"/>
      <c r="B173" s="245" t="s">
        <v>271</v>
      </c>
      <c r="C173" s="546">
        <f>149960+20021+5959</f>
        <v>175940</v>
      </c>
      <c r="D173" s="546">
        <f>175940+341</f>
        <v>176281</v>
      </c>
      <c r="E173" s="546">
        <f>176281+1657</f>
        <v>177938</v>
      </c>
      <c r="F173" s="546">
        <v>119625</v>
      </c>
      <c r="G173" s="660">
        <f t="shared" si="38"/>
        <v>0.6722847283885398</v>
      </c>
    </row>
    <row r="174" spans="1:7" ht="12.75">
      <c r="A174" s="227"/>
      <c r="B174" s="245" t="s">
        <v>272</v>
      </c>
      <c r="C174" s="546">
        <f>23203+3003+775</f>
        <v>26981</v>
      </c>
      <c r="D174" s="546">
        <f>26981+178</f>
        <v>27159</v>
      </c>
      <c r="E174" s="546">
        <f>27159+215</f>
        <v>27374</v>
      </c>
      <c r="F174" s="546">
        <v>18615</v>
      </c>
      <c r="G174" s="660">
        <f t="shared" si="38"/>
        <v>0.6800248410900854</v>
      </c>
    </row>
    <row r="175" spans="1:7" ht="12.75">
      <c r="A175" s="227"/>
      <c r="B175" s="245" t="s">
        <v>273</v>
      </c>
      <c r="C175" s="546">
        <v>4500</v>
      </c>
      <c r="D175" s="546">
        <f>4500+1243+22</f>
        <v>5765</v>
      </c>
      <c r="E175" s="546">
        <f>5765+420+1320</f>
        <v>7505</v>
      </c>
      <c r="F175" s="546">
        <v>4477</v>
      </c>
      <c r="G175" s="660">
        <f t="shared" si="38"/>
        <v>0.5965356429047302</v>
      </c>
    </row>
    <row r="176" spans="1:7" ht="12.75">
      <c r="A176" s="227"/>
      <c r="B176" s="246" t="s">
        <v>275</v>
      </c>
      <c r="C176" s="546"/>
      <c r="D176" s="546"/>
      <c r="E176" s="546"/>
      <c r="F176" s="546"/>
      <c r="G176" s="660"/>
    </row>
    <row r="177" spans="1:7" ht="13.5" thickBot="1">
      <c r="A177" s="227"/>
      <c r="B177" s="247" t="s">
        <v>274</v>
      </c>
      <c r="C177" s="547"/>
      <c r="D177" s="547"/>
      <c r="E177" s="547"/>
      <c r="F177" s="547"/>
      <c r="G177" s="683"/>
    </row>
    <row r="178" spans="1:7" ht="13.5" thickBot="1">
      <c r="A178" s="227"/>
      <c r="B178" s="248" t="s">
        <v>38</v>
      </c>
      <c r="C178" s="553">
        <f aca="true" t="shared" si="41" ref="C178:D178">SUM(C173:C177)</f>
        <v>207421</v>
      </c>
      <c r="D178" s="553">
        <f t="shared" si="41"/>
        <v>209205</v>
      </c>
      <c r="E178" s="553">
        <f aca="true" t="shared" si="42" ref="E178:F178">SUM(E173:E177)</f>
        <v>212817</v>
      </c>
      <c r="F178" s="553">
        <f t="shared" si="42"/>
        <v>142717</v>
      </c>
      <c r="G178" s="699">
        <f t="shared" si="38"/>
        <v>0.670609020895887</v>
      </c>
    </row>
    <row r="179" spans="1:7" ht="12.75">
      <c r="A179" s="227"/>
      <c r="B179" s="245" t="s">
        <v>544</v>
      </c>
      <c r="C179" s="546">
        <v>254</v>
      </c>
      <c r="D179" s="546">
        <f>254+500</f>
        <v>754</v>
      </c>
      <c r="E179" s="546">
        <f>754-420</f>
        <v>334</v>
      </c>
      <c r="F179" s="546">
        <v>312</v>
      </c>
      <c r="G179" s="660">
        <f t="shared" si="38"/>
        <v>0.9341317365269461</v>
      </c>
    </row>
    <row r="180" spans="1:7" ht="12.75">
      <c r="A180" s="227"/>
      <c r="B180" s="245" t="s">
        <v>205</v>
      </c>
      <c r="C180" s="546"/>
      <c r="D180" s="546"/>
      <c r="E180" s="546"/>
      <c r="F180" s="546"/>
      <c r="G180" s="660"/>
    </row>
    <row r="181" spans="1:7" ht="13.5" thickBot="1">
      <c r="A181" s="227"/>
      <c r="B181" s="247" t="s">
        <v>357</v>
      </c>
      <c r="C181" s="547"/>
      <c r="D181" s="547"/>
      <c r="E181" s="547"/>
      <c r="F181" s="547"/>
      <c r="G181" s="683"/>
    </row>
    <row r="182" spans="1:7" ht="13.5" thickBot="1">
      <c r="A182" s="227"/>
      <c r="B182" s="249" t="s">
        <v>44</v>
      </c>
      <c r="C182" s="553">
        <f aca="true" t="shared" si="43" ref="C182:D182">SUM(C179:C181)</f>
        <v>254</v>
      </c>
      <c r="D182" s="553">
        <f t="shared" si="43"/>
        <v>754</v>
      </c>
      <c r="E182" s="553">
        <f aca="true" t="shared" si="44" ref="E182:F182">SUM(E179:E181)</f>
        <v>334</v>
      </c>
      <c r="F182" s="553">
        <f t="shared" si="44"/>
        <v>312</v>
      </c>
      <c r="G182" s="699">
        <f t="shared" si="38"/>
        <v>0.9341317365269461</v>
      </c>
    </row>
    <row r="183" spans="1:7" ht="15.75" thickBot="1">
      <c r="A183" s="224"/>
      <c r="B183" s="250" t="s">
        <v>84</v>
      </c>
      <c r="C183" s="553">
        <f aca="true" t="shared" si="45" ref="C183:D183">SUM(C178+C182)</f>
        <v>207675</v>
      </c>
      <c r="D183" s="553">
        <f t="shared" si="45"/>
        <v>209959</v>
      </c>
      <c r="E183" s="553">
        <f aca="true" t="shared" si="46" ref="E183:F183">SUM(E178+E182)</f>
        <v>213151</v>
      </c>
      <c r="F183" s="553">
        <f t="shared" si="46"/>
        <v>143029</v>
      </c>
      <c r="G183" s="908">
        <f t="shared" si="38"/>
        <v>0.671021951574236</v>
      </c>
    </row>
    <row r="184" spans="1:7" ht="15">
      <c r="A184" s="181">
        <v>2330</v>
      </c>
      <c r="B184" s="184" t="s">
        <v>279</v>
      </c>
      <c r="C184" s="546"/>
      <c r="D184" s="546"/>
      <c r="E184" s="546"/>
      <c r="F184" s="546"/>
      <c r="G184" s="660"/>
    </row>
    <row r="185" spans="1:7" ht="12.6" customHeight="1">
      <c r="A185" s="227"/>
      <c r="B185" s="228" t="s">
        <v>148</v>
      </c>
      <c r="C185" s="549"/>
      <c r="D185" s="549"/>
      <c r="E185" s="549"/>
      <c r="F185" s="549"/>
      <c r="G185" s="660"/>
    </row>
    <row r="186" spans="1:7" ht="13.5" thickBot="1">
      <c r="A186" s="227"/>
      <c r="B186" s="229" t="s">
        <v>149</v>
      </c>
      <c r="C186" s="550"/>
      <c r="D186" s="550"/>
      <c r="E186" s="550"/>
      <c r="F186" s="550"/>
      <c r="G186" s="683"/>
    </row>
    <row r="187" spans="1:7" ht="13.5" thickBot="1">
      <c r="A187" s="227"/>
      <c r="B187" s="230" t="s">
        <v>160</v>
      </c>
      <c r="C187" s="551"/>
      <c r="D187" s="551"/>
      <c r="E187" s="551"/>
      <c r="F187" s="551"/>
      <c r="G187" s="662"/>
    </row>
    <row r="188" spans="1:7" ht="12.75">
      <c r="A188" s="227"/>
      <c r="B188" s="228" t="s">
        <v>151</v>
      </c>
      <c r="C188" s="546"/>
      <c r="D188" s="546"/>
      <c r="E188" s="546"/>
      <c r="F188" s="546"/>
      <c r="G188" s="660"/>
    </row>
    <row r="189" spans="1:7" ht="12.75">
      <c r="A189" s="227"/>
      <c r="B189" s="232" t="s">
        <v>152</v>
      </c>
      <c r="C189" s="552"/>
      <c r="D189" s="552"/>
      <c r="E189" s="552"/>
      <c r="F189" s="552"/>
      <c r="G189" s="660"/>
    </row>
    <row r="190" spans="1:7" ht="12.75">
      <c r="A190" s="227"/>
      <c r="B190" s="232" t="s">
        <v>153</v>
      </c>
      <c r="C190" s="552"/>
      <c r="D190" s="552"/>
      <c r="E190" s="552"/>
      <c r="F190" s="552"/>
      <c r="G190" s="660"/>
    </row>
    <row r="191" spans="1:7" ht="12.75">
      <c r="A191" s="227"/>
      <c r="B191" s="233" t="s">
        <v>154</v>
      </c>
      <c r="C191" s="546"/>
      <c r="D191" s="546"/>
      <c r="E191" s="546"/>
      <c r="F191" s="546"/>
      <c r="G191" s="660"/>
    </row>
    <row r="192" spans="1:7" ht="12.75">
      <c r="A192" s="227"/>
      <c r="B192" s="233" t="s">
        <v>155</v>
      </c>
      <c r="C192" s="546"/>
      <c r="D192" s="546"/>
      <c r="E192" s="546"/>
      <c r="F192" s="546"/>
      <c r="G192" s="660"/>
    </row>
    <row r="193" spans="1:7" ht="12.75">
      <c r="A193" s="227"/>
      <c r="B193" s="233" t="s">
        <v>156</v>
      </c>
      <c r="C193" s="546"/>
      <c r="D193" s="546"/>
      <c r="E193" s="546"/>
      <c r="F193" s="546"/>
      <c r="G193" s="660"/>
    </row>
    <row r="194" spans="1:7" s="930" customFormat="1" ht="12.75">
      <c r="A194" s="227"/>
      <c r="B194" s="233" t="s">
        <v>294</v>
      </c>
      <c r="C194" s="546"/>
      <c r="D194" s="546"/>
      <c r="E194" s="546"/>
      <c r="F194" s="546"/>
      <c r="G194" s="660"/>
    </row>
    <row r="195" spans="1:7" ht="12.75">
      <c r="A195" s="227"/>
      <c r="B195" s="234" t="s">
        <v>372</v>
      </c>
      <c r="C195" s="546"/>
      <c r="D195" s="546"/>
      <c r="E195" s="546"/>
      <c r="F195" s="546"/>
      <c r="G195" s="660"/>
    </row>
    <row r="196" spans="1:7" ht="13.5" thickBot="1">
      <c r="A196" s="227"/>
      <c r="B196" s="235" t="s">
        <v>157</v>
      </c>
      <c r="C196" s="547"/>
      <c r="D196" s="547"/>
      <c r="E196" s="547"/>
      <c r="F196" s="547"/>
      <c r="G196" s="683"/>
    </row>
    <row r="197" spans="1:7" ht="13.5" thickBot="1">
      <c r="A197" s="227"/>
      <c r="B197" s="236" t="s">
        <v>290</v>
      </c>
      <c r="C197" s="553"/>
      <c r="D197" s="553"/>
      <c r="E197" s="553"/>
      <c r="F197" s="553"/>
      <c r="G197" s="662"/>
    </row>
    <row r="198" spans="1:7" ht="13.5" thickBot="1">
      <c r="A198" s="227"/>
      <c r="B198" s="881" t="s">
        <v>184</v>
      </c>
      <c r="C198" s="553"/>
      <c r="D198" s="553"/>
      <c r="E198" s="553"/>
      <c r="F198" s="553"/>
      <c r="G198" s="662"/>
    </row>
    <row r="199" spans="1:7" ht="13.5" thickBot="1">
      <c r="A199" s="227"/>
      <c r="B199" s="238" t="s">
        <v>45</v>
      </c>
      <c r="C199" s="672"/>
      <c r="D199" s="672"/>
      <c r="E199" s="672"/>
      <c r="F199" s="672"/>
      <c r="G199" s="662"/>
    </row>
    <row r="200" spans="1:7" ht="13.5" thickBot="1">
      <c r="A200" s="227"/>
      <c r="B200" s="483" t="s">
        <v>383</v>
      </c>
      <c r="C200" s="554"/>
      <c r="D200" s="554"/>
      <c r="E200" s="554"/>
      <c r="F200" s="554"/>
      <c r="G200" s="662"/>
    </row>
    <row r="201" spans="1:7" ht="13.5" thickBot="1">
      <c r="A201" s="227"/>
      <c r="B201" s="239" t="s">
        <v>46</v>
      </c>
      <c r="C201" s="555"/>
      <c r="D201" s="555"/>
      <c r="E201" s="555"/>
      <c r="F201" s="555"/>
      <c r="G201" s="662"/>
    </row>
    <row r="202" spans="1:7" ht="12.75">
      <c r="A202" s="227"/>
      <c r="B202" s="479" t="s">
        <v>348</v>
      </c>
      <c r="C202" s="556"/>
      <c r="D202" s="556">
        <v>1100</v>
      </c>
      <c r="E202" s="556">
        <v>1100</v>
      </c>
      <c r="F202" s="556">
        <v>1100</v>
      </c>
      <c r="G202" s="660">
        <f t="shared" si="38"/>
        <v>1</v>
      </c>
    </row>
    <row r="203" spans="1:7" ht="13.5" thickBot="1">
      <c r="A203" s="227"/>
      <c r="B203" s="241" t="s">
        <v>376</v>
      </c>
      <c r="C203" s="547">
        <f>136043+19770+4556</f>
        <v>160369</v>
      </c>
      <c r="D203" s="547">
        <f>160369+693</f>
        <v>161062</v>
      </c>
      <c r="E203" s="547">
        <f>161062+1366+990</f>
        <v>163418</v>
      </c>
      <c r="F203" s="547">
        <v>104976</v>
      </c>
      <c r="G203" s="683">
        <f t="shared" si="38"/>
        <v>0.6423772167080738</v>
      </c>
    </row>
    <row r="204" spans="1:7" ht="13.5" thickBot="1">
      <c r="A204" s="227"/>
      <c r="B204" s="242" t="s">
        <v>39</v>
      </c>
      <c r="C204" s="555">
        <f aca="true" t="shared" si="47" ref="C204:D204">SUM(C202:C203)</f>
        <v>160369</v>
      </c>
      <c r="D204" s="555">
        <f t="shared" si="47"/>
        <v>162162</v>
      </c>
      <c r="E204" s="555">
        <f aca="true" t="shared" si="48" ref="E204:F204">SUM(E202:E203)</f>
        <v>164518</v>
      </c>
      <c r="F204" s="555">
        <f t="shared" si="48"/>
        <v>106076</v>
      </c>
      <c r="G204" s="699">
        <f t="shared" si="38"/>
        <v>0.644768353614802</v>
      </c>
    </row>
    <row r="205" spans="1:7" ht="13.5" thickBot="1">
      <c r="A205" s="227"/>
      <c r="B205" s="631" t="s">
        <v>348</v>
      </c>
      <c r="C205" s="554"/>
      <c r="D205" s="554"/>
      <c r="E205" s="554"/>
      <c r="F205" s="554"/>
      <c r="G205" s="662"/>
    </row>
    <row r="206" spans="1:7" ht="13.5" thickBot="1">
      <c r="A206" s="227"/>
      <c r="B206" s="242" t="s">
        <v>41</v>
      </c>
      <c r="C206" s="555"/>
      <c r="D206" s="555"/>
      <c r="E206" s="555"/>
      <c r="F206" s="555"/>
      <c r="G206" s="662"/>
    </row>
    <row r="207" spans="1:7" ht="15.75" thickBot="1">
      <c r="A207" s="227"/>
      <c r="B207" s="244" t="s">
        <v>50</v>
      </c>
      <c r="C207" s="548">
        <f>SUM(C199+C201+C204)+C206</f>
        <v>160369</v>
      </c>
      <c r="D207" s="548">
        <f>SUM(D199+D201+D204)+D206</f>
        <v>162162</v>
      </c>
      <c r="E207" s="548">
        <f>SUM(E199+E201+E204)+E206</f>
        <v>164518</v>
      </c>
      <c r="F207" s="548">
        <f>SUM(F199+F201+F204)+F206</f>
        <v>106076</v>
      </c>
      <c r="G207" s="699">
        <f t="shared" si="38"/>
        <v>0.644768353614802</v>
      </c>
    </row>
    <row r="208" spans="1:7" ht="12.75">
      <c r="A208" s="227"/>
      <c r="B208" s="245" t="s">
        <v>271</v>
      </c>
      <c r="C208" s="546">
        <f>116515+17495+4032</f>
        <v>138042</v>
      </c>
      <c r="D208" s="546">
        <f>138042+540</f>
        <v>138582</v>
      </c>
      <c r="E208" s="546">
        <f>138582+1209</f>
        <v>139791</v>
      </c>
      <c r="F208" s="546">
        <v>90422</v>
      </c>
      <c r="G208" s="660">
        <f t="shared" si="38"/>
        <v>0.6468370639025403</v>
      </c>
    </row>
    <row r="209" spans="1:7" ht="12.75">
      <c r="A209" s="227"/>
      <c r="B209" s="245" t="s">
        <v>272</v>
      </c>
      <c r="C209" s="546">
        <f>15774+2275+524</f>
        <v>18573</v>
      </c>
      <c r="D209" s="546">
        <f>18573+138</f>
        <v>18711</v>
      </c>
      <c r="E209" s="546">
        <f>18711+157</f>
        <v>18868</v>
      </c>
      <c r="F209" s="546">
        <v>12353</v>
      </c>
      <c r="G209" s="660">
        <f t="shared" si="38"/>
        <v>0.6547063811744753</v>
      </c>
    </row>
    <row r="210" spans="1:7" ht="12.75">
      <c r="A210" s="227"/>
      <c r="B210" s="245" t="s">
        <v>273</v>
      </c>
      <c r="C210" s="546">
        <v>3500</v>
      </c>
      <c r="D210" s="546">
        <f>3500+422+666</f>
        <v>4588</v>
      </c>
      <c r="E210" s="546">
        <f>3500+422+666+990</f>
        <v>5578</v>
      </c>
      <c r="F210" s="546">
        <v>3074</v>
      </c>
      <c r="G210" s="660">
        <f t="shared" si="38"/>
        <v>0.5510935819290068</v>
      </c>
    </row>
    <row r="211" spans="1:7" ht="12.75">
      <c r="A211" s="227"/>
      <c r="B211" s="246" t="s">
        <v>275</v>
      </c>
      <c r="C211" s="546"/>
      <c r="D211" s="546"/>
      <c r="E211" s="546"/>
      <c r="F211" s="546"/>
      <c r="G211" s="660"/>
    </row>
    <row r="212" spans="1:7" ht="13.5" thickBot="1">
      <c r="A212" s="227"/>
      <c r="B212" s="247" t="s">
        <v>274</v>
      </c>
      <c r="C212" s="547"/>
      <c r="D212" s="547"/>
      <c r="E212" s="547"/>
      <c r="F212" s="547"/>
      <c r="G212" s="683"/>
    </row>
    <row r="213" spans="1:7" ht="13.5" thickBot="1">
      <c r="A213" s="227"/>
      <c r="B213" s="248" t="s">
        <v>38</v>
      </c>
      <c r="C213" s="553">
        <f aca="true" t="shared" si="49" ref="C213:D213">SUM(C208:C212)</f>
        <v>160115</v>
      </c>
      <c r="D213" s="553">
        <f t="shared" si="49"/>
        <v>161881</v>
      </c>
      <c r="E213" s="553">
        <f aca="true" t="shared" si="50" ref="E213:F213">SUM(E208:E212)</f>
        <v>164237</v>
      </c>
      <c r="F213" s="553">
        <f t="shared" si="50"/>
        <v>105849</v>
      </c>
      <c r="G213" s="699">
        <f t="shared" si="38"/>
        <v>0.6444893659772158</v>
      </c>
    </row>
    <row r="214" spans="1:7" ht="12.75">
      <c r="A214" s="227"/>
      <c r="B214" s="245" t="s">
        <v>544</v>
      </c>
      <c r="C214" s="546">
        <v>254</v>
      </c>
      <c r="D214" s="546">
        <f>254+27</f>
        <v>281</v>
      </c>
      <c r="E214" s="546">
        <f>254+27</f>
        <v>281</v>
      </c>
      <c r="F214" s="546">
        <v>105</v>
      </c>
      <c r="G214" s="660">
        <f t="shared" si="38"/>
        <v>0.3736654804270463</v>
      </c>
    </row>
    <row r="215" spans="1:7" ht="12.75">
      <c r="A215" s="227"/>
      <c r="B215" s="245" t="s">
        <v>205</v>
      </c>
      <c r="C215" s="546"/>
      <c r="D215" s="546"/>
      <c r="E215" s="546"/>
      <c r="F215" s="546"/>
      <c r="G215" s="660"/>
    </row>
    <row r="216" spans="1:7" ht="13.5" thickBot="1">
      <c r="A216" s="227"/>
      <c r="B216" s="247" t="s">
        <v>357</v>
      </c>
      <c r="C216" s="547"/>
      <c r="D216" s="547"/>
      <c r="E216" s="547"/>
      <c r="F216" s="547"/>
      <c r="G216" s="683"/>
    </row>
    <row r="217" spans="1:7" ht="13.5" thickBot="1">
      <c r="A217" s="227"/>
      <c r="B217" s="249" t="s">
        <v>44</v>
      </c>
      <c r="C217" s="553">
        <f aca="true" t="shared" si="51" ref="C217:D217">SUM(C214:C216)</f>
        <v>254</v>
      </c>
      <c r="D217" s="553">
        <f t="shared" si="51"/>
        <v>281</v>
      </c>
      <c r="E217" s="553">
        <f aca="true" t="shared" si="52" ref="E217:F217">SUM(E214:E216)</f>
        <v>281</v>
      </c>
      <c r="F217" s="553">
        <f t="shared" si="52"/>
        <v>105</v>
      </c>
      <c r="G217" s="699">
        <f t="shared" si="38"/>
        <v>0.3736654804270463</v>
      </c>
    </row>
    <row r="218" spans="1:7" ht="15.75" thickBot="1">
      <c r="A218" s="224"/>
      <c r="B218" s="250" t="s">
        <v>84</v>
      </c>
      <c r="C218" s="553">
        <f aca="true" t="shared" si="53" ref="C218:D218">SUM(C213+C217)</f>
        <v>160369</v>
      </c>
      <c r="D218" s="553">
        <f t="shared" si="53"/>
        <v>162162</v>
      </c>
      <c r="E218" s="553">
        <f aca="true" t="shared" si="54" ref="E218:F218">SUM(E213+E217)</f>
        <v>164518</v>
      </c>
      <c r="F218" s="553">
        <f t="shared" si="54"/>
        <v>105954</v>
      </c>
      <c r="G218" s="699">
        <f t="shared" si="38"/>
        <v>0.6440267934207807</v>
      </c>
    </row>
    <row r="219" spans="1:7" ht="15">
      <c r="A219" s="182">
        <v>2335</v>
      </c>
      <c r="B219" s="184" t="s">
        <v>280</v>
      </c>
      <c r="C219" s="546"/>
      <c r="D219" s="546"/>
      <c r="E219" s="546"/>
      <c r="F219" s="546"/>
      <c r="G219" s="660"/>
    </row>
    <row r="220" spans="1:7" ht="12.6" customHeight="1">
      <c r="A220" s="227"/>
      <c r="B220" s="228" t="s">
        <v>148</v>
      </c>
      <c r="C220" s="549"/>
      <c r="D220" s="549"/>
      <c r="E220" s="549"/>
      <c r="F220" s="549"/>
      <c r="G220" s="660"/>
    </row>
    <row r="221" spans="1:7" ht="13.5" thickBot="1">
      <c r="A221" s="227"/>
      <c r="B221" s="229" t="s">
        <v>149</v>
      </c>
      <c r="C221" s="550"/>
      <c r="D221" s="550"/>
      <c r="E221" s="550"/>
      <c r="F221" s="550"/>
      <c r="G221" s="683"/>
    </row>
    <row r="222" spans="1:7" ht="13.5" thickBot="1">
      <c r="A222" s="227"/>
      <c r="B222" s="230" t="s">
        <v>160</v>
      </c>
      <c r="C222" s="551"/>
      <c r="D222" s="551"/>
      <c r="E222" s="551"/>
      <c r="F222" s="551"/>
      <c r="G222" s="662"/>
    </row>
    <row r="223" spans="1:7" ht="12.75">
      <c r="A223" s="227"/>
      <c r="B223" s="228" t="s">
        <v>151</v>
      </c>
      <c r="C223" s="546"/>
      <c r="D223" s="546"/>
      <c r="E223" s="546"/>
      <c r="F223" s="546"/>
      <c r="G223" s="660"/>
    </row>
    <row r="224" spans="1:7" ht="12.75">
      <c r="A224" s="227"/>
      <c r="B224" s="232" t="s">
        <v>152</v>
      </c>
      <c r="C224" s="552"/>
      <c r="D224" s="552"/>
      <c r="E224" s="552"/>
      <c r="F224" s="552"/>
      <c r="G224" s="660"/>
    </row>
    <row r="225" spans="1:7" ht="12.75">
      <c r="A225" s="227"/>
      <c r="B225" s="232" t="s">
        <v>153</v>
      </c>
      <c r="C225" s="552"/>
      <c r="D225" s="552"/>
      <c r="E225" s="552"/>
      <c r="F225" s="552"/>
      <c r="G225" s="660"/>
    </row>
    <row r="226" spans="1:7" ht="12.75">
      <c r="A226" s="227"/>
      <c r="B226" s="233" t="s">
        <v>154</v>
      </c>
      <c r="C226" s="546"/>
      <c r="D226" s="546"/>
      <c r="E226" s="546"/>
      <c r="F226" s="546"/>
      <c r="G226" s="660"/>
    </row>
    <row r="227" spans="1:7" ht="12.75">
      <c r="A227" s="227"/>
      <c r="B227" s="233" t="s">
        <v>155</v>
      </c>
      <c r="C227" s="546"/>
      <c r="D227" s="546"/>
      <c r="E227" s="546"/>
      <c r="F227" s="546"/>
      <c r="G227" s="660"/>
    </row>
    <row r="228" spans="1:7" ht="12.75">
      <c r="A228" s="227"/>
      <c r="B228" s="233" t="s">
        <v>156</v>
      </c>
      <c r="C228" s="546"/>
      <c r="D228" s="546"/>
      <c r="E228" s="546"/>
      <c r="F228" s="546"/>
      <c r="G228" s="660"/>
    </row>
    <row r="229" spans="1:7" s="930" customFormat="1" ht="12.75">
      <c r="A229" s="227"/>
      <c r="B229" s="233" t="s">
        <v>294</v>
      </c>
      <c r="C229" s="546"/>
      <c r="D229" s="546"/>
      <c r="E229" s="546"/>
      <c r="F229" s="546"/>
      <c r="G229" s="660"/>
    </row>
    <row r="230" spans="1:7" ht="12.75">
      <c r="A230" s="227"/>
      <c r="B230" s="234" t="s">
        <v>372</v>
      </c>
      <c r="C230" s="546"/>
      <c r="D230" s="546"/>
      <c r="E230" s="546"/>
      <c r="F230" s="546"/>
      <c r="G230" s="660"/>
    </row>
    <row r="231" spans="1:7" ht="13.5" thickBot="1">
      <c r="A231" s="227"/>
      <c r="B231" s="235" t="s">
        <v>157</v>
      </c>
      <c r="C231" s="547"/>
      <c r="D231" s="547"/>
      <c r="E231" s="547"/>
      <c r="F231" s="547"/>
      <c r="G231" s="683"/>
    </row>
    <row r="232" spans="1:7" ht="13.5" thickBot="1">
      <c r="A232" s="227"/>
      <c r="B232" s="236" t="s">
        <v>290</v>
      </c>
      <c r="C232" s="553"/>
      <c r="D232" s="553"/>
      <c r="E232" s="553"/>
      <c r="F232" s="553"/>
      <c r="G232" s="662"/>
    </row>
    <row r="233" spans="1:7" ht="13.5" thickBot="1">
      <c r="A233" s="227"/>
      <c r="B233" s="881" t="s">
        <v>184</v>
      </c>
      <c r="C233" s="553"/>
      <c r="D233" s="553"/>
      <c r="E233" s="553"/>
      <c r="F233" s="553"/>
      <c r="G233" s="662"/>
    </row>
    <row r="234" spans="1:7" ht="13.5" thickBot="1">
      <c r="A234" s="227"/>
      <c r="B234" s="238" t="s">
        <v>45</v>
      </c>
      <c r="C234" s="672"/>
      <c r="D234" s="672"/>
      <c r="E234" s="672"/>
      <c r="F234" s="672"/>
      <c r="G234" s="662"/>
    </row>
    <row r="235" spans="1:7" ht="13.5" thickBot="1">
      <c r="A235" s="227"/>
      <c r="B235" s="483" t="s">
        <v>383</v>
      </c>
      <c r="C235" s="554"/>
      <c r="D235" s="554"/>
      <c r="E235" s="554"/>
      <c r="F235" s="554"/>
      <c r="G235" s="662"/>
    </row>
    <row r="236" spans="1:7" ht="13.5" thickBot="1">
      <c r="A236" s="227"/>
      <c r="B236" s="239" t="s">
        <v>46</v>
      </c>
      <c r="C236" s="555"/>
      <c r="D236" s="555"/>
      <c r="E236" s="555"/>
      <c r="F236" s="555"/>
      <c r="G236" s="662"/>
    </row>
    <row r="237" spans="1:7" ht="12.75">
      <c r="A237" s="227"/>
      <c r="B237" s="479" t="s">
        <v>348</v>
      </c>
      <c r="C237" s="556"/>
      <c r="D237" s="556">
        <v>834</v>
      </c>
      <c r="E237" s="556">
        <v>834</v>
      </c>
      <c r="F237" s="556">
        <v>834</v>
      </c>
      <c r="G237" s="660">
        <f aca="true" t="shared" si="55" ref="G237:G283">F237/E237</f>
        <v>1</v>
      </c>
    </row>
    <row r="238" spans="1:7" ht="13.5" thickBot="1">
      <c r="A238" s="227"/>
      <c r="B238" s="241" t="s">
        <v>376</v>
      </c>
      <c r="C238" s="547">
        <f>92259+9878+3512</f>
        <v>105649</v>
      </c>
      <c r="D238" s="547">
        <f>105649+791</f>
        <v>106440</v>
      </c>
      <c r="E238" s="547">
        <f>106440+97+695+660</f>
        <v>107892</v>
      </c>
      <c r="F238" s="547">
        <v>71641</v>
      </c>
      <c r="G238" s="683">
        <f t="shared" si="55"/>
        <v>0.6640065991917844</v>
      </c>
    </row>
    <row r="239" spans="1:7" ht="13.5" thickBot="1">
      <c r="A239" s="227"/>
      <c r="B239" s="242" t="s">
        <v>39</v>
      </c>
      <c r="C239" s="555">
        <f aca="true" t="shared" si="56" ref="C239:D239">SUM(C237:C238)</f>
        <v>105649</v>
      </c>
      <c r="D239" s="555">
        <f t="shared" si="56"/>
        <v>107274</v>
      </c>
      <c r="E239" s="555">
        <f aca="true" t="shared" si="57" ref="E239:F239">SUM(E237:E238)</f>
        <v>108726</v>
      </c>
      <c r="F239" s="555">
        <f t="shared" si="57"/>
        <v>72475</v>
      </c>
      <c r="G239" s="699">
        <f t="shared" si="55"/>
        <v>0.666583889777974</v>
      </c>
    </row>
    <row r="240" spans="1:7" ht="13.5" thickBot="1">
      <c r="A240" s="227"/>
      <c r="B240" s="201" t="s">
        <v>348</v>
      </c>
      <c r="C240" s="554"/>
      <c r="D240" s="554"/>
      <c r="E240" s="554"/>
      <c r="F240" s="554"/>
      <c r="G240" s="662"/>
    </row>
    <row r="241" spans="1:7" ht="13.5" thickBot="1">
      <c r="A241" s="227"/>
      <c r="B241" s="242" t="s">
        <v>41</v>
      </c>
      <c r="C241" s="555"/>
      <c r="D241" s="555"/>
      <c r="E241" s="555"/>
      <c r="F241" s="555"/>
      <c r="G241" s="662"/>
    </row>
    <row r="242" spans="1:7" ht="15.75" thickBot="1">
      <c r="A242" s="227"/>
      <c r="B242" s="244" t="s">
        <v>50</v>
      </c>
      <c r="C242" s="548">
        <f aca="true" t="shared" si="58" ref="C242:D242">SUM(C234+C236+C239+C241)</f>
        <v>105649</v>
      </c>
      <c r="D242" s="548">
        <f t="shared" si="58"/>
        <v>107274</v>
      </c>
      <c r="E242" s="548">
        <f aca="true" t="shared" si="59" ref="E242:F242">SUM(E234+E236+E239+E241)</f>
        <v>108726</v>
      </c>
      <c r="F242" s="548">
        <f t="shared" si="59"/>
        <v>72475</v>
      </c>
      <c r="G242" s="699">
        <f t="shared" si="55"/>
        <v>0.666583889777974</v>
      </c>
    </row>
    <row r="243" spans="1:7" ht="12.75">
      <c r="A243" s="227"/>
      <c r="B243" s="245" t="s">
        <v>271</v>
      </c>
      <c r="C243" s="546">
        <f>78212+8742+3108</f>
        <v>90062</v>
      </c>
      <c r="D243" s="546">
        <f>90062+578</f>
        <v>90640</v>
      </c>
      <c r="E243" s="546">
        <f>90640+86+615</f>
        <v>91341</v>
      </c>
      <c r="F243" s="546">
        <v>61489</v>
      </c>
      <c r="G243" s="660">
        <f t="shared" si="55"/>
        <v>0.673180718406849</v>
      </c>
    </row>
    <row r="244" spans="1:7" ht="12.75">
      <c r="A244" s="227"/>
      <c r="B244" s="245" t="s">
        <v>272</v>
      </c>
      <c r="C244" s="546">
        <f>10605+1136+404</f>
        <v>12145</v>
      </c>
      <c r="D244" s="546">
        <f>12145+198</f>
        <v>12343</v>
      </c>
      <c r="E244" s="546">
        <f>12343+11+80</f>
        <v>12434</v>
      </c>
      <c r="F244" s="546">
        <v>8787</v>
      </c>
      <c r="G244" s="660">
        <f t="shared" si="55"/>
        <v>0.7066913302235805</v>
      </c>
    </row>
    <row r="245" spans="1:7" ht="12.75">
      <c r="A245" s="227"/>
      <c r="B245" s="245" t="s">
        <v>273</v>
      </c>
      <c r="C245" s="546">
        <v>3188</v>
      </c>
      <c r="D245" s="546">
        <f>3188+58+326</f>
        <v>3572</v>
      </c>
      <c r="E245" s="546">
        <f>3572-1+390</f>
        <v>3961</v>
      </c>
      <c r="F245" s="546">
        <v>1612</v>
      </c>
      <c r="G245" s="660">
        <f t="shared" si="55"/>
        <v>0.4069679373895481</v>
      </c>
    </row>
    <row r="246" spans="1:7" ht="12.75">
      <c r="A246" s="227"/>
      <c r="B246" s="246" t="s">
        <v>275</v>
      </c>
      <c r="C246" s="546"/>
      <c r="D246" s="546"/>
      <c r="E246" s="546"/>
      <c r="F246" s="546"/>
      <c r="G246" s="660"/>
    </row>
    <row r="247" spans="1:7" ht="13.5" thickBot="1">
      <c r="A247" s="227"/>
      <c r="B247" s="247" t="s">
        <v>274</v>
      </c>
      <c r="C247" s="547"/>
      <c r="D247" s="547"/>
      <c r="E247" s="547">
        <v>1</v>
      </c>
      <c r="F247" s="547">
        <v>1</v>
      </c>
      <c r="G247" s="683">
        <f t="shared" si="55"/>
        <v>1</v>
      </c>
    </row>
    <row r="248" spans="1:7" ht="13.5" thickBot="1">
      <c r="A248" s="227"/>
      <c r="B248" s="248" t="s">
        <v>38</v>
      </c>
      <c r="C248" s="548">
        <f aca="true" t="shared" si="60" ref="C248:D248">SUM(C243:C247)</f>
        <v>105395</v>
      </c>
      <c r="D248" s="548">
        <f t="shared" si="60"/>
        <v>106555</v>
      </c>
      <c r="E248" s="548">
        <f aca="true" t="shared" si="61" ref="E248:F248">SUM(E243:E247)</f>
        <v>107737</v>
      </c>
      <c r="F248" s="548">
        <f t="shared" si="61"/>
        <v>71889</v>
      </c>
      <c r="G248" s="699">
        <f t="shared" si="55"/>
        <v>0.6672637998087937</v>
      </c>
    </row>
    <row r="249" spans="1:7" ht="12.75">
      <c r="A249" s="227"/>
      <c r="B249" s="245" t="s">
        <v>544</v>
      </c>
      <c r="C249" s="546">
        <v>254</v>
      </c>
      <c r="D249" s="546">
        <f>254+465</f>
        <v>719</v>
      </c>
      <c r="E249" s="546">
        <f>254+465+270</f>
        <v>989</v>
      </c>
      <c r="F249" s="546">
        <v>586</v>
      </c>
      <c r="G249" s="660">
        <f t="shared" si="55"/>
        <v>0.5925176946410515</v>
      </c>
    </row>
    <row r="250" spans="1:7" ht="12.75">
      <c r="A250" s="227"/>
      <c r="B250" s="245" t="s">
        <v>205</v>
      </c>
      <c r="C250" s="546"/>
      <c r="D250" s="546"/>
      <c r="E250" s="546"/>
      <c r="F250" s="546"/>
      <c r="G250" s="660"/>
    </row>
    <row r="251" spans="1:7" ht="13.5" thickBot="1">
      <c r="A251" s="227"/>
      <c r="B251" s="247" t="s">
        <v>357</v>
      </c>
      <c r="C251" s="547"/>
      <c r="D251" s="547"/>
      <c r="E251" s="547"/>
      <c r="F251" s="547"/>
      <c r="G251" s="683"/>
    </row>
    <row r="252" spans="1:7" ht="13.5" thickBot="1">
      <c r="A252" s="227"/>
      <c r="B252" s="249" t="s">
        <v>44</v>
      </c>
      <c r="C252" s="553">
        <f aca="true" t="shared" si="62" ref="C252:D252">SUM(C249:C251)</f>
        <v>254</v>
      </c>
      <c r="D252" s="553">
        <f t="shared" si="62"/>
        <v>719</v>
      </c>
      <c r="E252" s="553">
        <f aca="true" t="shared" si="63" ref="E252:F252">SUM(E249:E251)</f>
        <v>989</v>
      </c>
      <c r="F252" s="553">
        <f t="shared" si="63"/>
        <v>586</v>
      </c>
      <c r="G252" s="699">
        <f t="shared" si="55"/>
        <v>0.5925176946410515</v>
      </c>
    </row>
    <row r="253" spans="1:7" ht="15.75" thickBot="1">
      <c r="A253" s="224"/>
      <c r="B253" s="250" t="s">
        <v>84</v>
      </c>
      <c r="C253" s="548">
        <f aca="true" t="shared" si="64" ref="C253:D253">SUM(C248+C252)</f>
        <v>105649</v>
      </c>
      <c r="D253" s="548">
        <f t="shared" si="64"/>
        <v>107274</v>
      </c>
      <c r="E253" s="548">
        <f aca="true" t="shared" si="65" ref="E253:F253">SUM(E248+E252)</f>
        <v>108726</v>
      </c>
      <c r="F253" s="548">
        <f t="shared" si="65"/>
        <v>72475</v>
      </c>
      <c r="G253" s="699">
        <f t="shared" si="55"/>
        <v>0.666583889777974</v>
      </c>
    </row>
    <row r="254" spans="1:7" ht="15">
      <c r="A254" s="181">
        <v>2345</v>
      </c>
      <c r="B254" s="253" t="s">
        <v>281</v>
      </c>
      <c r="C254" s="546"/>
      <c r="D254" s="546"/>
      <c r="E254" s="546"/>
      <c r="F254" s="546"/>
      <c r="G254" s="660"/>
    </row>
    <row r="255" spans="1:7" ht="12.6" customHeight="1">
      <c r="A255" s="227"/>
      <c r="B255" s="228" t="s">
        <v>148</v>
      </c>
      <c r="C255" s="549"/>
      <c r="D255" s="549"/>
      <c r="E255" s="549"/>
      <c r="F255" s="549"/>
      <c r="G255" s="660"/>
    </row>
    <row r="256" spans="1:7" ht="13.5" thickBot="1">
      <c r="A256" s="227"/>
      <c r="B256" s="229" t="s">
        <v>149</v>
      </c>
      <c r="C256" s="550"/>
      <c r="D256" s="550"/>
      <c r="E256" s="550"/>
      <c r="F256" s="550"/>
      <c r="G256" s="683"/>
    </row>
    <row r="257" spans="1:7" ht="13.5" thickBot="1">
      <c r="A257" s="227"/>
      <c r="B257" s="230" t="s">
        <v>160</v>
      </c>
      <c r="C257" s="558"/>
      <c r="D257" s="558"/>
      <c r="E257" s="558"/>
      <c r="F257" s="558"/>
      <c r="G257" s="662"/>
    </row>
    <row r="258" spans="1:7" ht="12.75">
      <c r="A258" s="227"/>
      <c r="B258" s="228" t="s">
        <v>151</v>
      </c>
      <c r="C258" s="546"/>
      <c r="D258" s="546"/>
      <c r="E258" s="546"/>
      <c r="F258" s="546"/>
      <c r="G258" s="660"/>
    </row>
    <row r="259" spans="1:7" ht="12.75">
      <c r="A259" s="227"/>
      <c r="B259" s="232" t="s">
        <v>152</v>
      </c>
      <c r="C259" s="552"/>
      <c r="D259" s="552"/>
      <c r="E259" s="552"/>
      <c r="F259" s="552"/>
      <c r="G259" s="660"/>
    </row>
    <row r="260" spans="1:7" ht="12.75">
      <c r="A260" s="227"/>
      <c r="B260" s="232" t="s">
        <v>153</v>
      </c>
      <c r="C260" s="552"/>
      <c r="D260" s="552"/>
      <c r="E260" s="552"/>
      <c r="F260" s="552"/>
      <c r="G260" s="660"/>
    </row>
    <row r="261" spans="1:7" ht="12.75">
      <c r="A261" s="227"/>
      <c r="B261" s="233" t="s">
        <v>154</v>
      </c>
      <c r="C261" s="546"/>
      <c r="D261" s="546"/>
      <c r="E261" s="546"/>
      <c r="F261" s="546"/>
      <c r="G261" s="660"/>
    </row>
    <row r="262" spans="1:7" ht="12.75">
      <c r="A262" s="227"/>
      <c r="B262" s="233" t="s">
        <v>155</v>
      </c>
      <c r="C262" s="546"/>
      <c r="D262" s="546"/>
      <c r="E262" s="546"/>
      <c r="F262" s="546"/>
      <c r="G262" s="660"/>
    </row>
    <row r="263" spans="1:7" ht="12.75">
      <c r="A263" s="227"/>
      <c r="B263" s="233" t="s">
        <v>156</v>
      </c>
      <c r="C263" s="546"/>
      <c r="D263" s="546"/>
      <c r="E263" s="546"/>
      <c r="F263" s="546"/>
      <c r="G263" s="660"/>
    </row>
    <row r="264" spans="1:7" s="930" customFormat="1" ht="12.75">
      <c r="A264" s="227"/>
      <c r="B264" s="233" t="s">
        <v>294</v>
      </c>
      <c r="C264" s="546"/>
      <c r="D264" s="546"/>
      <c r="E264" s="546"/>
      <c r="F264" s="546"/>
      <c r="G264" s="660"/>
    </row>
    <row r="265" spans="1:7" ht="12.75">
      <c r="A265" s="227"/>
      <c r="B265" s="234" t="s">
        <v>372</v>
      </c>
      <c r="C265" s="546"/>
      <c r="D265" s="546"/>
      <c r="E265" s="546"/>
      <c r="F265" s="546"/>
      <c r="G265" s="660"/>
    </row>
    <row r="266" spans="1:7" ht="13.5" thickBot="1">
      <c r="A266" s="227"/>
      <c r="B266" s="235" t="s">
        <v>157</v>
      </c>
      <c r="C266" s="546"/>
      <c r="D266" s="546"/>
      <c r="E266" s="546"/>
      <c r="F266" s="546"/>
      <c r="G266" s="683"/>
    </row>
    <row r="267" spans="1:7" ht="13.5" thickBot="1">
      <c r="A267" s="227"/>
      <c r="B267" s="236" t="s">
        <v>290</v>
      </c>
      <c r="C267" s="548"/>
      <c r="D267" s="548"/>
      <c r="E267" s="548"/>
      <c r="F267" s="548"/>
      <c r="G267" s="662"/>
    </row>
    <row r="268" spans="1:7" ht="13.5" thickBot="1">
      <c r="A268" s="227"/>
      <c r="B268" s="881" t="s">
        <v>184</v>
      </c>
      <c r="C268" s="553"/>
      <c r="D268" s="553"/>
      <c r="E268" s="553"/>
      <c r="F268" s="553"/>
      <c r="G268" s="662"/>
    </row>
    <row r="269" spans="1:7" ht="13.5" thickBot="1">
      <c r="A269" s="227"/>
      <c r="B269" s="238" t="s">
        <v>45</v>
      </c>
      <c r="C269" s="672"/>
      <c r="D269" s="672"/>
      <c r="E269" s="672"/>
      <c r="F269" s="672"/>
      <c r="G269" s="662"/>
    </row>
    <row r="270" spans="1:7" ht="13.5" thickBot="1">
      <c r="A270" s="227"/>
      <c r="B270" s="483" t="s">
        <v>383</v>
      </c>
      <c r="C270" s="554"/>
      <c r="D270" s="554"/>
      <c r="E270" s="554"/>
      <c r="F270" s="554"/>
      <c r="G270" s="662"/>
    </row>
    <row r="271" spans="1:7" ht="13.5" thickBot="1">
      <c r="A271" s="227"/>
      <c r="B271" s="239" t="s">
        <v>46</v>
      </c>
      <c r="C271" s="555"/>
      <c r="D271" s="555"/>
      <c r="E271" s="555"/>
      <c r="F271" s="555"/>
      <c r="G271" s="662"/>
    </row>
    <row r="272" spans="1:7" ht="12.75">
      <c r="A272" s="227"/>
      <c r="B272" s="479" t="s">
        <v>348</v>
      </c>
      <c r="C272" s="556"/>
      <c r="D272" s="556">
        <v>1779</v>
      </c>
      <c r="E272" s="556">
        <v>1779</v>
      </c>
      <c r="F272" s="556">
        <v>1779</v>
      </c>
      <c r="G272" s="660">
        <f t="shared" si="55"/>
        <v>1</v>
      </c>
    </row>
    <row r="273" spans="1:7" ht="13.5" thickBot="1">
      <c r="A273" s="227"/>
      <c r="B273" s="241" t="s">
        <v>376</v>
      </c>
      <c r="C273" s="547">
        <f>97578+8040+3678</f>
        <v>109296</v>
      </c>
      <c r="D273" s="547">
        <f>109296+626</f>
        <v>109922</v>
      </c>
      <c r="E273" s="547">
        <f>109922+94+174+660</f>
        <v>110850</v>
      </c>
      <c r="F273" s="547">
        <v>73948</v>
      </c>
      <c r="G273" s="683">
        <f t="shared" si="55"/>
        <v>0.6670996842580064</v>
      </c>
    </row>
    <row r="274" spans="1:7" ht="13.5" thickBot="1">
      <c r="A274" s="227"/>
      <c r="B274" s="242" t="s">
        <v>39</v>
      </c>
      <c r="C274" s="555">
        <f aca="true" t="shared" si="66" ref="C274:D274">SUM(C272:C273)</f>
        <v>109296</v>
      </c>
      <c r="D274" s="555">
        <f t="shared" si="66"/>
        <v>111701</v>
      </c>
      <c r="E274" s="555">
        <f aca="true" t="shared" si="67" ref="E274:F274">SUM(E272:E273)</f>
        <v>112629</v>
      </c>
      <c r="F274" s="555">
        <f t="shared" si="67"/>
        <v>75727</v>
      </c>
      <c r="G274" s="699">
        <f t="shared" si="55"/>
        <v>0.6723579184757034</v>
      </c>
    </row>
    <row r="275" spans="1:7" ht="13.5" thickBot="1">
      <c r="A275" s="227"/>
      <c r="B275" s="201" t="s">
        <v>348</v>
      </c>
      <c r="C275" s="554"/>
      <c r="D275" s="554">
        <v>761</v>
      </c>
      <c r="E275" s="554">
        <v>761</v>
      </c>
      <c r="F275" s="554">
        <v>761</v>
      </c>
      <c r="G275" s="662">
        <f t="shared" si="55"/>
        <v>1</v>
      </c>
    </row>
    <row r="276" spans="1:7" ht="13.5" thickBot="1">
      <c r="A276" s="227"/>
      <c r="B276" s="242" t="s">
        <v>41</v>
      </c>
      <c r="C276" s="555"/>
      <c r="D276" s="555">
        <f>SUM(D275)</f>
        <v>761</v>
      </c>
      <c r="E276" s="555">
        <f>SUM(E275)</f>
        <v>761</v>
      </c>
      <c r="F276" s="555">
        <f>SUM(F275)</f>
        <v>761</v>
      </c>
      <c r="G276" s="699">
        <f t="shared" si="55"/>
        <v>1</v>
      </c>
    </row>
    <row r="277" spans="1:7" ht="15.75" thickBot="1">
      <c r="A277" s="227"/>
      <c r="B277" s="244" t="s">
        <v>50</v>
      </c>
      <c r="C277" s="548">
        <f aca="true" t="shared" si="68" ref="C277:D277">SUM(C269+C271+C274+C276)</f>
        <v>109296</v>
      </c>
      <c r="D277" s="548">
        <f t="shared" si="68"/>
        <v>112462</v>
      </c>
      <c r="E277" s="548">
        <f aca="true" t="shared" si="69" ref="E277:F277">SUM(E269+E271+E274+E276)</f>
        <v>113390</v>
      </c>
      <c r="F277" s="548">
        <f t="shared" si="69"/>
        <v>76488</v>
      </c>
      <c r="G277" s="699">
        <f t="shared" si="55"/>
        <v>0.6745568392274451</v>
      </c>
    </row>
    <row r="278" spans="1:7" ht="12.75">
      <c r="A278" s="227"/>
      <c r="B278" s="245" t="s">
        <v>271</v>
      </c>
      <c r="C278" s="546">
        <f>83528+7115+3255</f>
        <v>93898</v>
      </c>
      <c r="D278" s="546">
        <f>93898+435</f>
        <v>94333</v>
      </c>
      <c r="E278" s="546">
        <f>94333+83+154</f>
        <v>94570</v>
      </c>
      <c r="F278" s="546">
        <v>64689</v>
      </c>
      <c r="G278" s="660">
        <f t="shared" si="55"/>
        <v>0.6840329914349159</v>
      </c>
    </row>
    <row r="279" spans="1:7" ht="12.75">
      <c r="A279" s="227"/>
      <c r="B279" s="245" t="s">
        <v>272</v>
      </c>
      <c r="C279" s="546">
        <f>11296+925+423</f>
        <v>12644</v>
      </c>
      <c r="D279" s="546">
        <f>12644+177</f>
        <v>12821</v>
      </c>
      <c r="E279" s="546">
        <f>12821+11+20</f>
        <v>12852</v>
      </c>
      <c r="F279" s="546">
        <v>7855</v>
      </c>
      <c r="G279" s="660">
        <f t="shared" si="55"/>
        <v>0.6111889200124494</v>
      </c>
    </row>
    <row r="280" spans="1:7" ht="12.75">
      <c r="A280" s="227"/>
      <c r="B280" s="245" t="s">
        <v>273</v>
      </c>
      <c r="C280" s="546">
        <v>2500</v>
      </c>
      <c r="D280" s="546">
        <f>2500+1167</f>
        <v>3667</v>
      </c>
      <c r="E280" s="546">
        <f>2500+1167+560</f>
        <v>4227</v>
      </c>
      <c r="F280" s="546">
        <v>2434</v>
      </c>
      <c r="G280" s="660">
        <f t="shared" si="55"/>
        <v>0.5758220960492074</v>
      </c>
    </row>
    <row r="281" spans="1:7" ht="12.75">
      <c r="A281" s="227"/>
      <c r="B281" s="246" t="s">
        <v>275</v>
      </c>
      <c r="C281" s="546"/>
      <c r="D281" s="546"/>
      <c r="E281" s="546"/>
      <c r="F281" s="546"/>
      <c r="G281" s="660"/>
    </row>
    <row r="282" spans="1:7" ht="13.5" thickBot="1">
      <c r="A282" s="227"/>
      <c r="B282" s="247" t="s">
        <v>274</v>
      </c>
      <c r="C282" s="546"/>
      <c r="D282" s="546"/>
      <c r="E282" s="546"/>
      <c r="F282" s="546"/>
      <c r="G282" s="683"/>
    </row>
    <row r="283" spans="1:7" ht="13.5" thickBot="1">
      <c r="A283" s="227"/>
      <c r="B283" s="248" t="s">
        <v>38</v>
      </c>
      <c r="C283" s="548">
        <f aca="true" t="shared" si="70" ref="C283:D283">SUM(C278:C282)</f>
        <v>109042</v>
      </c>
      <c r="D283" s="548">
        <f t="shared" si="70"/>
        <v>110821</v>
      </c>
      <c r="E283" s="548">
        <f aca="true" t="shared" si="71" ref="E283:F283">SUM(E278:E282)</f>
        <v>111649</v>
      </c>
      <c r="F283" s="548">
        <f t="shared" si="71"/>
        <v>74978</v>
      </c>
      <c r="G283" s="699">
        <f t="shared" si="55"/>
        <v>0.6715510215048948</v>
      </c>
    </row>
    <row r="284" spans="1:7" ht="12.75">
      <c r="A284" s="227"/>
      <c r="B284" s="245" t="s">
        <v>544</v>
      </c>
      <c r="C284" s="546">
        <v>254</v>
      </c>
      <c r="D284" s="546">
        <f>254+761+626</f>
        <v>1641</v>
      </c>
      <c r="E284" s="546">
        <f>254+761+626+100</f>
        <v>1741</v>
      </c>
      <c r="F284" s="546">
        <v>1480</v>
      </c>
      <c r="G284" s="660">
        <f aca="true" t="shared" si="72" ref="G284:G347">F284/E284</f>
        <v>0.8500861573808156</v>
      </c>
    </row>
    <row r="285" spans="1:7" ht="12.75">
      <c r="A285" s="227"/>
      <c r="B285" s="245" t="s">
        <v>205</v>
      </c>
      <c r="C285" s="546"/>
      <c r="D285" s="546"/>
      <c r="E285" s="546"/>
      <c r="F285" s="546"/>
      <c r="G285" s="660"/>
    </row>
    <row r="286" spans="1:7" ht="13.5" thickBot="1">
      <c r="A286" s="227"/>
      <c r="B286" s="247" t="s">
        <v>357</v>
      </c>
      <c r="C286" s="546"/>
      <c r="D286" s="546"/>
      <c r="E286" s="546"/>
      <c r="F286" s="546"/>
      <c r="G286" s="683"/>
    </row>
    <row r="287" spans="1:7" ht="13.5" thickBot="1">
      <c r="A287" s="227"/>
      <c r="B287" s="249" t="s">
        <v>44</v>
      </c>
      <c r="C287" s="548">
        <f aca="true" t="shared" si="73" ref="C287:D287">SUM(C284:C286)</f>
        <v>254</v>
      </c>
      <c r="D287" s="548">
        <f t="shared" si="73"/>
        <v>1641</v>
      </c>
      <c r="E287" s="548">
        <f aca="true" t="shared" si="74" ref="E287:F287">SUM(E284:E286)</f>
        <v>1741</v>
      </c>
      <c r="F287" s="548">
        <f t="shared" si="74"/>
        <v>1480</v>
      </c>
      <c r="G287" s="699">
        <f t="shared" si="72"/>
        <v>0.8500861573808156</v>
      </c>
    </row>
    <row r="288" spans="1:7" ht="15.75" thickBot="1">
      <c r="A288" s="224"/>
      <c r="B288" s="250" t="s">
        <v>84</v>
      </c>
      <c r="C288" s="553">
        <f aca="true" t="shared" si="75" ref="C288:D288">SUM(C283+C287)</f>
        <v>109296</v>
      </c>
      <c r="D288" s="553">
        <f t="shared" si="75"/>
        <v>112462</v>
      </c>
      <c r="E288" s="553">
        <f aca="true" t="shared" si="76" ref="E288:F288">SUM(E283+E287)</f>
        <v>113390</v>
      </c>
      <c r="F288" s="553">
        <f t="shared" si="76"/>
        <v>76458</v>
      </c>
      <c r="G288" s="908">
        <f t="shared" si="72"/>
        <v>0.6742922656318899</v>
      </c>
    </row>
    <row r="289" spans="1:7" ht="15">
      <c r="A289" s="181">
        <v>2360</v>
      </c>
      <c r="B289" s="252" t="s">
        <v>282</v>
      </c>
      <c r="C289" s="546"/>
      <c r="D289" s="546"/>
      <c r="E289" s="546"/>
      <c r="F289" s="546"/>
      <c r="G289" s="660"/>
    </row>
    <row r="290" spans="1:7" ht="12.75" customHeight="1">
      <c r="A290" s="227"/>
      <c r="B290" s="228" t="s">
        <v>148</v>
      </c>
      <c r="C290" s="549"/>
      <c r="D290" s="549"/>
      <c r="E290" s="549"/>
      <c r="F290" s="549"/>
      <c r="G290" s="660"/>
    </row>
    <row r="291" spans="1:7" ht="13.5" thickBot="1">
      <c r="A291" s="227"/>
      <c r="B291" s="229" t="s">
        <v>149</v>
      </c>
      <c r="C291" s="550"/>
      <c r="D291" s="550"/>
      <c r="E291" s="550"/>
      <c r="F291" s="550"/>
      <c r="G291" s="683"/>
    </row>
    <row r="292" spans="1:7" ht="13.5" thickBot="1">
      <c r="A292" s="227"/>
      <c r="B292" s="230" t="s">
        <v>160</v>
      </c>
      <c r="C292" s="551"/>
      <c r="D292" s="551"/>
      <c r="E292" s="551"/>
      <c r="F292" s="551"/>
      <c r="G292" s="662"/>
    </row>
    <row r="293" spans="1:7" ht="12.75">
      <c r="A293" s="227"/>
      <c r="B293" s="228" t="s">
        <v>151</v>
      </c>
      <c r="C293" s="546"/>
      <c r="D293" s="546"/>
      <c r="E293" s="546"/>
      <c r="F293" s="546"/>
      <c r="G293" s="660"/>
    </row>
    <row r="294" spans="1:7" ht="12.75">
      <c r="A294" s="227"/>
      <c r="B294" s="232" t="s">
        <v>152</v>
      </c>
      <c r="C294" s="552"/>
      <c r="D294" s="552"/>
      <c r="E294" s="552"/>
      <c r="F294" s="552"/>
      <c r="G294" s="660"/>
    </row>
    <row r="295" spans="1:7" ht="12.75">
      <c r="A295" s="227"/>
      <c r="B295" s="232" t="s">
        <v>153</v>
      </c>
      <c r="C295" s="552"/>
      <c r="D295" s="552"/>
      <c r="E295" s="552"/>
      <c r="F295" s="552"/>
      <c r="G295" s="660"/>
    </row>
    <row r="296" spans="1:7" ht="12.75">
      <c r="A296" s="227"/>
      <c r="B296" s="233" t="s">
        <v>154</v>
      </c>
      <c r="C296" s="546"/>
      <c r="D296" s="546"/>
      <c r="E296" s="546"/>
      <c r="F296" s="546"/>
      <c r="G296" s="660"/>
    </row>
    <row r="297" spans="1:7" ht="12.75">
      <c r="A297" s="227"/>
      <c r="B297" s="233" t="s">
        <v>155</v>
      </c>
      <c r="C297" s="546"/>
      <c r="D297" s="546"/>
      <c r="E297" s="546"/>
      <c r="F297" s="546"/>
      <c r="G297" s="660"/>
    </row>
    <row r="298" spans="1:7" ht="12.75">
      <c r="A298" s="227"/>
      <c r="B298" s="233" t="s">
        <v>156</v>
      </c>
      <c r="C298" s="546"/>
      <c r="D298" s="546"/>
      <c r="E298" s="546"/>
      <c r="F298" s="546"/>
      <c r="G298" s="660"/>
    </row>
    <row r="299" spans="1:7" s="930" customFormat="1" ht="12.75">
      <c r="A299" s="227"/>
      <c r="B299" s="233" t="s">
        <v>294</v>
      </c>
      <c r="C299" s="546"/>
      <c r="D299" s="546"/>
      <c r="E299" s="546"/>
      <c r="F299" s="546"/>
      <c r="G299" s="660"/>
    </row>
    <row r="300" spans="1:7" ht="12.75">
      <c r="A300" s="227"/>
      <c r="B300" s="234" t="s">
        <v>372</v>
      </c>
      <c r="C300" s="546"/>
      <c r="D300" s="546"/>
      <c r="E300" s="546"/>
      <c r="F300" s="546"/>
      <c r="G300" s="660"/>
    </row>
    <row r="301" spans="1:7" ht="13.5" thickBot="1">
      <c r="A301" s="227"/>
      <c r="B301" s="235" t="s">
        <v>157</v>
      </c>
      <c r="C301" s="547"/>
      <c r="D301" s="547"/>
      <c r="E301" s="547"/>
      <c r="F301" s="547"/>
      <c r="G301" s="683"/>
    </row>
    <row r="302" spans="1:7" ht="13.5" thickBot="1">
      <c r="A302" s="227"/>
      <c r="B302" s="236" t="s">
        <v>290</v>
      </c>
      <c r="C302" s="553"/>
      <c r="D302" s="553"/>
      <c r="E302" s="553"/>
      <c r="F302" s="553"/>
      <c r="G302" s="662"/>
    </row>
    <row r="303" spans="1:7" ht="13.5" thickBot="1">
      <c r="A303" s="227"/>
      <c r="B303" s="881" t="s">
        <v>184</v>
      </c>
      <c r="C303" s="553"/>
      <c r="D303" s="553"/>
      <c r="E303" s="553"/>
      <c r="F303" s="553"/>
      <c r="G303" s="662"/>
    </row>
    <row r="304" spans="1:7" ht="13.5" thickBot="1">
      <c r="A304" s="227"/>
      <c r="B304" s="238" t="s">
        <v>45</v>
      </c>
      <c r="C304" s="672"/>
      <c r="D304" s="672"/>
      <c r="E304" s="672"/>
      <c r="F304" s="672"/>
      <c r="G304" s="662"/>
    </row>
    <row r="305" spans="1:7" ht="13.5" thickBot="1">
      <c r="A305" s="227"/>
      <c r="B305" s="483" t="s">
        <v>383</v>
      </c>
      <c r="C305" s="554"/>
      <c r="D305" s="554"/>
      <c r="E305" s="554"/>
      <c r="F305" s="554"/>
      <c r="G305" s="662"/>
    </row>
    <row r="306" spans="1:7" ht="13.5" thickBot="1">
      <c r="A306" s="227"/>
      <c r="B306" s="239" t="s">
        <v>46</v>
      </c>
      <c r="C306" s="555"/>
      <c r="D306" s="555"/>
      <c r="E306" s="555"/>
      <c r="F306" s="555"/>
      <c r="G306" s="662"/>
    </row>
    <row r="307" spans="1:7" ht="12.75">
      <c r="A307" s="227"/>
      <c r="B307" s="479" t="s">
        <v>348</v>
      </c>
      <c r="C307" s="556"/>
      <c r="D307" s="556">
        <v>950</v>
      </c>
      <c r="E307" s="556">
        <v>950</v>
      </c>
      <c r="F307" s="556">
        <v>950</v>
      </c>
      <c r="G307" s="660">
        <f t="shared" si="72"/>
        <v>1</v>
      </c>
    </row>
    <row r="308" spans="1:7" ht="13.5" thickBot="1">
      <c r="A308" s="227"/>
      <c r="B308" s="241" t="s">
        <v>376</v>
      </c>
      <c r="C308" s="547">
        <f>91179+9796+3251</f>
        <v>104226</v>
      </c>
      <c r="D308" s="547">
        <f>104226+479</f>
        <v>104705</v>
      </c>
      <c r="E308" s="547">
        <f>104705+556+660</f>
        <v>105921</v>
      </c>
      <c r="F308" s="547">
        <v>68716</v>
      </c>
      <c r="G308" s="683">
        <f t="shared" si="72"/>
        <v>0.6487476515516281</v>
      </c>
    </row>
    <row r="309" spans="1:7" ht="13.5" thickBot="1">
      <c r="A309" s="227"/>
      <c r="B309" s="242" t="s">
        <v>39</v>
      </c>
      <c r="C309" s="555">
        <f aca="true" t="shared" si="77" ref="C309:D309">SUM(C307:C308)</f>
        <v>104226</v>
      </c>
      <c r="D309" s="555">
        <f t="shared" si="77"/>
        <v>105655</v>
      </c>
      <c r="E309" s="555">
        <f aca="true" t="shared" si="78" ref="E309:F309">SUM(E307:E308)</f>
        <v>106871</v>
      </c>
      <c r="F309" s="555">
        <f t="shared" si="78"/>
        <v>69666</v>
      </c>
      <c r="G309" s="699">
        <f t="shared" si="72"/>
        <v>0.6518700115092027</v>
      </c>
    </row>
    <row r="310" spans="1:7" ht="13.5" thickBot="1">
      <c r="A310" s="227"/>
      <c r="B310" s="201" t="s">
        <v>348</v>
      </c>
      <c r="C310" s="554"/>
      <c r="D310" s="554"/>
      <c r="E310" s="554"/>
      <c r="F310" s="554"/>
      <c r="G310" s="662"/>
    </row>
    <row r="311" spans="1:7" ht="13.5" thickBot="1">
      <c r="A311" s="227"/>
      <c r="B311" s="242" t="s">
        <v>41</v>
      </c>
      <c r="C311" s="555"/>
      <c r="D311" s="555"/>
      <c r="E311" s="555"/>
      <c r="F311" s="555"/>
      <c r="G311" s="662"/>
    </row>
    <row r="312" spans="1:7" ht="15.75" thickBot="1">
      <c r="A312" s="227"/>
      <c r="B312" s="244" t="s">
        <v>50</v>
      </c>
      <c r="C312" s="548">
        <f aca="true" t="shared" si="79" ref="C312:D312">SUM(C304+C306+C309+C311)</f>
        <v>104226</v>
      </c>
      <c r="D312" s="548">
        <f t="shared" si="79"/>
        <v>105655</v>
      </c>
      <c r="E312" s="548">
        <f>SUM(E304+E306+E309+E311)</f>
        <v>106871</v>
      </c>
      <c r="F312" s="548">
        <f aca="true" t="shared" si="80" ref="F312">SUM(F304+F306+F309+F311)</f>
        <v>69666</v>
      </c>
      <c r="G312" s="699">
        <f t="shared" si="72"/>
        <v>0.6518700115092027</v>
      </c>
    </row>
    <row r="313" spans="1:7" ht="12.75">
      <c r="A313" s="227"/>
      <c r="B313" s="245" t="s">
        <v>271</v>
      </c>
      <c r="C313" s="546">
        <f>78066+8557+2877</f>
        <v>89500</v>
      </c>
      <c r="D313" s="546">
        <f>89500+235</f>
        <v>89735</v>
      </c>
      <c r="E313" s="546">
        <f>89735+492</f>
        <v>90227</v>
      </c>
      <c r="F313" s="546">
        <v>59280</v>
      </c>
      <c r="G313" s="660">
        <f t="shared" si="72"/>
        <v>0.6570095425981136</v>
      </c>
    </row>
    <row r="314" spans="1:7" ht="12.75">
      <c r="A314" s="227"/>
      <c r="B314" s="245" t="s">
        <v>272</v>
      </c>
      <c r="C314" s="546">
        <f>10459+1239+374</f>
        <v>12072</v>
      </c>
      <c r="D314" s="546">
        <f>12072+106</f>
        <v>12178</v>
      </c>
      <c r="E314" s="546">
        <f>12178+64</f>
        <v>12242</v>
      </c>
      <c r="F314" s="546">
        <v>7967</v>
      </c>
      <c r="G314" s="660">
        <f t="shared" si="72"/>
        <v>0.6507923541904918</v>
      </c>
    </row>
    <row r="315" spans="1:7" ht="12.75">
      <c r="A315" s="227"/>
      <c r="B315" s="245" t="s">
        <v>273</v>
      </c>
      <c r="C315" s="546">
        <v>2400</v>
      </c>
      <c r="D315" s="546">
        <f>2400+609+379</f>
        <v>3388</v>
      </c>
      <c r="E315" s="546">
        <f>2400+609+379+360</f>
        <v>3748</v>
      </c>
      <c r="F315" s="546">
        <v>2242</v>
      </c>
      <c r="G315" s="660">
        <f t="shared" si="72"/>
        <v>0.5981856990394877</v>
      </c>
    </row>
    <row r="316" spans="1:7" ht="12.75">
      <c r="A316" s="227"/>
      <c r="B316" s="246" t="s">
        <v>275</v>
      </c>
      <c r="C316" s="546"/>
      <c r="D316" s="546"/>
      <c r="E316" s="546"/>
      <c r="F316" s="546"/>
      <c r="G316" s="660"/>
    </row>
    <row r="317" spans="1:7" ht="13.5" thickBot="1">
      <c r="A317" s="227"/>
      <c r="B317" s="247" t="s">
        <v>274</v>
      </c>
      <c r="C317" s="546"/>
      <c r="D317" s="546"/>
      <c r="E317" s="546"/>
      <c r="F317" s="546"/>
      <c r="G317" s="683"/>
    </row>
    <row r="318" spans="1:7" ht="13.5" thickBot="1">
      <c r="A318" s="227"/>
      <c r="B318" s="248" t="s">
        <v>38</v>
      </c>
      <c r="C318" s="548">
        <f aca="true" t="shared" si="81" ref="C318:D318">SUM(C313:C317)</f>
        <v>103972</v>
      </c>
      <c r="D318" s="548">
        <f t="shared" si="81"/>
        <v>105301</v>
      </c>
      <c r="E318" s="548">
        <f aca="true" t="shared" si="82" ref="E318:F318">SUM(E313:E317)</f>
        <v>106217</v>
      </c>
      <c r="F318" s="548">
        <f t="shared" si="82"/>
        <v>69489</v>
      </c>
      <c r="G318" s="699">
        <f t="shared" si="72"/>
        <v>0.654217309846823</v>
      </c>
    </row>
    <row r="319" spans="1:7" ht="12.75">
      <c r="A319" s="227"/>
      <c r="B319" s="245" t="s">
        <v>544</v>
      </c>
      <c r="C319" s="546">
        <v>254</v>
      </c>
      <c r="D319" s="546">
        <f>254+100</f>
        <v>354</v>
      </c>
      <c r="E319" s="546">
        <f>254+100+300</f>
        <v>654</v>
      </c>
      <c r="F319" s="546">
        <v>147</v>
      </c>
      <c r="G319" s="660">
        <f t="shared" si="72"/>
        <v>0.22477064220183487</v>
      </c>
    </row>
    <row r="320" spans="1:7" ht="12.75">
      <c r="A320" s="227"/>
      <c r="B320" s="245" t="s">
        <v>205</v>
      </c>
      <c r="C320" s="546"/>
      <c r="D320" s="546"/>
      <c r="E320" s="546"/>
      <c r="F320" s="546"/>
      <c r="G320" s="660"/>
    </row>
    <row r="321" spans="1:7" ht="13.5" thickBot="1">
      <c r="A321" s="227"/>
      <c r="B321" s="247" t="s">
        <v>357</v>
      </c>
      <c r="C321" s="546"/>
      <c r="D321" s="546"/>
      <c r="E321" s="546"/>
      <c r="F321" s="546"/>
      <c r="G321" s="683"/>
    </row>
    <row r="322" spans="1:7" ht="13.5" thickBot="1">
      <c r="A322" s="227"/>
      <c r="B322" s="249" t="s">
        <v>44</v>
      </c>
      <c r="C322" s="548">
        <f aca="true" t="shared" si="83" ref="C322:D322">SUM(C319:C321)</f>
        <v>254</v>
      </c>
      <c r="D322" s="548">
        <f t="shared" si="83"/>
        <v>354</v>
      </c>
      <c r="E322" s="548">
        <f aca="true" t="shared" si="84" ref="E322:F322">SUM(E319:E321)</f>
        <v>654</v>
      </c>
      <c r="F322" s="548">
        <f t="shared" si="84"/>
        <v>147</v>
      </c>
      <c r="G322" s="699">
        <f t="shared" si="72"/>
        <v>0.22477064220183487</v>
      </c>
    </row>
    <row r="323" spans="1:7" ht="15.75" thickBot="1">
      <c r="A323" s="224"/>
      <c r="B323" s="250" t="s">
        <v>84</v>
      </c>
      <c r="C323" s="548">
        <f aca="true" t="shared" si="85" ref="C323:D323">SUM(C318+C322)</f>
        <v>104226</v>
      </c>
      <c r="D323" s="548">
        <f t="shared" si="85"/>
        <v>105655</v>
      </c>
      <c r="E323" s="553">
        <f aca="true" t="shared" si="86" ref="E323:F323">SUM(E318+E322)</f>
        <v>106871</v>
      </c>
      <c r="F323" s="553">
        <f t="shared" si="86"/>
        <v>69636</v>
      </c>
      <c r="G323" s="908">
        <f t="shared" si="72"/>
        <v>0.6515892992486269</v>
      </c>
    </row>
    <row r="324" spans="1:7" ht="15">
      <c r="A324" s="252">
        <v>2499</v>
      </c>
      <c r="B324" s="184" t="s">
        <v>283</v>
      </c>
      <c r="C324" s="559"/>
      <c r="D324" s="559"/>
      <c r="E324" s="559"/>
      <c r="F324" s="559"/>
      <c r="G324" s="660"/>
    </row>
    <row r="325" spans="1:7" ht="12.75" customHeight="1">
      <c r="A325" s="252"/>
      <c r="B325" s="228" t="s">
        <v>148</v>
      </c>
      <c r="C325" s="549"/>
      <c r="D325" s="549"/>
      <c r="E325" s="1052">
        <f aca="true" t="shared" si="87" ref="E325:F327">E10+E45+E80+E115+E150+E185+E220+E255+E290</f>
        <v>0</v>
      </c>
      <c r="F325" s="1051">
        <f>F10+F45+F80+F115+F150+F185+F220+F255+F290</f>
        <v>0</v>
      </c>
      <c r="G325" s="660"/>
    </row>
    <row r="326" spans="1:7" ht="12.75" customHeight="1" thickBot="1">
      <c r="A326" s="252"/>
      <c r="B326" s="229" t="s">
        <v>149</v>
      </c>
      <c r="C326" s="1053"/>
      <c r="D326" s="1053"/>
      <c r="E326" s="1053">
        <f t="shared" si="87"/>
        <v>0</v>
      </c>
      <c r="F326" s="1053">
        <f t="shared" si="87"/>
        <v>0</v>
      </c>
      <c r="G326" s="683"/>
    </row>
    <row r="327" spans="1:7" ht="12.75" customHeight="1" thickBot="1">
      <c r="A327" s="252"/>
      <c r="B327" s="230" t="s">
        <v>160</v>
      </c>
      <c r="C327" s="1054"/>
      <c r="D327" s="1054"/>
      <c r="E327" s="1054">
        <f t="shared" si="87"/>
        <v>0</v>
      </c>
      <c r="F327" s="1054">
        <f t="shared" si="87"/>
        <v>0</v>
      </c>
      <c r="G327" s="662"/>
    </row>
    <row r="328" spans="1:7" ht="12.75" customHeight="1">
      <c r="A328" s="252"/>
      <c r="B328" s="228" t="s">
        <v>151</v>
      </c>
      <c r="C328" s="1050"/>
      <c r="D328" s="1050"/>
      <c r="E328" s="1050">
        <f aca="true" t="shared" si="88" ref="E328:E346">E13+E48+E83+E118+E153+E188+E223+E258+E293</f>
        <v>0</v>
      </c>
      <c r="F328" s="1050">
        <f aca="true" t="shared" si="89" ref="F328">F13+F48+F83+F118+F153+F188+F223+F258+F293</f>
        <v>0</v>
      </c>
      <c r="G328" s="660"/>
    </row>
    <row r="329" spans="1:7" ht="12.75" customHeight="1">
      <c r="A329" s="252"/>
      <c r="B329" s="232" t="s">
        <v>152</v>
      </c>
      <c r="C329" s="922"/>
      <c r="D329" s="922"/>
      <c r="E329" s="922">
        <f t="shared" si="88"/>
        <v>0</v>
      </c>
      <c r="F329" s="922">
        <f aca="true" t="shared" si="90" ref="F329">F14+F49+F84+F119+F154+F189+F224+F259+F294</f>
        <v>0</v>
      </c>
      <c r="G329" s="660"/>
    </row>
    <row r="330" spans="1:7" ht="12.75" customHeight="1">
      <c r="A330" s="252"/>
      <c r="B330" s="232" t="s">
        <v>153</v>
      </c>
      <c r="C330" s="922"/>
      <c r="D330" s="922"/>
      <c r="E330" s="922">
        <f t="shared" si="88"/>
        <v>0</v>
      </c>
      <c r="F330" s="922">
        <f aca="true" t="shared" si="91" ref="F330">F15+F50+F85+F120+F155+F190+F225+F260+F295</f>
        <v>0</v>
      </c>
      <c r="G330" s="660"/>
    </row>
    <row r="331" spans="1:7" ht="12.75" customHeight="1">
      <c r="A331" s="252"/>
      <c r="B331" s="233" t="s">
        <v>154</v>
      </c>
      <c r="C331" s="1050"/>
      <c r="D331" s="1050"/>
      <c r="E331" s="1050">
        <f t="shared" si="88"/>
        <v>0</v>
      </c>
      <c r="F331" s="1050">
        <f aca="true" t="shared" si="92" ref="F331">F16+F51+F86+F121+F156+F191+F226+F261+F296</f>
        <v>0</v>
      </c>
      <c r="G331" s="660"/>
    </row>
    <row r="332" spans="1:7" ht="12.75" customHeight="1">
      <c r="A332" s="252"/>
      <c r="B332" s="233" t="s">
        <v>155</v>
      </c>
      <c r="C332" s="1050"/>
      <c r="D332" s="1050"/>
      <c r="E332" s="1050">
        <f t="shared" si="88"/>
        <v>0</v>
      </c>
      <c r="F332" s="1050">
        <f aca="true" t="shared" si="93" ref="F332">F17+F52+F87+F122+F157+F192+F227+F262+F297</f>
        <v>0</v>
      </c>
      <c r="G332" s="660"/>
    </row>
    <row r="333" spans="1:7" ht="13.5" customHeight="1">
      <c r="A333" s="252"/>
      <c r="B333" s="233" t="s">
        <v>156</v>
      </c>
      <c r="C333" s="1050"/>
      <c r="D333" s="1050"/>
      <c r="E333" s="1050">
        <f t="shared" si="88"/>
        <v>0</v>
      </c>
      <c r="F333" s="1050">
        <f aca="true" t="shared" si="94" ref="F333">F18+F53+F88+F123+F158+F193+F228+F263+F298</f>
        <v>0</v>
      </c>
      <c r="G333" s="660"/>
    </row>
    <row r="334" spans="1:7" ht="12.75" customHeight="1">
      <c r="A334" s="252"/>
      <c r="B334" s="233" t="s">
        <v>294</v>
      </c>
      <c r="C334" s="1050"/>
      <c r="D334" s="1050"/>
      <c r="E334" s="1050">
        <f t="shared" si="88"/>
        <v>0</v>
      </c>
      <c r="F334" s="1050">
        <f aca="true" t="shared" si="95" ref="F334">F19+F54+F89+F124+F159+F194+F229+F264+F299</f>
        <v>0</v>
      </c>
      <c r="G334" s="660"/>
    </row>
    <row r="335" spans="1:7" ht="12.75" customHeight="1">
      <c r="A335" s="252"/>
      <c r="B335" s="234" t="s">
        <v>372</v>
      </c>
      <c r="C335" s="1050"/>
      <c r="D335" s="1050"/>
      <c r="E335" s="1050">
        <f t="shared" si="88"/>
        <v>0</v>
      </c>
      <c r="F335" s="1050">
        <f aca="true" t="shared" si="96" ref="F335">F20+F55+F90+F125+F160+F195+F230+F265+F300</f>
        <v>0</v>
      </c>
      <c r="G335" s="660"/>
    </row>
    <row r="336" spans="1:7" ht="12.75" customHeight="1" thickBot="1">
      <c r="A336" s="252"/>
      <c r="B336" s="235" t="s">
        <v>157</v>
      </c>
      <c r="C336" s="1050"/>
      <c r="D336" s="1050"/>
      <c r="E336" s="1050">
        <f t="shared" si="88"/>
        <v>0</v>
      </c>
      <c r="F336" s="1050">
        <f>F21+F56+F91+F126+F161+F196+F231+F266+F301</f>
        <v>52</v>
      </c>
      <c r="G336" s="683">
        <v>1</v>
      </c>
    </row>
    <row r="337" spans="1:7" ht="12.75" customHeight="1" thickBot="1">
      <c r="A337" s="252"/>
      <c r="B337" s="236" t="s">
        <v>290</v>
      </c>
      <c r="C337" s="1055"/>
      <c r="D337" s="1055"/>
      <c r="E337" s="1055">
        <f>E22+E57+E92+E127+E162+E197+E232+E267+E302</f>
        <v>0</v>
      </c>
      <c r="F337" s="1055">
        <f aca="true" t="shared" si="97" ref="F337">F22+F57+F92+F127+F162+F197+F232+F267+F302</f>
        <v>52</v>
      </c>
      <c r="G337" s="662">
        <v>1</v>
      </c>
    </row>
    <row r="338" spans="1:7" ht="12.75" customHeight="1" thickBot="1">
      <c r="A338" s="252"/>
      <c r="B338" s="881" t="s">
        <v>184</v>
      </c>
      <c r="C338" s="1055"/>
      <c r="D338" s="1055"/>
      <c r="E338" s="1055">
        <f t="shared" si="88"/>
        <v>0</v>
      </c>
      <c r="F338" s="1055">
        <f aca="true" t="shared" si="98" ref="F338">F23+F58+F93+F128+F163+F198+F233+F268+F303</f>
        <v>0</v>
      </c>
      <c r="G338" s="662"/>
    </row>
    <row r="339" spans="1:7" ht="12.75" customHeight="1" thickBot="1">
      <c r="A339" s="252"/>
      <c r="B339" s="238" t="s">
        <v>45</v>
      </c>
      <c r="C339" s="1056"/>
      <c r="D339" s="1056"/>
      <c r="E339" s="1056">
        <f t="shared" si="88"/>
        <v>0</v>
      </c>
      <c r="F339" s="1056">
        <f aca="true" t="shared" si="99" ref="F339">F24+F59+F94+F129+F164+F199+F234+F269+F304</f>
        <v>52</v>
      </c>
      <c r="G339" s="662">
        <v>1</v>
      </c>
    </row>
    <row r="340" spans="1:7" ht="12.75" customHeight="1" thickBot="1">
      <c r="A340" s="252"/>
      <c r="B340" s="483" t="s">
        <v>383</v>
      </c>
      <c r="C340" s="1057"/>
      <c r="D340" s="1057"/>
      <c r="E340" s="1057">
        <f t="shared" si="88"/>
        <v>0</v>
      </c>
      <c r="F340" s="1057">
        <f aca="true" t="shared" si="100" ref="F340">F25+F60+F95+F130+F165+F200+F235+F270+F305</f>
        <v>0</v>
      </c>
      <c r="G340" s="662"/>
    </row>
    <row r="341" spans="1:7" ht="12.75" customHeight="1" thickBot="1">
      <c r="A341" s="252"/>
      <c r="B341" s="239" t="s">
        <v>46</v>
      </c>
      <c r="C341" s="1058"/>
      <c r="D341" s="1058"/>
      <c r="E341" s="1059">
        <f t="shared" si="88"/>
        <v>0</v>
      </c>
      <c r="F341" s="1059">
        <f aca="true" t="shared" si="101" ref="F341">F26+F61+F96+F131+F166+F201+F236+F271+F306</f>
        <v>0</v>
      </c>
      <c r="G341" s="683"/>
    </row>
    <row r="342" spans="1:7" ht="12.75" customHeight="1">
      <c r="A342" s="252"/>
      <c r="B342" s="479" t="s">
        <v>348</v>
      </c>
      <c r="C342" s="556"/>
      <c r="D342" s="556">
        <f>D27+D62+D97+D132+D167+D202+D237+D272+D307</f>
        <v>12717</v>
      </c>
      <c r="E342" s="556">
        <f t="shared" si="88"/>
        <v>12717</v>
      </c>
      <c r="F342" s="556">
        <f aca="true" t="shared" si="102" ref="F342">F27+F62+F97+F132+F167+F202+F237+F272+F307</f>
        <v>12717</v>
      </c>
      <c r="G342" s="660">
        <f t="shared" si="72"/>
        <v>1</v>
      </c>
    </row>
    <row r="343" spans="1:7" ht="12.75" customHeight="1" thickBot="1">
      <c r="A343" s="252"/>
      <c r="B343" s="241" t="s">
        <v>376</v>
      </c>
      <c r="C343" s="547">
        <f aca="true" t="shared" si="103" ref="C343:D343">SUM(C28+C63+C98+C133+C168+C203+C238+C273+C308)</f>
        <v>1579012</v>
      </c>
      <c r="D343" s="547">
        <f t="shared" si="103"/>
        <v>1584643</v>
      </c>
      <c r="E343" s="547">
        <f t="shared" si="88"/>
        <v>1604005</v>
      </c>
      <c r="F343" s="547">
        <f aca="true" t="shared" si="104" ref="F343">F28+F63+F98+F133+F168+F203+F238+F273+F308</f>
        <v>1039642</v>
      </c>
      <c r="G343" s="683">
        <f t="shared" si="72"/>
        <v>0.6481538399194516</v>
      </c>
    </row>
    <row r="344" spans="1:7" ht="12.75" customHeight="1" thickBot="1">
      <c r="A344" s="252"/>
      <c r="B344" s="242" t="s">
        <v>39</v>
      </c>
      <c r="C344" s="555">
        <f aca="true" t="shared" si="105" ref="C344">SUM(C342:C343)</f>
        <v>1579012</v>
      </c>
      <c r="D344" s="555">
        <f>SUM(D342:D343)</f>
        <v>1597360</v>
      </c>
      <c r="E344" s="555">
        <f t="shared" si="88"/>
        <v>1616722</v>
      </c>
      <c r="F344" s="555">
        <f aca="true" t="shared" si="106" ref="F344">F29+F64+F99+F134+F169+F204+F239+F274+F309</f>
        <v>1052359</v>
      </c>
      <c r="G344" s="699">
        <f t="shared" si="72"/>
        <v>0.6509214323798402</v>
      </c>
    </row>
    <row r="345" spans="1:7" ht="12.75" customHeight="1" thickBot="1">
      <c r="A345" s="252"/>
      <c r="B345" s="201" t="s">
        <v>348</v>
      </c>
      <c r="C345" s="554"/>
      <c r="D345" s="554">
        <f>D30+D65+D100+D135+D170+D205+D240+D275+D310</f>
        <v>761</v>
      </c>
      <c r="E345" s="554">
        <f t="shared" si="88"/>
        <v>761</v>
      </c>
      <c r="F345" s="554">
        <f aca="true" t="shared" si="107" ref="F345">F30+F65+F100+F135+F170+F205+F240+F275+F310</f>
        <v>761</v>
      </c>
      <c r="G345" s="662">
        <f t="shared" si="72"/>
        <v>1</v>
      </c>
    </row>
    <row r="346" spans="1:7" ht="12.75" customHeight="1" thickBot="1">
      <c r="A346" s="252"/>
      <c r="B346" s="242" t="s">
        <v>41</v>
      </c>
      <c r="C346" s="555"/>
      <c r="D346" s="555">
        <f>SUM(D345)</f>
        <v>761</v>
      </c>
      <c r="E346" s="555">
        <f t="shared" si="88"/>
        <v>761</v>
      </c>
      <c r="F346" s="555">
        <f aca="true" t="shared" si="108" ref="F346">F31+F66+F101+F136+F171+F206+F241+F276+F311</f>
        <v>761</v>
      </c>
      <c r="G346" s="699">
        <f t="shared" si="72"/>
        <v>1</v>
      </c>
    </row>
    <row r="347" spans="1:7" ht="12.75" customHeight="1" thickBot="1">
      <c r="A347" s="252"/>
      <c r="B347" s="254" t="s">
        <v>50</v>
      </c>
      <c r="C347" s="563">
        <f aca="true" t="shared" si="109" ref="C347:D347">SUM(C339+C341+C344+C346)</f>
        <v>1579012</v>
      </c>
      <c r="D347" s="563">
        <f t="shared" si="109"/>
        <v>1598121</v>
      </c>
      <c r="E347" s="563">
        <f>E32+E67+E102+E137+E172+E207+E242+E277+E312</f>
        <v>1617483</v>
      </c>
      <c r="F347" s="563">
        <f aca="true" t="shared" si="110" ref="F347">F32+F67+F102+F137+F172+F207+F242+F277+F312</f>
        <v>1053172</v>
      </c>
      <c r="G347" s="699">
        <f t="shared" si="72"/>
        <v>0.6511178170033317</v>
      </c>
    </row>
    <row r="348" spans="1:7" ht="15">
      <c r="A348" s="252"/>
      <c r="B348" s="245" t="s">
        <v>271</v>
      </c>
      <c r="C348" s="546">
        <f>SUM(C33+C68+C103+C138+C173+C208+C243+C278+C313)</f>
        <v>1346452</v>
      </c>
      <c r="D348" s="546">
        <f>SUM(D33+D68+D103+D138+D173+D208+D243+D278+D313)</f>
        <v>1350236</v>
      </c>
      <c r="E348" s="546">
        <f>SUM(E33+E68+E103+E138+E173+E208+E243+E278+E313)</f>
        <v>1358756</v>
      </c>
      <c r="F348" s="546">
        <f>SUM(F33+F68+F103+F138+F173+F208+F243+F278+F313)</f>
        <v>890723</v>
      </c>
      <c r="G348" s="660">
        <f aca="true" t="shared" si="111" ref="G348:G411">F348/E348</f>
        <v>0.6555430114016055</v>
      </c>
    </row>
    <row r="349" spans="1:7" ht="12.75">
      <c r="A349" s="227"/>
      <c r="B349" s="245" t="s">
        <v>272</v>
      </c>
      <c r="C349" s="546">
        <f aca="true" t="shared" si="112" ref="C349:D349">SUM(C34+C69+C104+C139+C174+C209+C244+C279+C314)</f>
        <v>196786</v>
      </c>
      <c r="D349" s="546">
        <f t="shared" si="112"/>
        <v>198327</v>
      </c>
      <c r="E349" s="546">
        <f aca="true" t="shared" si="113" ref="E349:F349">SUM(E34+E69+E104+E139+E174+E209+E244+E279+E314)</f>
        <v>199434</v>
      </c>
      <c r="F349" s="546">
        <f t="shared" si="113"/>
        <v>130356</v>
      </c>
      <c r="G349" s="660">
        <f t="shared" si="111"/>
        <v>0.653629772255483</v>
      </c>
    </row>
    <row r="350" spans="1:7" ht="12.75">
      <c r="A350" s="227"/>
      <c r="B350" s="245" t="s">
        <v>273</v>
      </c>
      <c r="C350" s="546">
        <f>SUM(C35+C70+C105+C140+C175+C210+C245+C280+C315)</f>
        <v>33488</v>
      </c>
      <c r="D350" s="546">
        <f>SUM(D35+D70+D105+D140+D175+D210+D245+D280+D315)</f>
        <v>44141</v>
      </c>
      <c r="E350" s="546">
        <f>SUM(E35+E70+E105+E140+E175+E210+E245+E280+E315)</f>
        <v>51595</v>
      </c>
      <c r="F350" s="546">
        <f>SUM(F35+F70+F105+F140+F175+F210+F245+F280+F315)</f>
        <v>27348</v>
      </c>
      <c r="G350" s="660">
        <f t="shared" si="111"/>
        <v>0.5300513615660433</v>
      </c>
    </row>
    <row r="351" spans="1:7" ht="12.75">
      <c r="A351" s="227"/>
      <c r="B351" s="246" t="s">
        <v>275</v>
      </c>
      <c r="C351" s="546"/>
      <c r="D351" s="546"/>
      <c r="E351" s="546"/>
      <c r="F351" s="546"/>
      <c r="G351" s="660"/>
    </row>
    <row r="352" spans="1:7" ht="13.5" thickBot="1">
      <c r="A352" s="227"/>
      <c r="B352" s="247" t="s">
        <v>274</v>
      </c>
      <c r="C352" s="546"/>
      <c r="D352" s="546"/>
      <c r="E352" s="546">
        <f>E37+E72+E107+E142+E177+E212+E247+E286+E317</f>
        <v>11</v>
      </c>
      <c r="F352" s="546">
        <f>F37+F72+F107+F142+F177+F212+F247+F286+F317</f>
        <v>10</v>
      </c>
      <c r="G352" s="683">
        <f t="shared" si="111"/>
        <v>0.9090909090909091</v>
      </c>
    </row>
    <row r="353" spans="1:7" ht="13.5" thickBot="1">
      <c r="A353" s="227"/>
      <c r="B353" s="248" t="s">
        <v>38</v>
      </c>
      <c r="C353" s="548">
        <f aca="true" t="shared" si="114" ref="C353:D353">SUM(C348:C352)</f>
        <v>1576726</v>
      </c>
      <c r="D353" s="548">
        <f t="shared" si="114"/>
        <v>1592704</v>
      </c>
      <c r="E353" s="548">
        <f>SUM(E348:E352)</f>
        <v>1609796</v>
      </c>
      <c r="F353" s="548">
        <f>SUM(F348:F352)</f>
        <v>1048437</v>
      </c>
      <c r="G353" s="699">
        <f t="shared" si="111"/>
        <v>0.6512856287380513</v>
      </c>
    </row>
    <row r="354" spans="1:7" ht="12.75">
      <c r="A354" s="227"/>
      <c r="B354" s="245" t="s">
        <v>204</v>
      </c>
      <c r="C354" s="546">
        <f>SUM(C319+C284+C249+C214+C179+C144+C109+C74+C39)</f>
        <v>2286</v>
      </c>
      <c r="D354" s="546">
        <f>SUM(D319+D284+D249+D214+D179+D144+D109+D74+D39)</f>
        <v>5417</v>
      </c>
      <c r="E354" s="546">
        <f>SUM(E319+E284+E249+E214+E179+E144+E109+E74+E39)</f>
        <v>7687</v>
      </c>
      <c r="F354" s="546">
        <f>SUM(F319+F284+F249+F214+F179+F144+F109+F74+F39)</f>
        <v>3450</v>
      </c>
      <c r="G354" s="660">
        <f t="shared" si="111"/>
        <v>0.448809678678288</v>
      </c>
    </row>
    <row r="355" spans="1:7" ht="12.75">
      <c r="A355" s="227"/>
      <c r="B355" s="245" t="s">
        <v>205</v>
      </c>
      <c r="C355" s="546"/>
      <c r="D355" s="546"/>
      <c r="E355" s="546"/>
      <c r="F355" s="546"/>
      <c r="G355" s="660"/>
    </row>
    <row r="356" spans="1:7" ht="13.5" thickBot="1">
      <c r="A356" s="227"/>
      <c r="B356" s="247" t="s">
        <v>357</v>
      </c>
      <c r="C356" s="547"/>
      <c r="D356" s="547"/>
      <c r="E356" s="547"/>
      <c r="F356" s="547"/>
      <c r="G356" s="683"/>
    </row>
    <row r="357" spans="1:7" ht="13.5" thickBot="1">
      <c r="A357" s="227"/>
      <c r="B357" s="249" t="s">
        <v>44</v>
      </c>
      <c r="C357" s="548">
        <f aca="true" t="shared" si="115" ref="C357:D357">SUM(C354:C356)</f>
        <v>2286</v>
      </c>
      <c r="D357" s="548">
        <f t="shared" si="115"/>
        <v>5417</v>
      </c>
      <c r="E357" s="548">
        <f aca="true" t="shared" si="116" ref="E357:F357">SUM(E354:E356)</f>
        <v>7687</v>
      </c>
      <c r="F357" s="548">
        <f t="shared" si="116"/>
        <v>3450</v>
      </c>
      <c r="G357" s="699">
        <f t="shared" si="111"/>
        <v>0.448809678678288</v>
      </c>
    </row>
    <row r="358" spans="1:7" ht="15.75" thickBot="1">
      <c r="A358" s="224"/>
      <c r="B358" s="250" t="s">
        <v>84</v>
      </c>
      <c r="C358" s="548">
        <f aca="true" t="shared" si="117" ref="C358:D358">SUM(C353+C357)</f>
        <v>1579012</v>
      </c>
      <c r="D358" s="548">
        <f t="shared" si="117"/>
        <v>1598121</v>
      </c>
      <c r="E358" s="548">
        <f aca="true" t="shared" si="118" ref="E358:F358">SUM(E353+E357)</f>
        <v>1617483</v>
      </c>
      <c r="F358" s="548">
        <f t="shared" si="118"/>
        <v>1051887</v>
      </c>
      <c r="G358" s="699">
        <f t="shared" si="111"/>
        <v>0.650323372795881</v>
      </c>
    </row>
    <row r="359" spans="1:7" ht="15">
      <c r="A359" s="183">
        <v>2795</v>
      </c>
      <c r="B359" s="255" t="s">
        <v>12</v>
      </c>
      <c r="C359" s="561"/>
      <c r="D359" s="561"/>
      <c r="E359" s="561"/>
      <c r="F359" s="561"/>
      <c r="G359" s="660"/>
    </row>
    <row r="360" spans="1:7" ht="12.6" customHeight="1">
      <c r="A360" s="227"/>
      <c r="B360" s="228" t="s">
        <v>148</v>
      </c>
      <c r="C360" s="549"/>
      <c r="D360" s="549"/>
      <c r="E360" s="549"/>
      <c r="F360" s="549"/>
      <c r="G360" s="660"/>
    </row>
    <row r="361" spans="1:7" ht="13.5" thickBot="1">
      <c r="A361" s="227"/>
      <c r="B361" s="229" t="s">
        <v>149</v>
      </c>
      <c r="C361" s="547"/>
      <c r="D361" s="547"/>
      <c r="E361" s="547"/>
      <c r="F361" s="547"/>
      <c r="G361" s="683"/>
    </row>
    <row r="362" spans="1:7" ht="13.5" thickBot="1">
      <c r="A362" s="227"/>
      <c r="B362" s="230" t="s">
        <v>160</v>
      </c>
      <c r="C362" s="562"/>
      <c r="D362" s="562"/>
      <c r="E362" s="562"/>
      <c r="F362" s="562"/>
      <c r="G362" s="662"/>
    </row>
    <row r="363" spans="1:7" ht="12.75">
      <c r="A363" s="227"/>
      <c r="B363" s="228" t="s">
        <v>151</v>
      </c>
      <c r="C363" s="546">
        <f aca="true" t="shared" si="119" ref="C363:D363">SUM(C364:C365)</f>
        <v>64223</v>
      </c>
      <c r="D363" s="546">
        <f t="shared" si="119"/>
        <v>64223</v>
      </c>
      <c r="E363" s="546">
        <f aca="true" t="shared" si="120" ref="E363:F363">SUM(E364:E365)</f>
        <v>76008</v>
      </c>
      <c r="F363" s="546">
        <f t="shared" si="120"/>
        <v>84205</v>
      </c>
      <c r="G363" s="660">
        <f t="shared" si="111"/>
        <v>1.1078439111672456</v>
      </c>
    </row>
    <row r="364" spans="1:7" ht="12.75">
      <c r="A364" s="227"/>
      <c r="B364" s="232" t="s">
        <v>152</v>
      </c>
      <c r="C364" s="552"/>
      <c r="D364" s="552"/>
      <c r="E364" s="552"/>
      <c r="F364" s="552">
        <v>28269</v>
      </c>
      <c r="G364" s="660">
        <v>1</v>
      </c>
    </row>
    <row r="365" spans="1:7" ht="12.75">
      <c r="A365" s="227"/>
      <c r="B365" s="232" t="s">
        <v>153</v>
      </c>
      <c r="C365" s="552">
        <f>49223+15000</f>
        <v>64223</v>
      </c>
      <c r="D365" s="552">
        <f>49223+15000</f>
        <v>64223</v>
      </c>
      <c r="E365" s="552">
        <f>64223+10035+1750</f>
        <v>76008</v>
      </c>
      <c r="F365" s="552">
        <v>55936</v>
      </c>
      <c r="G365" s="660">
        <f t="shared" si="111"/>
        <v>0.7359225344700557</v>
      </c>
    </row>
    <row r="366" spans="1:7" ht="12.75">
      <c r="A366" s="227"/>
      <c r="B366" s="233" t="s">
        <v>154</v>
      </c>
      <c r="C366" s="546">
        <v>3836</v>
      </c>
      <c r="D366" s="546">
        <v>3836</v>
      </c>
      <c r="E366" s="546">
        <f>3836+3006</f>
        <v>6842</v>
      </c>
      <c r="F366" s="546">
        <v>11225</v>
      </c>
      <c r="G366" s="660">
        <f t="shared" si="111"/>
        <v>1.6406021631102017</v>
      </c>
    </row>
    <row r="367" spans="1:7" ht="12.75">
      <c r="A367" s="227"/>
      <c r="B367" s="233" t="s">
        <v>155</v>
      </c>
      <c r="C367" s="546">
        <v>136099</v>
      </c>
      <c r="D367" s="546">
        <v>136099</v>
      </c>
      <c r="E367" s="546">
        <f>136099</f>
        <v>136099</v>
      </c>
      <c r="F367" s="546">
        <v>93970</v>
      </c>
      <c r="G367" s="660">
        <f t="shared" si="111"/>
        <v>0.6904532729851064</v>
      </c>
    </row>
    <row r="368" spans="1:7" ht="12.75">
      <c r="A368" s="227"/>
      <c r="B368" s="233" t="s">
        <v>156</v>
      </c>
      <c r="C368" s="546">
        <f>51073+4050</f>
        <v>55123</v>
      </c>
      <c r="D368" s="546">
        <f>51073+4050</f>
        <v>55123</v>
      </c>
      <c r="E368" s="546">
        <f>55123+3181</f>
        <v>58304</v>
      </c>
      <c r="F368" s="546">
        <v>51180</v>
      </c>
      <c r="G368" s="660">
        <f t="shared" si="111"/>
        <v>0.8778128430296378</v>
      </c>
    </row>
    <row r="369" spans="1:7" ht="12.75">
      <c r="A369" s="227"/>
      <c r="B369" s="234" t="s">
        <v>372</v>
      </c>
      <c r="C369" s="546"/>
      <c r="D369" s="546"/>
      <c r="E369" s="546"/>
      <c r="F369" s="546">
        <v>3</v>
      </c>
      <c r="G369" s="660">
        <v>1</v>
      </c>
    </row>
    <row r="370" spans="1:7" ht="13.5" thickBot="1">
      <c r="A370" s="227"/>
      <c r="B370" s="235" t="s">
        <v>157</v>
      </c>
      <c r="C370" s="546"/>
      <c r="D370" s="546"/>
      <c r="E370" s="546">
        <f>325+8999</f>
        <v>9324</v>
      </c>
      <c r="F370" s="546">
        <v>11510</v>
      </c>
      <c r="G370" s="683">
        <f t="shared" si="111"/>
        <v>1.2344487344487345</v>
      </c>
    </row>
    <row r="371" spans="1:7" ht="13.5" thickBot="1">
      <c r="A371" s="227"/>
      <c r="B371" s="236" t="s">
        <v>290</v>
      </c>
      <c r="C371" s="548">
        <f aca="true" t="shared" si="121" ref="C371:D371">SUM(C363+C366+C367+C368+C370+C369)</f>
        <v>259281</v>
      </c>
      <c r="D371" s="548">
        <f t="shared" si="121"/>
        <v>259281</v>
      </c>
      <c r="E371" s="548">
        <f aca="true" t="shared" si="122" ref="E371:F371">SUM(E363+E366+E367+E368+E370+E369)</f>
        <v>286577</v>
      </c>
      <c r="F371" s="548">
        <f t="shared" si="122"/>
        <v>252093</v>
      </c>
      <c r="G371" s="699">
        <f t="shared" si="111"/>
        <v>0.8796693384326028</v>
      </c>
    </row>
    <row r="372" spans="1:7" ht="13.5" thickBot="1">
      <c r="A372" s="227"/>
      <c r="B372" s="881" t="s">
        <v>184</v>
      </c>
      <c r="C372" s="553"/>
      <c r="D372" s="553"/>
      <c r="E372" s="553"/>
      <c r="F372" s="553"/>
      <c r="G372" s="662"/>
    </row>
    <row r="373" spans="1:7" ht="13.5" thickBot="1">
      <c r="A373" s="227"/>
      <c r="B373" s="238" t="s">
        <v>45</v>
      </c>
      <c r="C373" s="681">
        <f aca="true" t="shared" si="123" ref="C373:D373">SUM(C371+C362)</f>
        <v>259281</v>
      </c>
      <c r="D373" s="681">
        <f t="shared" si="123"/>
        <v>259281</v>
      </c>
      <c r="E373" s="681">
        <f aca="true" t="shared" si="124" ref="E373:F373">SUM(E371+E362)</f>
        <v>286577</v>
      </c>
      <c r="F373" s="681">
        <f t="shared" si="124"/>
        <v>252093</v>
      </c>
      <c r="G373" s="908">
        <f t="shared" si="111"/>
        <v>0.8796693384326028</v>
      </c>
    </row>
    <row r="374" spans="1:7" ht="13.5" thickBot="1">
      <c r="A374" s="227"/>
      <c r="B374" s="483" t="s">
        <v>331</v>
      </c>
      <c r="C374" s="554"/>
      <c r="D374" s="554"/>
      <c r="E374" s="554"/>
      <c r="F374" s="554"/>
      <c r="G374" s="662"/>
    </row>
    <row r="375" spans="1:7" ht="13.5" thickBot="1">
      <c r="A375" s="227"/>
      <c r="B375" s="239" t="s">
        <v>46</v>
      </c>
      <c r="C375" s="555"/>
      <c r="D375" s="555"/>
      <c r="E375" s="555"/>
      <c r="F375" s="555"/>
      <c r="G375" s="662"/>
    </row>
    <row r="376" spans="1:7" ht="12.75">
      <c r="A376" s="227"/>
      <c r="B376" s="479" t="s">
        <v>348</v>
      </c>
      <c r="C376" s="556"/>
      <c r="D376" s="556">
        <v>4174</v>
      </c>
      <c r="E376" s="556">
        <v>4174</v>
      </c>
      <c r="F376" s="556">
        <v>4174</v>
      </c>
      <c r="G376" s="660">
        <f t="shared" si="111"/>
        <v>1</v>
      </c>
    </row>
    <row r="377" spans="1:7" s="930" customFormat="1" ht="12.75">
      <c r="A377" s="227"/>
      <c r="B377" s="118" t="s">
        <v>362</v>
      </c>
      <c r="C377" s="556"/>
      <c r="D377" s="556">
        <v>218</v>
      </c>
      <c r="E377" s="556">
        <v>218</v>
      </c>
      <c r="F377" s="556">
        <v>218</v>
      </c>
      <c r="G377" s="660">
        <f t="shared" si="111"/>
        <v>1</v>
      </c>
    </row>
    <row r="378" spans="1:7" ht="12.75">
      <c r="A378" s="227"/>
      <c r="B378" s="747" t="s">
        <v>376</v>
      </c>
      <c r="C378" s="546">
        <f>2242341+392198-15000-4050+38622</f>
        <v>2654111</v>
      </c>
      <c r="D378" s="546">
        <f>2654111+281436+20000+20000+1520+7550+700+1300-106878</f>
        <v>2879739</v>
      </c>
      <c r="E378" s="546">
        <f>2879739+11665+7647-5906-14966-25400-9978-12932-7850-35413</f>
        <v>2786606</v>
      </c>
      <c r="F378" s="546">
        <v>1789431</v>
      </c>
      <c r="G378" s="660">
        <f t="shared" si="111"/>
        <v>0.6421542909187736</v>
      </c>
    </row>
    <row r="379" spans="1:7" ht="13.5" thickBot="1">
      <c r="A379" s="227"/>
      <c r="B379" s="748" t="s">
        <v>379</v>
      </c>
      <c r="C379" s="547">
        <v>396130</v>
      </c>
      <c r="D379" s="1020">
        <f>396130+106878</f>
        <v>503008</v>
      </c>
      <c r="E379" s="1020">
        <f>503008+52012</f>
        <v>555020</v>
      </c>
      <c r="F379" s="1020">
        <v>349510</v>
      </c>
      <c r="G379" s="683">
        <f t="shared" si="111"/>
        <v>0.6297250549529747</v>
      </c>
    </row>
    <row r="380" spans="1:7" ht="13.5" thickBot="1">
      <c r="A380" s="227"/>
      <c r="B380" s="242" t="s">
        <v>39</v>
      </c>
      <c r="C380" s="555">
        <f aca="true" t="shared" si="125" ref="C380">SUM(C376:C379)</f>
        <v>3050241</v>
      </c>
      <c r="D380" s="555">
        <f>SUM(D376:D379)</f>
        <v>3387139</v>
      </c>
      <c r="E380" s="555">
        <f>SUM(E376:E379)</f>
        <v>3346018</v>
      </c>
      <c r="F380" s="555">
        <f>SUM(F376:F379)</f>
        <v>2143333</v>
      </c>
      <c r="G380" s="699">
        <f t="shared" si="111"/>
        <v>0.6405623042075685</v>
      </c>
    </row>
    <row r="381" spans="1:8" ht="13.5" thickBot="1">
      <c r="A381" s="227"/>
      <c r="B381" s="201" t="s">
        <v>348</v>
      </c>
      <c r="C381" s="554"/>
      <c r="D381" s="554"/>
      <c r="E381" s="554"/>
      <c r="F381" s="554"/>
      <c r="G381" s="662"/>
      <c r="H381" s="694"/>
    </row>
    <row r="382" spans="1:7" ht="13.5" thickBot="1">
      <c r="A382" s="227"/>
      <c r="B382" s="242" t="s">
        <v>41</v>
      </c>
      <c r="C382" s="555"/>
      <c r="D382" s="555"/>
      <c r="E382" s="555"/>
      <c r="F382" s="555"/>
      <c r="G382" s="662"/>
    </row>
    <row r="383" spans="1:7" ht="15.75" thickBot="1">
      <c r="A383" s="227"/>
      <c r="B383" s="244" t="s">
        <v>50</v>
      </c>
      <c r="C383" s="548">
        <f>SUM(C373+C375+C380)+C382</f>
        <v>3309522</v>
      </c>
      <c r="D383" s="548">
        <f>SUM(D373+D375+D380)+D382</f>
        <v>3646420</v>
      </c>
      <c r="E383" s="548">
        <f>SUM(E373+E375+E380)+E382</f>
        <v>3632595</v>
      </c>
      <c r="F383" s="548">
        <f>SUM(F373+F375+F380)+F382</f>
        <v>2395426</v>
      </c>
      <c r="G383" s="699">
        <f t="shared" si="111"/>
        <v>0.6594255621669908</v>
      </c>
    </row>
    <row r="384" spans="1:7" ht="12.75">
      <c r="A384" s="227"/>
      <c r="B384" s="245" t="s">
        <v>271</v>
      </c>
      <c r="C384" s="546">
        <f>777266+79099+34179</f>
        <v>890544</v>
      </c>
      <c r="D384" s="546">
        <f>890544+3694+402</f>
        <v>894640</v>
      </c>
      <c r="E384" s="546">
        <f>894640+7320+4955</f>
        <v>906915</v>
      </c>
      <c r="F384" s="546">
        <v>596564</v>
      </c>
      <c r="G384" s="660">
        <f t="shared" si="111"/>
        <v>0.657794831930225</v>
      </c>
    </row>
    <row r="385" spans="1:7" ht="12.75">
      <c r="A385" s="227"/>
      <c r="B385" s="245" t="s">
        <v>272</v>
      </c>
      <c r="C385" s="546">
        <f>120315+11865+4443</f>
        <v>136623</v>
      </c>
      <c r="D385" s="546">
        <f>136623+480+1433</f>
        <v>138536</v>
      </c>
      <c r="E385" s="546">
        <f>138536+952+644</f>
        <v>140132</v>
      </c>
      <c r="F385" s="546">
        <v>80268</v>
      </c>
      <c r="G385" s="660">
        <f t="shared" si="111"/>
        <v>0.5728027859446807</v>
      </c>
    </row>
    <row r="386" spans="1:7" ht="12.75">
      <c r="A386" s="227"/>
      <c r="B386" s="245" t="s">
        <v>273</v>
      </c>
      <c r="C386" s="546">
        <f>1651332+151430</f>
        <v>1802762</v>
      </c>
      <c r="D386" s="546">
        <f>1651332+151430+148727+20000+1520+7550+218</f>
        <v>1980777</v>
      </c>
      <c r="E386" s="546">
        <f>1980777-77032+27296+3393+54060-20</f>
        <v>1988474</v>
      </c>
      <c r="F386" s="546">
        <v>1311292</v>
      </c>
      <c r="G386" s="660">
        <f t="shared" si="111"/>
        <v>0.6594463895429359</v>
      </c>
    </row>
    <row r="387" spans="1:7" ht="12.75">
      <c r="A387" s="227"/>
      <c r="B387" s="246" t="s">
        <v>275</v>
      </c>
      <c r="C387" s="546"/>
      <c r="D387" s="546"/>
      <c r="E387" s="546"/>
      <c r="F387" s="546"/>
      <c r="G387" s="660"/>
    </row>
    <row r="388" spans="1:7" ht="13.5" thickBot="1">
      <c r="A388" s="227"/>
      <c r="B388" s="247" t="s">
        <v>274</v>
      </c>
      <c r="C388" s="546"/>
      <c r="D388" s="546"/>
      <c r="E388" s="546">
        <v>20</v>
      </c>
      <c r="F388" s="546"/>
      <c r="G388" s="1034">
        <f t="shared" si="111"/>
        <v>0</v>
      </c>
    </row>
    <row r="389" spans="1:7" ht="13.5" thickBot="1">
      <c r="A389" s="227"/>
      <c r="B389" s="248" t="s">
        <v>38</v>
      </c>
      <c r="C389" s="548">
        <f aca="true" t="shared" si="126" ref="C389:D389">SUM(C384:C388)</f>
        <v>2829929</v>
      </c>
      <c r="D389" s="548">
        <f t="shared" si="126"/>
        <v>3013953</v>
      </c>
      <c r="E389" s="1028">
        <f aca="true" t="shared" si="127" ref="E389:F389">SUM(E384:E388)</f>
        <v>3035541</v>
      </c>
      <c r="F389" s="1028">
        <f t="shared" si="127"/>
        <v>1988124</v>
      </c>
      <c r="G389" s="908">
        <f t="shared" si="111"/>
        <v>0.6549488213138943</v>
      </c>
    </row>
    <row r="390" spans="1:7" ht="12.75">
      <c r="A390" s="227"/>
      <c r="B390" s="245" t="s">
        <v>204</v>
      </c>
      <c r="C390" s="921">
        <f>SUM(C391:C426)</f>
        <v>275356</v>
      </c>
      <c r="D390" s="921">
        <f>SUM(D391:D426)</f>
        <v>325847</v>
      </c>
      <c r="E390" s="921">
        <f>SUM(E391:E426)</f>
        <v>281390</v>
      </c>
      <c r="F390" s="921">
        <f>SUM(F391:F426)</f>
        <v>137462</v>
      </c>
      <c r="G390" s="909">
        <f t="shared" si="111"/>
        <v>0.4885106080528803</v>
      </c>
    </row>
    <row r="391" spans="1:7" ht="12.75">
      <c r="A391" s="227"/>
      <c r="B391" s="435" t="s">
        <v>694</v>
      </c>
      <c r="C391" s="922"/>
      <c r="D391" s="922">
        <v>700</v>
      </c>
      <c r="E391" s="922">
        <f>700-352</f>
        <v>348</v>
      </c>
      <c r="F391" s="922">
        <v>348</v>
      </c>
      <c r="G391" s="660">
        <f t="shared" si="111"/>
        <v>1</v>
      </c>
    </row>
    <row r="392" spans="1:7" ht="12.75">
      <c r="A392" s="227"/>
      <c r="B392" s="435" t="s">
        <v>695</v>
      </c>
      <c r="C392" s="922"/>
      <c r="D392" s="922">
        <v>1300</v>
      </c>
      <c r="E392" s="922">
        <f>1300-1300</f>
        <v>0</v>
      </c>
      <c r="F392" s="922">
        <v>0</v>
      </c>
      <c r="G392" s="660"/>
    </row>
    <row r="393" spans="1:7" ht="12.75">
      <c r="A393" s="227"/>
      <c r="B393" s="435" t="s">
        <v>540</v>
      </c>
      <c r="C393" s="922">
        <v>953</v>
      </c>
      <c r="D393" s="922">
        <v>953</v>
      </c>
      <c r="E393" s="922">
        <v>953</v>
      </c>
      <c r="F393" s="922">
        <v>754</v>
      </c>
      <c r="G393" s="660">
        <f t="shared" si="111"/>
        <v>0.7911857292759706</v>
      </c>
    </row>
    <row r="394" spans="1:7" ht="12.75">
      <c r="A394" s="227"/>
      <c r="B394" s="435" t="s">
        <v>621</v>
      </c>
      <c r="C394" s="922">
        <v>9525</v>
      </c>
      <c r="D394" s="922">
        <v>9525</v>
      </c>
      <c r="E394" s="922">
        <v>9525</v>
      </c>
      <c r="F394" s="922">
        <v>750</v>
      </c>
      <c r="G394" s="660">
        <f t="shared" si="111"/>
        <v>0.07874015748031496</v>
      </c>
    </row>
    <row r="395" spans="1:7" ht="12.75">
      <c r="A395" s="227"/>
      <c r="B395" s="435" t="s">
        <v>622</v>
      </c>
      <c r="C395" s="922">
        <v>5715</v>
      </c>
      <c r="D395" s="922">
        <v>5715</v>
      </c>
      <c r="E395" s="922">
        <v>5715</v>
      </c>
      <c r="F395" s="922">
        <v>0</v>
      </c>
      <c r="G395" s="660">
        <f t="shared" si="111"/>
        <v>0</v>
      </c>
    </row>
    <row r="396" spans="1:7" ht="12.75">
      <c r="A396" s="227"/>
      <c r="B396" s="435" t="s">
        <v>623</v>
      </c>
      <c r="C396" s="922">
        <v>15240</v>
      </c>
      <c r="D396" s="922">
        <v>15240</v>
      </c>
      <c r="E396" s="922">
        <f>15240-15240</f>
        <v>0</v>
      </c>
      <c r="F396" s="922">
        <v>0</v>
      </c>
      <c r="G396" s="660"/>
    </row>
    <row r="397" spans="1:7" ht="12.75">
      <c r="A397" s="227"/>
      <c r="B397" s="435" t="s">
        <v>624</v>
      </c>
      <c r="C397" s="922">
        <v>10160</v>
      </c>
      <c r="D397" s="922">
        <v>10160</v>
      </c>
      <c r="E397" s="922">
        <v>10160</v>
      </c>
      <c r="F397" s="922">
        <v>0</v>
      </c>
      <c r="G397" s="660">
        <f t="shared" si="111"/>
        <v>0</v>
      </c>
    </row>
    <row r="398" spans="1:7" ht="12.75">
      <c r="A398" s="227"/>
      <c r="B398" s="435" t="s">
        <v>625</v>
      </c>
      <c r="C398" s="922">
        <v>3683</v>
      </c>
      <c r="D398" s="922">
        <v>3683</v>
      </c>
      <c r="E398" s="922">
        <v>3683</v>
      </c>
      <c r="F398" s="922">
        <v>0</v>
      </c>
      <c r="G398" s="660">
        <f t="shared" si="111"/>
        <v>0</v>
      </c>
    </row>
    <row r="399" spans="1:7" ht="12.75">
      <c r="A399" s="227"/>
      <c r="B399" s="435" t="s">
        <v>541</v>
      </c>
      <c r="C399" s="922"/>
      <c r="D399" s="922">
        <v>8800</v>
      </c>
      <c r="E399" s="922">
        <v>8800</v>
      </c>
      <c r="F399" s="922">
        <v>8800</v>
      </c>
      <c r="G399" s="660">
        <f t="shared" si="111"/>
        <v>1</v>
      </c>
    </row>
    <row r="400" spans="1:7" ht="12.75">
      <c r="A400" s="227"/>
      <c r="B400" s="435" t="s">
        <v>626</v>
      </c>
      <c r="C400" s="922">
        <v>4445</v>
      </c>
      <c r="D400" s="922">
        <v>4445</v>
      </c>
      <c r="E400" s="922">
        <f>4445-787</f>
        <v>3658</v>
      </c>
      <c r="F400" s="922">
        <v>4756</v>
      </c>
      <c r="G400" s="660">
        <f t="shared" si="111"/>
        <v>1.3001640240568617</v>
      </c>
    </row>
    <row r="401" spans="1:7" ht="12.75">
      <c r="A401" s="227"/>
      <c r="B401" s="435" t="s">
        <v>542</v>
      </c>
      <c r="C401" s="922"/>
      <c r="D401" s="922">
        <v>11580</v>
      </c>
      <c r="E401" s="922">
        <v>11580</v>
      </c>
      <c r="F401" s="922">
        <v>11580</v>
      </c>
      <c r="G401" s="660">
        <f t="shared" si="111"/>
        <v>1</v>
      </c>
    </row>
    <row r="402" spans="1:7" ht="12.75">
      <c r="A402" s="227"/>
      <c r="B402" s="435" t="s">
        <v>693</v>
      </c>
      <c r="C402" s="922"/>
      <c r="D402" s="922">
        <v>20000</v>
      </c>
      <c r="E402" s="922">
        <v>20000</v>
      </c>
      <c r="F402" s="922">
        <v>2019</v>
      </c>
      <c r="G402" s="660">
        <f t="shared" si="111"/>
        <v>0.10095</v>
      </c>
    </row>
    <row r="403" spans="1:7" ht="12.75">
      <c r="A403" s="227"/>
      <c r="B403" s="435" t="s">
        <v>710</v>
      </c>
      <c r="C403" s="922"/>
      <c r="D403" s="922">
        <v>7239</v>
      </c>
      <c r="E403" s="922">
        <v>7239</v>
      </c>
      <c r="F403" s="922">
        <v>7239</v>
      </c>
      <c r="G403" s="660">
        <f t="shared" si="111"/>
        <v>1</v>
      </c>
    </row>
    <row r="404" spans="1:7" ht="12.75">
      <c r="A404" s="227"/>
      <c r="B404" s="435" t="s">
        <v>711</v>
      </c>
      <c r="C404" s="922"/>
      <c r="D404" s="922">
        <v>872</v>
      </c>
      <c r="E404" s="922">
        <v>872</v>
      </c>
      <c r="F404" s="922">
        <v>0</v>
      </c>
      <c r="G404" s="660">
        <f t="shared" si="111"/>
        <v>0</v>
      </c>
    </row>
    <row r="405" spans="1:7" ht="12.75">
      <c r="A405" s="227"/>
      <c r="B405" s="435" t="s">
        <v>712</v>
      </c>
      <c r="C405" s="922">
        <v>1905</v>
      </c>
      <c r="D405" s="922">
        <v>1905</v>
      </c>
      <c r="E405" s="922">
        <v>1905</v>
      </c>
      <c r="F405" s="922">
        <v>0</v>
      </c>
      <c r="G405" s="660">
        <f t="shared" si="111"/>
        <v>0</v>
      </c>
    </row>
    <row r="406" spans="1:7" ht="12.75">
      <c r="A406" s="227"/>
      <c r="B406" s="435" t="s">
        <v>698</v>
      </c>
      <c r="C406" s="922">
        <v>7620</v>
      </c>
      <c r="D406" s="922">
        <v>7620</v>
      </c>
      <c r="E406" s="922">
        <f>7620-31</f>
        <v>7589</v>
      </c>
      <c r="F406" s="922">
        <v>7589</v>
      </c>
      <c r="G406" s="660">
        <f t="shared" si="111"/>
        <v>1</v>
      </c>
    </row>
    <row r="407" spans="1:7" ht="12.75">
      <c r="A407" s="227"/>
      <c r="B407" s="923" t="s">
        <v>708</v>
      </c>
      <c r="C407" s="924">
        <v>15240</v>
      </c>
      <c r="D407" s="924">
        <v>15240</v>
      </c>
      <c r="E407" s="924">
        <v>15240</v>
      </c>
      <c r="F407" s="924">
        <v>6599</v>
      </c>
      <c r="G407" s="660">
        <f t="shared" si="111"/>
        <v>0.433005249343832</v>
      </c>
    </row>
    <row r="408" spans="1:7" ht="12.75">
      <c r="A408" s="227"/>
      <c r="B408" s="435" t="s">
        <v>709</v>
      </c>
      <c r="C408" s="922">
        <v>3556</v>
      </c>
      <c r="D408" s="922">
        <v>3556</v>
      </c>
      <c r="E408" s="922">
        <v>3556</v>
      </c>
      <c r="F408" s="922">
        <v>0</v>
      </c>
      <c r="G408" s="660">
        <f t="shared" si="111"/>
        <v>0</v>
      </c>
    </row>
    <row r="409" spans="1:7" ht="12.75">
      <c r="A409" s="227"/>
      <c r="B409" s="435" t="s">
        <v>707</v>
      </c>
      <c r="C409" s="922">
        <v>3556</v>
      </c>
      <c r="D409" s="922">
        <v>3556</v>
      </c>
      <c r="E409" s="922">
        <v>3556</v>
      </c>
      <c r="F409" s="922">
        <v>0</v>
      </c>
      <c r="G409" s="660">
        <f t="shared" si="111"/>
        <v>0</v>
      </c>
    </row>
    <row r="410" spans="1:7" ht="12.75">
      <c r="A410" s="227"/>
      <c r="B410" s="435" t="s">
        <v>706</v>
      </c>
      <c r="C410" s="922">
        <v>1524</v>
      </c>
      <c r="D410" s="922">
        <v>1524</v>
      </c>
      <c r="E410" s="922">
        <v>1524</v>
      </c>
      <c r="F410" s="922">
        <v>0</v>
      </c>
      <c r="G410" s="660">
        <f t="shared" si="111"/>
        <v>0</v>
      </c>
    </row>
    <row r="411" spans="1:7" ht="12.75">
      <c r="A411" s="227"/>
      <c r="B411" s="435" t="s">
        <v>705</v>
      </c>
      <c r="C411" s="922">
        <v>4445</v>
      </c>
      <c r="D411" s="922">
        <v>4445</v>
      </c>
      <c r="E411" s="922">
        <f>4445-787</f>
        <v>3658</v>
      </c>
      <c r="F411" s="922">
        <v>2561</v>
      </c>
      <c r="G411" s="660">
        <f t="shared" si="111"/>
        <v>0.7001093493712411</v>
      </c>
    </row>
    <row r="412" spans="1:7" ht="12.75">
      <c r="A412" s="227"/>
      <c r="B412" s="435" t="s">
        <v>704</v>
      </c>
      <c r="C412" s="922">
        <v>953</v>
      </c>
      <c r="D412" s="922">
        <v>953</v>
      </c>
      <c r="E412" s="922">
        <v>953</v>
      </c>
      <c r="F412" s="922">
        <v>0</v>
      </c>
      <c r="G412" s="660">
        <f aca="true" t="shared" si="128" ref="G412:G475">F412/E412</f>
        <v>0</v>
      </c>
    </row>
    <row r="413" spans="1:7" ht="12.75">
      <c r="A413" s="227"/>
      <c r="B413" s="435" t="s">
        <v>703</v>
      </c>
      <c r="C413" s="922">
        <v>686</v>
      </c>
      <c r="D413" s="922">
        <v>686</v>
      </c>
      <c r="E413" s="922">
        <v>686</v>
      </c>
      <c r="F413" s="922">
        <v>0</v>
      </c>
      <c r="G413" s="660">
        <f t="shared" si="128"/>
        <v>0</v>
      </c>
    </row>
    <row r="414" spans="1:7" ht="12.75">
      <c r="A414" s="227"/>
      <c r="B414" s="435" t="s">
        <v>702</v>
      </c>
      <c r="C414" s="922">
        <v>6000</v>
      </c>
      <c r="D414" s="922">
        <v>6000</v>
      </c>
      <c r="E414" s="922">
        <v>6000</v>
      </c>
      <c r="F414" s="922">
        <v>4333</v>
      </c>
      <c r="G414" s="660">
        <f t="shared" si="128"/>
        <v>0.7221666666666666</v>
      </c>
    </row>
    <row r="415" spans="1:7" ht="12.75">
      <c r="A415" s="227"/>
      <c r="B415" s="944" t="s">
        <v>701</v>
      </c>
      <c r="C415" s="922">
        <v>2900</v>
      </c>
      <c r="D415" s="922">
        <v>2900</v>
      </c>
      <c r="E415" s="922">
        <f>2900-809</f>
        <v>2091</v>
      </c>
      <c r="F415" s="922">
        <v>2091</v>
      </c>
      <c r="G415" s="660">
        <f t="shared" si="128"/>
        <v>1</v>
      </c>
    </row>
    <row r="416" spans="1:7" ht="12.75">
      <c r="A416" s="227"/>
      <c r="B416" s="944" t="s">
        <v>700</v>
      </c>
      <c r="C416" s="922">
        <v>3361</v>
      </c>
      <c r="D416" s="922">
        <v>3361</v>
      </c>
      <c r="E416" s="922">
        <f>3361+15935</f>
        <v>19296</v>
      </c>
      <c r="F416" s="922">
        <v>0</v>
      </c>
      <c r="G416" s="660">
        <f t="shared" si="128"/>
        <v>0</v>
      </c>
    </row>
    <row r="417" spans="1:7" ht="12.75">
      <c r="A417" s="227"/>
      <c r="B417" s="435" t="s">
        <v>699</v>
      </c>
      <c r="C417" s="922">
        <v>3670</v>
      </c>
      <c r="D417" s="922">
        <v>3670</v>
      </c>
      <c r="E417" s="922">
        <v>3670</v>
      </c>
      <c r="F417" s="922">
        <v>2492</v>
      </c>
      <c r="G417" s="660">
        <f t="shared" si="128"/>
        <v>0.6790190735694823</v>
      </c>
    </row>
    <row r="418" spans="1:7" ht="12.75">
      <c r="A418" s="227"/>
      <c r="B418" s="435" t="s">
        <v>697</v>
      </c>
      <c r="C418" s="922">
        <v>18415</v>
      </c>
      <c r="D418" s="922">
        <v>18415</v>
      </c>
      <c r="E418" s="922">
        <v>18415</v>
      </c>
      <c r="F418" s="922">
        <v>12488</v>
      </c>
      <c r="G418" s="660">
        <f t="shared" si="128"/>
        <v>0.6781428183546022</v>
      </c>
    </row>
    <row r="419" spans="1:7" s="930" customFormat="1" ht="12.75">
      <c r="A419" s="227"/>
      <c r="B419" s="944" t="s">
        <v>647</v>
      </c>
      <c r="C419" s="922">
        <v>2000</v>
      </c>
      <c r="D419" s="922">
        <v>2000</v>
      </c>
      <c r="E419" s="922">
        <v>2000</v>
      </c>
      <c r="F419" s="922">
        <v>0</v>
      </c>
      <c r="G419" s="660">
        <f t="shared" si="128"/>
        <v>0</v>
      </c>
    </row>
    <row r="420" spans="1:7" ht="12.75">
      <c r="A420" s="227"/>
      <c r="B420" s="435" t="s">
        <v>648</v>
      </c>
      <c r="C420" s="552">
        <v>10200</v>
      </c>
      <c r="D420" s="552">
        <v>10200</v>
      </c>
      <c r="E420" s="552">
        <v>10200</v>
      </c>
      <c r="F420" s="552">
        <v>0</v>
      </c>
      <c r="G420" s="660">
        <f t="shared" si="128"/>
        <v>0</v>
      </c>
    </row>
    <row r="421" spans="1:7" ht="12.75">
      <c r="A421" s="227"/>
      <c r="B421" s="435" t="s">
        <v>649</v>
      </c>
      <c r="C421" s="552">
        <v>27600</v>
      </c>
      <c r="D421" s="552">
        <v>27600</v>
      </c>
      <c r="E421" s="552">
        <f>27600-13344</f>
        <v>14256</v>
      </c>
      <c r="F421" s="552">
        <v>14236</v>
      </c>
      <c r="G421" s="660">
        <f t="shared" si="128"/>
        <v>0.9985970819304153</v>
      </c>
    </row>
    <row r="422" spans="1:7" ht="12.75">
      <c r="A422" s="227"/>
      <c r="B422" s="435" t="s">
        <v>650</v>
      </c>
      <c r="C422" s="552">
        <v>27600</v>
      </c>
      <c r="D422" s="552">
        <v>27600</v>
      </c>
      <c r="E422" s="552">
        <f>27600-814-10000</f>
        <v>16786</v>
      </c>
      <c r="F422" s="552">
        <v>13441</v>
      </c>
      <c r="G422" s="660">
        <f t="shared" si="128"/>
        <v>0.8007267961396402</v>
      </c>
    </row>
    <row r="423" spans="1:7" ht="12.75">
      <c r="A423" s="227"/>
      <c r="B423" s="435" t="s">
        <v>654</v>
      </c>
      <c r="C423" s="552">
        <v>14400</v>
      </c>
      <c r="D423" s="552">
        <v>14400</v>
      </c>
      <c r="E423" s="552">
        <f>14400-993-5000</f>
        <v>8407</v>
      </c>
      <c r="F423" s="552">
        <v>8387</v>
      </c>
      <c r="G423" s="660">
        <f t="shared" si="128"/>
        <v>0.9976210300939693</v>
      </c>
    </row>
    <row r="424" spans="1:7" ht="12.75">
      <c r="A424" s="227"/>
      <c r="B424" s="435" t="s">
        <v>651</v>
      </c>
      <c r="C424" s="552">
        <v>51000</v>
      </c>
      <c r="D424" s="552">
        <v>51000</v>
      </c>
      <c r="E424" s="552">
        <f>51000-15935+5000</f>
        <v>40065</v>
      </c>
      <c r="F424" s="552">
        <v>19000</v>
      </c>
      <c r="G424" s="660">
        <f t="shared" si="128"/>
        <v>0.47422937726194936</v>
      </c>
    </row>
    <row r="425" spans="1:7" ht="12.75">
      <c r="A425" s="227"/>
      <c r="B425" s="435" t="s">
        <v>652</v>
      </c>
      <c r="C425" s="552">
        <v>6304</v>
      </c>
      <c r="D425" s="552">
        <v>6304</v>
      </c>
      <c r="E425" s="552">
        <v>6304</v>
      </c>
      <c r="F425" s="552">
        <v>0</v>
      </c>
      <c r="G425" s="660">
        <f t="shared" si="128"/>
        <v>0</v>
      </c>
    </row>
    <row r="426" spans="1:7" ht="12.75">
      <c r="A426" s="227"/>
      <c r="B426" s="435" t="s">
        <v>653</v>
      </c>
      <c r="C426" s="552">
        <v>12700</v>
      </c>
      <c r="D426" s="552">
        <v>12700</v>
      </c>
      <c r="E426" s="552">
        <v>12700</v>
      </c>
      <c r="F426" s="552">
        <v>7999</v>
      </c>
      <c r="G426" s="660">
        <f t="shared" si="128"/>
        <v>0.6298425196850393</v>
      </c>
    </row>
    <row r="427" spans="1:7" ht="12.75">
      <c r="A427" s="227"/>
      <c r="B427" s="245" t="s">
        <v>205</v>
      </c>
      <c r="C427" s="921">
        <f>SUM(C428:C452)</f>
        <v>204237</v>
      </c>
      <c r="D427" s="921">
        <f>SUM(D428:D452)</f>
        <v>306620</v>
      </c>
      <c r="E427" s="921">
        <f>SUM(E428:E452)</f>
        <v>315664</v>
      </c>
      <c r="F427" s="921">
        <f>SUM(F428:F452)</f>
        <v>207081</v>
      </c>
      <c r="G427" s="909">
        <f t="shared" si="128"/>
        <v>0.656017157483907</v>
      </c>
    </row>
    <row r="428" spans="1:7" ht="12.75">
      <c r="A428" s="227"/>
      <c r="B428" s="435" t="s">
        <v>696</v>
      </c>
      <c r="C428" s="925"/>
      <c r="D428" s="925"/>
      <c r="E428" s="925"/>
      <c r="F428" s="925"/>
      <c r="G428" s="660"/>
    </row>
    <row r="429" spans="1:7" ht="12.75">
      <c r="A429" s="227"/>
      <c r="B429" s="435" t="s">
        <v>539</v>
      </c>
      <c r="C429" s="925"/>
      <c r="D429" s="925">
        <v>84580</v>
      </c>
      <c r="E429" s="925">
        <v>84580</v>
      </c>
      <c r="F429" s="925">
        <v>81704</v>
      </c>
      <c r="G429" s="660">
        <f t="shared" si="128"/>
        <v>0.9659966895247103</v>
      </c>
    </row>
    <row r="430" spans="1:7" ht="12.75">
      <c r="A430" s="227"/>
      <c r="B430" s="435" t="s">
        <v>627</v>
      </c>
      <c r="C430" s="925">
        <v>6350</v>
      </c>
      <c r="D430" s="925">
        <v>6350</v>
      </c>
      <c r="E430" s="925">
        <v>6350</v>
      </c>
      <c r="F430" s="925">
        <v>2427</v>
      </c>
      <c r="G430" s="660">
        <f t="shared" si="128"/>
        <v>0.3822047244094488</v>
      </c>
    </row>
    <row r="431" spans="1:7" ht="12.75">
      <c r="A431" s="227"/>
      <c r="B431" s="435" t="s">
        <v>678</v>
      </c>
      <c r="C431" s="925"/>
      <c r="D431" s="925">
        <v>6718</v>
      </c>
      <c r="E431" s="925">
        <v>6718</v>
      </c>
      <c r="F431" s="925">
        <v>6718</v>
      </c>
      <c r="G431" s="660">
        <f t="shared" si="128"/>
        <v>1</v>
      </c>
    </row>
    <row r="432" spans="1:7" ht="12.75">
      <c r="A432" s="227"/>
      <c r="B432" s="435" t="s">
        <v>628</v>
      </c>
      <c r="C432" s="925">
        <v>24130</v>
      </c>
      <c r="D432" s="925">
        <v>24130</v>
      </c>
      <c r="E432" s="925">
        <v>24130</v>
      </c>
      <c r="F432" s="925">
        <v>11660</v>
      </c>
      <c r="G432" s="660">
        <f t="shared" si="128"/>
        <v>0.48321591380024864</v>
      </c>
    </row>
    <row r="433" spans="1:7" ht="12.75">
      <c r="A433" s="227"/>
      <c r="B433" s="435" t="s">
        <v>629</v>
      </c>
      <c r="C433" s="925">
        <v>3175</v>
      </c>
      <c r="D433" s="925">
        <v>3175</v>
      </c>
      <c r="E433" s="925">
        <v>3175</v>
      </c>
      <c r="F433" s="925">
        <v>0</v>
      </c>
      <c r="G433" s="660">
        <f t="shared" si="128"/>
        <v>0</v>
      </c>
    </row>
    <row r="434" spans="1:7" ht="12.75">
      <c r="A434" s="227"/>
      <c r="B434" s="435" t="s">
        <v>630</v>
      </c>
      <c r="C434" s="925">
        <v>10599</v>
      </c>
      <c r="D434" s="925">
        <v>10599</v>
      </c>
      <c r="E434" s="925">
        <v>10599</v>
      </c>
      <c r="F434" s="925">
        <v>10467</v>
      </c>
      <c r="G434" s="660">
        <f t="shared" si="128"/>
        <v>0.9875459949051797</v>
      </c>
    </row>
    <row r="435" spans="1:7" s="930" customFormat="1" ht="12.75">
      <c r="A435" s="227"/>
      <c r="B435" s="435" t="s">
        <v>680</v>
      </c>
      <c r="C435" s="982"/>
      <c r="D435" s="925">
        <v>7303</v>
      </c>
      <c r="E435" s="925">
        <v>7303</v>
      </c>
      <c r="F435" s="925">
        <v>7302</v>
      </c>
      <c r="G435" s="660">
        <f t="shared" si="128"/>
        <v>0.9998630699712447</v>
      </c>
    </row>
    <row r="436" spans="1:7" ht="12.75">
      <c r="A436" s="227"/>
      <c r="B436" s="435" t="s">
        <v>631</v>
      </c>
      <c r="C436" s="925">
        <v>3175</v>
      </c>
      <c r="D436" s="925">
        <v>3175</v>
      </c>
      <c r="E436" s="925">
        <f>3175-442</f>
        <v>2733</v>
      </c>
      <c r="F436" s="925">
        <v>2529</v>
      </c>
      <c r="G436" s="660">
        <f t="shared" si="128"/>
        <v>0.9253567508232712</v>
      </c>
    </row>
    <row r="437" spans="1:7" ht="12.75">
      <c r="A437" s="227"/>
      <c r="B437" s="435" t="s">
        <v>632</v>
      </c>
      <c r="C437" s="925">
        <v>3048</v>
      </c>
      <c r="D437" s="925">
        <v>3048</v>
      </c>
      <c r="E437" s="925">
        <f>3048-932</f>
        <v>2116</v>
      </c>
      <c r="F437" s="925">
        <v>2116</v>
      </c>
      <c r="G437" s="660">
        <f t="shared" si="128"/>
        <v>1</v>
      </c>
    </row>
    <row r="438" spans="1:7" ht="12.75">
      <c r="A438" s="227"/>
      <c r="B438" s="435" t="s">
        <v>633</v>
      </c>
      <c r="C438" s="925">
        <v>1524</v>
      </c>
      <c r="D438" s="925">
        <v>1524</v>
      </c>
      <c r="E438" s="925">
        <f>1524-24</f>
        <v>1500</v>
      </c>
      <c r="F438" s="925">
        <v>1500</v>
      </c>
      <c r="G438" s="660">
        <f t="shared" si="128"/>
        <v>1</v>
      </c>
    </row>
    <row r="439" spans="1:7" ht="12.75">
      <c r="A439" s="227"/>
      <c r="B439" s="435" t="s">
        <v>634</v>
      </c>
      <c r="C439" s="925">
        <v>15875</v>
      </c>
      <c r="D439" s="925">
        <v>15875</v>
      </c>
      <c r="E439" s="925">
        <v>15875</v>
      </c>
      <c r="F439" s="925">
        <v>15067</v>
      </c>
      <c r="G439" s="660">
        <f t="shared" si="128"/>
        <v>0.9491023622047244</v>
      </c>
    </row>
    <row r="440" spans="1:7" s="930" customFormat="1" ht="12.75">
      <c r="A440" s="227"/>
      <c r="B440" s="435" t="s">
        <v>679</v>
      </c>
      <c r="C440" s="925"/>
      <c r="D440" s="925">
        <v>3782</v>
      </c>
      <c r="E440" s="925">
        <v>3782</v>
      </c>
      <c r="F440" s="925">
        <v>3782</v>
      </c>
      <c r="G440" s="660">
        <f t="shared" si="128"/>
        <v>1</v>
      </c>
    </row>
    <row r="441" spans="1:7" ht="12.75">
      <c r="A441" s="227"/>
      <c r="B441" s="435" t="s">
        <v>635</v>
      </c>
      <c r="C441" s="925">
        <v>6350</v>
      </c>
      <c r="D441" s="925">
        <v>6350</v>
      </c>
      <c r="E441" s="925">
        <v>6350</v>
      </c>
      <c r="F441" s="925">
        <v>1175</v>
      </c>
      <c r="G441" s="660">
        <f t="shared" si="128"/>
        <v>0.18503937007874016</v>
      </c>
    </row>
    <row r="442" spans="1:7" ht="12.75">
      <c r="A442" s="227"/>
      <c r="B442" s="435" t="s">
        <v>655</v>
      </c>
      <c r="C442" s="925">
        <v>9080</v>
      </c>
      <c r="D442" s="925">
        <v>9080</v>
      </c>
      <c r="E442" s="925">
        <f>9080+442</f>
        <v>9522</v>
      </c>
      <c r="F442" s="925">
        <v>14268</v>
      </c>
      <c r="G442" s="660">
        <f t="shared" si="128"/>
        <v>1.4984247006931317</v>
      </c>
    </row>
    <row r="443" spans="1:7" ht="12.75">
      <c r="A443" s="227"/>
      <c r="B443" s="435" t="s">
        <v>636</v>
      </c>
      <c r="C443" s="925">
        <v>76200</v>
      </c>
      <c r="D443" s="925">
        <v>76200</v>
      </c>
      <c r="E443" s="925">
        <f>76200+10000</f>
        <v>86200</v>
      </c>
      <c r="F443" s="925">
        <v>31079</v>
      </c>
      <c r="G443" s="660">
        <f t="shared" si="128"/>
        <v>0.3605452436194896</v>
      </c>
    </row>
    <row r="444" spans="1:7" ht="12.75">
      <c r="A444" s="227"/>
      <c r="B444" s="435" t="s">
        <v>637</v>
      </c>
      <c r="C444" s="925">
        <v>6350</v>
      </c>
      <c r="D444" s="925">
        <v>6350</v>
      </c>
      <c r="E444" s="925">
        <v>6350</v>
      </c>
      <c r="F444" s="925">
        <v>238</v>
      </c>
      <c r="G444" s="660">
        <f t="shared" si="128"/>
        <v>0.037480314960629924</v>
      </c>
    </row>
    <row r="445" spans="1:7" ht="12.75">
      <c r="A445" s="227"/>
      <c r="B445" s="435" t="s">
        <v>638</v>
      </c>
      <c r="C445" s="925">
        <v>1238</v>
      </c>
      <c r="D445" s="925">
        <v>1238</v>
      </c>
      <c r="E445" s="925">
        <v>1238</v>
      </c>
      <c r="F445" s="925">
        <v>188</v>
      </c>
      <c r="G445" s="660">
        <f t="shared" si="128"/>
        <v>0.1518578352180937</v>
      </c>
    </row>
    <row r="446" spans="1:7" ht="12.75">
      <c r="A446" s="227"/>
      <c r="B446" s="435" t="s">
        <v>639</v>
      </c>
      <c r="C446" s="925">
        <v>6350</v>
      </c>
      <c r="D446" s="925">
        <v>6350</v>
      </c>
      <c r="E446" s="925">
        <v>6350</v>
      </c>
      <c r="F446" s="925">
        <v>423</v>
      </c>
      <c r="G446" s="660">
        <f t="shared" si="128"/>
        <v>0.06661417322834645</v>
      </c>
    </row>
    <row r="447" spans="1:7" ht="12.75">
      <c r="A447" s="227"/>
      <c r="B447" s="435" t="s">
        <v>640</v>
      </c>
      <c r="C447" s="925">
        <v>286</v>
      </c>
      <c r="D447" s="925">
        <v>286</v>
      </c>
      <c r="E447" s="925">
        <v>286</v>
      </c>
      <c r="F447" s="925">
        <v>334</v>
      </c>
      <c r="G447" s="660">
        <f t="shared" si="128"/>
        <v>1.167832167832168</v>
      </c>
    </row>
    <row r="448" spans="1:7" ht="12.75">
      <c r="A448" s="227"/>
      <c r="B448" s="435" t="s">
        <v>641</v>
      </c>
      <c r="C448" s="925">
        <v>3175</v>
      </c>
      <c r="D448" s="925">
        <v>3175</v>
      </c>
      <c r="E448" s="925">
        <v>3175</v>
      </c>
      <c r="F448" s="925">
        <v>0</v>
      </c>
      <c r="G448" s="660">
        <f t="shared" si="128"/>
        <v>0</v>
      </c>
    </row>
    <row r="449" spans="1:7" ht="12.75">
      <c r="A449" s="227"/>
      <c r="B449" s="435" t="s">
        <v>642</v>
      </c>
      <c r="C449" s="925">
        <v>4572</v>
      </c>
      <c r="D449" s="925">
        <v>4572</v>
      </c>
      <c r="E449" s="925">
        <v>4572</v>
      </c>
      <c r="F449" s="925">
        <v>0</v>
      </c>
      <c r="G449" s="660">
        <f t="shared" si="128"/>
        <v>0</v>
      </c>
    </row>
    <row r="450" spans="1:7" ht="12.75">
      <c r="A450" s="227"/>
      <c r="B450" s="926" t="s">
        <v>643</v>
      </c>
      <c r="C450" s="925">
        <v>10160</v>
      </c>
      <c r="D450" s="925">
        <v>10160</v>
      </c>
      <c r="E450" s="925">
        <v>10160</v>
      </c>
      <c r="F450" s="925">
        <v>7956</v>
      </c>
      <c r="G450" s="660">
        <f t="shared" si="128"/>
        <v>0.7830708661417323</v>
      </c>
    </row>
    <row r="451" spans="1:7" s="930" customFormat="1" ht="12.75">
      <c r="A451" s="227"/>
      <c r="B451" s="926" t="s">
        <v>656</v>
      </c>
      <c r="C451" s="925">
        <v>5800</v>
      </c>
      <c r="D451" s="925">
        <v>5800</v>
      </c>
      <c r="E451" s="925">
        <v>5800</v>
      </c>
      <c r="F451" s="925">
        <v>0</v>
      </c>
      <c r="G451" s="660">
        <f t="shared" si="128"/>
        <v>0</v>
      </c>
    </row>
    <row r="452" spans="1:7" ht="13.5" thickBot="1">
      <c r="A452" s="227"/>
      <c r="B452" s="926" t="s">
        <v>657</v>
      </c>
      <c r="C452" s="922">
        <v>6800</v>
      </c>
      <c r="D452" s="922">
        <v>6800</v>
      </c>
      <c r="E452" s="922">
        <v>6800</v>
      </c>
      <c r="F452" s="922">
        <v>6148</v>
      </c>
      <c r="G452" s="683">
        <f t="shared" si="128"/>
        <v>0.9041176470588236</v>
      </c>
    </row>
    <row r="453" spans="1:7" ht="13.5" thickBot="1">
      <c r="A453" s="227"/>
      <c r="B453" s="249" t="s">
        <v>44</v>
      </c>
      <c r="C453" s="927">
        <f>SUM(C390+C427)</f>
        <v>479593</v>
      </c>
      <c r="D453" s="927">
        <f>SUM(D390+D427)</f>
        <v>632467</v>
      </c>
      <c r="E453" s="927">
        <f>SUM(E390+E427)</f>
        <v>597054</v>
      </c>
      <c r="F453" s="927">
        <f>SUM(F390+F427)</f>
        <v>344543</v>
      </c>
      <c r="G453" s="699">
        <f t="shared" si="128"/>
        <v>0.5770717556535925</v>
      </c>
    </row>
    <row r="454" spans="1:7" ht="15.75" thickBot="1">
      <c r="A454" s="224"/>
      <c r="B454" s="250" t="s">
        <v>84</v>
      </c>
      <c r="C454" s="983">
        <f>SUM(C389+C453)</f>
        <v>3309522</v>
      </c>
      <c r="D454" s="983">
        <f>SUM(D389+D453)</f>
        <v>3646420</v>
      </c>
      <c r="E454" s="983">
        <f>SUM(E389+E453)</f>
        <v>3632595</v>
      </c>
      <c r="F454" s="983">
        <f>SUM(F389+F453)</f>
        <v>2332667</v>
      </c>
      <c r="G454" s="908">
        <f t="shared" si="128"/>
        <v>0.6421489320995046</v>
      </c>
    </row>
    <row r="455" spans="1:7" ht="15">
      <c r="A455" s="181">
        <v>2799</v>
      </c>
      <c r="B455" s="184" t="s">
        <v>56</v>
      </c>
      <c r="C455" s="552"/>
      <c r="D455" s="552"/>
      <c r="E455" s="552"/>
      <c r="F455" s="552"/>
      <c r="G455" s="660"/>
    </row>
    <row r="456" spans="1:7" ht="12.75">
      <c r="A456" s="227"/>
      <c r="B456" s="228" t="s">
        <v>148</v>
      </c>
      <c r="C456" s="549"/>
      <c r="D456" s="549"/>
      <c r="E456" s="549"/>
      <c r="F456" s="1052">
        <f>F325+F360</f>
        <v>0</v>
      </c>
      <c r="G456" s="660"/>
    </row>
    <row r="457" spans="1:7" ht="13.5" thickBot="1">
      <c r="A457" s="227"/>
      <c r="B457" s="229" t="s">
        <v>149</v>
      </c>
      <c r="C457" s="560"/>
      <c r="D457" s="560"/>
      <c r="E457" s="560"/>
      <c r="F457" s="547">
        <f>F326+F361</f>
        <v>0</v>
      </c>
      <c r="G457" s="683"/>
    </row>
    <row r="458" spans="1:7" ht="13.5" thickBot="1">
      <c r="A458" s="227"/>
      <c r="B458" s="230" t="s">
        <v>160</v>
      </c>
      <c r="C458" s="558"/>
      <c r="D458" s="558"/>
      <c r="E458" s="558"/>
      <c r="F458" s="558">
        <f>F456+F457</f>
        <v>0</v>
      </c>
      <c r="G458" s="662"/>
    </row>
    <row r="459" spans="1:7" ht="12.75">
      <c r="A459" s="227"/>
      <c r="B459" s="228" t="s">
        <v>151</v>
      </c>
      <c r="C459" s="546">
        <f aca="true" t="shared" si="129" ref="C459:D459">SUM(C460:C461)</f>
        <v>64223</v>
      </c>
      <c r="D459" s="546">
        <f t="shared" si="129"/>
        <v>64223</v>
      </c>
      <c r="E459" s="546">
        <f aca="true" t="shared" si="130" ref="E459">SUM(E460:E461)</f>
        <v>76008</v>
      </c>
      <c r="F459" s="546">
        <f>SUM(F460:F461)</f>
        <v>84205</v>
      </c>
      <c r="G459" s="660">
        <f t="shared" si="128"/>
        <v>1.1078439111672456</v>
      </c>
    </row>
    <row r="460" spans="1:7" ht="12.75">
      <c r="A460" s="227"/>
      <c r="B460" s="232" t="s">
        <v>152</v>
      </c>
      <c r="C460" s="552">
        <f>SUM(C364+C329)</f>
        <v>0</v>
      </c>
      <c r="D460" s="552">
        <f>SUM(D364+D329)</f>
        <v>0</v>
      </c>
      <c r="E460" s="552">
        <f>SUM(E364+E329)</f>
        <v>0</v>
      </c>
      <c r="F460" s="552">
        <f>SUM(F364+F329)</f>
        <v>28269</v>
      </c>
      <c r="G460" s="660">
        <v>1</v>
      </c>
    </row>
    <row r="461" spans="1:7" ht="12.75">
      <c r="A461" s="227"/>
      <c r="B461" s="232" t="s">
        <v>153</v>
      </c>
      <c r="C461" s="552">
        <f>SUM(C365)</f>
        <v>64223</v>
      </c>
      <c r="D461" s="552">
        <f>SUM(D365)</f>
        <v>64223</v>
      </c>
      <c r="E461" s="552">
        <f>SUM(E365)</f>
        <v>76008</v>
      </c>
      <c r="F461" s="552">
        <f>SUM(F365)</f>
        <v>55936</v>
      </c>
      <c r="G461" s="660">
        <f t="shared" si="128"/>
        <v>0.7359225344700557</v>
      </c>
    </row>
    <row r="462" spans="1:7" ht="12.75">
      <c r="A462" s="227"/>
      <c r="B462" s="233" t="s">
        <v>154</v>
      </c>
      <c r="C462" s="546">
        <f>SUM(C336+C366)</f>
        <v>3836</v>
      </c>
      <c r="D462" s="546">
        <f>SUM(D336+D366)</f>
        <v>3836</v>
      </c>
      <c r="E462" s="546">
        <f>SUM(E336+E366)</f>
        <v>6842</v>
      </c>
      <c r="F462" s="546">
        <f>SUM(F331+F366)</f>
        <v>11225</v>
      </c>
      <c r="G462" s="660">
        <f t="shared" si="128"/>
        <v>1.6406021631102017</v>
      </c>
    </row>
    <row r="463" spans="1:7" ht="12.75">
      <c r="A463" s="227"/>
      <c r="B463" s="233" t="s">
        <v>155</v>
      </c>
      <c r="C463" s="546">
        <f aca="true" t="shared" si="131" ref="C463:E464">SUM(C367)</f>
        <v>136099</v>
      </c>
      <c r="D463" s="546">
        <f t="shared" si="131"/>
        <v>136099</v>
      </c>
      <c r="E463" s="546">
        <f t="shared" si="131"/>
        <v>136099</v>
      </c>
      <c r="F463" s="546">
        <f aca="true" t="shared" si="132" ref="F463">SUM(F367)</f>
        <v>93970</v>
      </c>
      <c r="G463" s="660">
        <f t="shared" si="128"/>
        <v>0.6904532729851064</v>
      </c>
    </row>
    <row r="464" spans="1:7" ht="12.75">
      <c r="A464" s="227"/>
      <c r="B464" s="233" t="s">
        <v>156</v>
      </c>
      <c r="C464" s="546">
        <f t="shared" si="131"/>
        <v>55123</v>
      </c>
      <c r="D464" s="546">
        <f t="shared" si="131"/>
        <v>55123</v>
      </c>
      <c r="E464" s="546">
        <f>SUM(E368)</f>
        <v>58304</v>
      </c>
      <c r="F464" s="546">
        <f aca="true" t="shared" si="133" ref="F464">SUM(F368)</f>
        <v>51180</v>
      </c>
      <c r="G464" s="660">
        <f t="shared" si="128"/>
        <v>0.8778128430296378</v>
      </c>
    </row>
    <row r="465" spans="1:7" ht="12.75">
      <c r="A465" s="227"/>
      <c r="B465" s="233" t="s">
        <v>294</v>
      </c>
      <c r="C465" s="546">
        <f>C339</f>
        <v>0</v>
      </c>
      <c r="D465" s="546">
        <f>D339</f>
        <v>0</v>
      </c>
      <c r="E465" s="546">
        <f>E339</f>
        <v>0</v>
      </c>
      <c r="F465" s="546">
        <f>F339</f>
        <v>52</v>
      </c>
      <c r="G465" s="660"/>
    </row>
    <row r="466" spans="1:7" ht="12.75">
      <c r="A466" s="227"/>
      <c r="B466" s="234" t="s">
        <v>372</v>
      </c>
      <c r="C466" s="546">
        <f aca="true" t="shared" si="134" ref="C466:E467">SUM(C374+C340)</f>
        <v>0</v>
      </c>
      <c r="D466" s="546">
        <f t="shared" si="134"/>
        <v>0</v>
      </c>
      <c r="E466" s="546">
        <f t="shared" si="134"/>
        <v>0</v>
      </c>
      <c r="F466" s="546">
        <f>F335+F369</f>
        <v>3</v>
      </c>
      <c r="G466" s="660"/>
    </row>
    <row r="467" spans="1:7" ht="13.5" thickBot="1">
      <c r="A467" s="227"/>
      <c r="B467" s="235" t="s">
        <v>157</v>
      </c>
      <c r="C467" s="546">
        <f t="shared" si="134"/>
        <v>0</v>
      </c>
      <c r="D467" s="546">
        <f t="shared" si="134"/>
        <v>0</v>
      </c>
      <c r="E467" s="546">
        <f>E336+E370</f>
        <v>9324</v>
      </c>
      <c r="F467" s="546">
        <f>F336+F370</f>
        <v>11562</v>
      </c>
      <c r="G467" s="683">
        <f t="shared" si="128"/>
        <v>1.24002574002574</v>
      </c>
    </row>
    <row r="468" spans="1:7" ht="13.5" thickBot="1">
      <c r="A468" s="227"/>
      <c r="B468" s="236" t="s">
        <v>290</v>
      </c>
      <c r="C468" s="548">
        <f aca="true" t="shared" si="135" ref="C468:D468">SUM(C459+C462+C463+C464+C467+C465+C466)</f>
        <v>259281</v>
      </c>
      <c r="D468" s="548">
        <f t="shared" si="135"/>
        <v>259281</v>
      </c>
      <c r="E468" s="548">
        <f aca="true" t="shared" si="136" ref="E468:F468">SUM(E459+E462+E463+E464+E467+E465+E466)</f>
        <v>286577</v>
      </c>
      <c r="F468" s="548">
        <f t="shared" si="136"/>
        <v>252197</v>
      </c>
      <c r="G468" s="699">
        <f t="shared" si="128"/>
        <v>0.8800322426433385</v>
      </c>
    </row>
    <row r="469" spans="1:7" ht="13.5" thickBot="1">
      <c r="A469" s="227"/>
      <c r="B469" s="881" t="s">
        <v>184</v>
      </c>
      <c r="C469" s="548"/>
      <c r="D469" s="548"/>
      <c r="E469" s="548"/>
      <c r="F469" s="548"/>
      <c r="G469" s="662"/>
    </row>
    <row r="470" spans="1:7" ht="13.5" thickBot="1">
      <c r="A470" s="227"/>
      <c r="B470" s="238" t="s">
        <v>45</v>
      </c>
      <c r="C470" s="680">
        <f aca="true" t="shared" si="137" ref="C470:D470">SUM(C468+C458)</f>
        <v>259281</v>
      </c>
      <c r="D470" s="680">
        <f t="shared" si="137"/>
        <v>259281</v>
      </c>
      <c r="E470" s="680">
        <f aca="true" t="shared" si="138" ref="E470:F470">SUM(E468+E458)</f>
        <v>286577</v>
      </c>
      <c r="F470" s="680">
        <f t="shared" si="138"/>
        <v>252197</v>
      </c>
      <c r="G470" s="699">
        <f t="shared" si="128"/>
        <v>0.8800322426433385</v>
      </c>
    </row>
    <row r="471" spans="1:7" ht="12.75">
      <c r="A471" s="227"/>
      <c r="B471" s="485" t="s">
        <v>383</v>
      </c>
      <c r="C471" s="556">
        <f>SUM(C345)</f>
        <v>0</v>
      </c>
      <c r="D471" s="556"/>
      <c r="E471" s="556"/>
      <c r="F471" s="556"/>
      <c r="G471" s="660"/>
    </row>
    <row r="472" spans="1:7" ht="13.5" thickBot="1">
      <c r="A472" s="227"/>
      <c r="B472" s="483" t="s">
        <v>384</v>
      </c>
      <c r="C472" s="554"/>
      <c r="D472" s="554"/>
      <c r="E472" s="554"/>
      <c r="F472" s="554"/>
      <c r="G472" s="683"/>
    </row>
    <row r="473" spans="1:7" ht="13.5" thickBot="1">
      <c r="A473" s="227"/>
      <c r="B473" s="239" t="s">
        <v>46</v>
      </c>
      <c r="C473" s="563">
        <f aca="true" t="shared" si="139" ref="C473:D473">SUM(C471:C472)</f>
        <v>0</v>
      </c>
      <c r="D473" s="563">
        <f t="shared" si="139"/>
        <v>0</v>
      </c>
      <c r="E473" s="563">
        <f aca="true" t="shared" si="140" ref="E473:F473">SUM(E471:E472)</f>
        <v>0</v>
      </c>
      <c r="F473" s="563">
        <f t="shared" si="140"/>
        <v>0</v>
      </c>
      <c r="G473" s="662"/>
    </row>
    <row r="474" spans="1:7" ht="12.75">
      <c r="A474" s="227"/>
      <c r="B474" s="479" t="s">
        <v>348</v>
      </c>
      <c r="C474" s="556"/>
      <c r="D474" s="556">
        <f>D342+D376</f>
        <v>16891</v>
      </c>
      <c r="E474" s="556">
        <f>E342+E376</f>
        <v>16891</v>
      </c>
      <c r="F474" s="556">
        <f>F342+F376</f>
        <v>16891</v>
      </c>
      <c r="G474" s="660">
        <f t="shared" si="128"/>
        <v>1</v>
      </c>
    </row>
    <row r="475" spans="1:7" s="930" customFormat="1" ht="12.75">
      <c r="A475" s="227"/>
      <c r="B475" s="118" t="s">
        <v>362</v>
      </c>
      <c r="C475" s="556"/>
      <c r="D475" s="556">
        <f>D377</f>
        <v>218</v>
      </c>
      <c r="E475" s="556">
        <f>E377</f>
        <v>218</v>
      </c>
      <c r="F475" s="556">
        <f>F377</f>
        <v>218</v>
      </c>
      <c r="G475" s="660">
        <f t="shared" si="128"/>
        <v>1</v>
      </c>
    </row>
    <row r="476" spans="1:7" ht="12.75">
      <c r="A476" s="227"/>
      <c r="B476" s="240" t="s">
        <v>376</v>
      </c>
      <c r="C476" s="546">
        <f>SUM(C343+C378)</f>
        <v>4233123</v>
      </c>
      <c r="D476" s="546">
        <f>SUM(D343+D378)</f>
        <v>4464382</v>
      </c>
      <c r="E476" s="546">
        <f>SUM(E343+E378)</f>
        <v>4390611</v>
      </c>
      <c r="F476" s="546">
        <f>SUM(F343+F378)</f>
        <v>2829073</v>
      </c>
      <c r="G476" s="660">
        <f aca="true" t="shared" si="141" ref="G476:G539">F476/E476</f>
        <v>0.6443460830394676</v>
      </c>
    </row>
    <row r="477" spans="1:7" ht="13.5" thickBot="1">
      <c r="A477" s="227"/>
      <c r="B477" s="241" t="s">
        <v>379</v>
      </c>
      <c r="C477" s="547">
        <f>SUM(C379)</f>
        <v>396130</v>
      </c>
      <c r="D477" s="547">
        <f>SUM(D379)</f>
        <v>503008</v>
      </c>
      <c r="E477" s="547">
        <f>SUM(E379)</f>
        <v>555020</v>
      </c>
      <c r="F477" s="547">
        <f>SUM(F379)</f>
        <v>349510</v>
      </c>
      <c r="G477" s="683">
        <f t="shared" si="141"/>
        <v>0.6297250549529747</v>
      </c>
    </row>
    <row r="478" spans="1:7" ht="13.5" thickBot="1">
      <c r="A478" s="227"/>
      <c r="B478" s="242" t="s">
        <v>39</v>
      </c>
      <c r="C478" s="555">
        <f aca="true" t="shared" si="142" ref="C478">SUM(C474:C477)</f>
        <v>4629253</v>
      </c>
      <c r="D478" s="555">
        <f>SUM(D474:D477)</f>
        <v>4984499</v>
      </c>
      <c r="E478" s="555">
        <f>SUM(E474:E477)</f>
        <v>4962740</v>
      </c>
      <c r="F478" s="555">
        <f>SUM(F474:F477)</f>
        <v>3195692</v>
      </c>
      <c r="G478" s="699">
        <f t="shared" si="141"/>
        <v>0.6439370186630773</v>
      </c>
    </row>
    <row r="479" spans="1:7" ht="13.5" thickBot="1">
      <c r="A479" s="227"/>
      <c r="B479" s="201" t="s">
        <v>348</v>
      </c>
      <c r="C479" s="554"/>
      <c r="D479" s="554">
        <f>D345+D381</f>
        <v>761</v>
      </c>
      <c r="E479" s="554">
        <f>E345+E381</f>
        <v>761</v>
      </c>
      <c r="F479" s="554">
        <f>F345+F381</f>
        <v>761</v>
      </c>
      <c r="G479" s="662">
        <f t="shared" si="141"/>
        <v>1</v>
      </c>
    </row>
    <row r="480" spans="1:7" ht="13.5" thickBot="1">
      <c r="A480" s="227"/>
      <c r="B480" s="242" t="s">
        <v>41</v>
      </c>
      <c r="C480" s="555">
        <f aca="true" t="shared" si="143" ref="C480:D480">SUM(C479)</f>
        <v>0</v>
      </c>
      <c r="D480" s="555">
        <f t="shared" si="143"/>
        <v>761</v>
      </c>
      <c r="E480" s="555">
        <f aca="true" t="shared" si="144" ref="E480:F480">SUM(E479)</f>
        <v>761</v>
      </c>
      <c r="F480" s="555">
        <f t="shared" si="144"/>
        <v>761</v>
      </c>
      <c r="G480" s="699">
        <f t="shared" si="141"/>
        <v>1</v>
      </c>
    </row>
    <row r="481" spans="1:7" ht="15.75" thickBot="1">
      <c r="A481" s="227"/>
      <c r="B481" s="244" t="s">
        <v>50</v>
      </c>
      <c r="C481" s="548">
        <f>SUM(C470+C473+C478+C480)</f>
        <v>4888534</v>
      </c>
      <c r="D481" s="548">
        <f>SUM(D470+D473+D478+D480)</f>
        <v>5244541</v>
      </c>
      <c r="E481" s="548">
        <f>SUM(E470+E473+E478+E480)</f>
        <v>5250078</v>
      </c>
      <c r="F481" s="548">
        <f>SUM(F470+F473+F478+F480)</f>
        <v>3448650</v>
      </c>
      <c r="G481" s="699">
        <f t="shared" si="141"/>
        <v>0.6568759549858116</v>
      </c>
    </row>
    <row r="482" spans="1:7" ht="12.75">
      <c r="A482" s="227"/>
      <c r="B482" s="245" t="s">
        <v>271</v>
      </c>
      <c r="C482" s="546">
        <f aca="true" t="shared" si="145" ref="C482:D484">SUM(C384+C348)</f>
        <v>2236996</v>
      </c>
      <c r="D482" s="546">
        <f t="shared" si="145"/>
        <v>2244876</v>
      </c>
      <c r="E482" s="546">
        <f aca="true" t="shared" si="146" ref="E482:F482">SUM(E384+E348)</f>
        <v>2265671</v>
      </c>
      <c r="F482" s="546">
        <f t="shared" si="146"/>
        <v>1487287</v>
      </c>
      <c r="G482" s="660">
        <f t="shared" si="141"/>
        <v>0.6564443822602664</v>
      </c>
    </row>
    <row r="483" spans="1:7" ht="12.75">
      <c r="A483" s="227"/>
      <c r="B483" s="245" t="s">
        <v>272</v>
      </c>
      <c r="C483" s="546">
        <f t="shared" si="145"/>
        <v>333409</v>
      </c>
      <c r="D483" s="546">
        <f t="shared" si="145"/>
        <v>336863</v>
      </c>
      <c r="E483" s="546">
        <f aca="true" t="shared" si="147" ref="E483:F483">SUM(E385+E349)</f>
        <v>339566</v>
      </c>
      <c r="F483" s="546">
        <f t="shared" si="147"/>
        <v>210624</v>
      </c>
      <c r="G483" s="660">
        <f t="shared" si="141"/>
        <v>0.6202741146051136</v>
      </c>
    </row>
    <row r="484" spans="1:7" ht="12.75">
      <c r="A484" s="227"/>
      <c r="B484" s="245" t="s">
        <v>273</v>
      </c>
      <c r="C484" s="546">
        <f t="shared" si="145"/>
        <v>1836250</v>
      </c>
      <c r="D484" s="546">
        <f t="shared" si="145"/>
        <v>2024918</v>
      </c>
      <c r="E484" s="546">
        <f aca="true" t="shared" si="148" ref="E484:F484">SUM(E386+E350)</f>
        <v>2040069</v>
      </c>
      <c r="F484" s="546">
        <f t="shared" si="148"/>
        <v>1338640</v>
      </c>
      <c r="G484" s="660">
        <f t="shared" si="141"/>
        <v>0.6561738843146973</v>
      </c>
    </row>
    <row r="485" spans="1:7" ht="12.75">
      <c r="A485" s="227"/>
      <c r="B485" s="246" t="s">
        <v>275</v>
      </c>
      <c r="C485" s="546">
        <f>SUM(C387+C356)</f>
        <v>0</v>
      </c>
      <c r="D485" s="546">
        <f aca="true" t="shared" si="149" ref="D485:E485">SUM(D387+D356)</f>
        <v>0</v>
      </c>
      <c r="E485" s="546">
        <f t="shared" si="149"/>
        <v>0</v>
      </c>
      <c r="F485" s="546">
        <f aca="true" t="shared" si="150" ref="F485">SUM(F387+F356)</f>
        <v>0</v>
      </c>
      <c r="G485" s="660"/>
    </row>
    <row r="486" spans="1:7" ht="13.5" thickBot="1">
      <c r="A486" s="227"/>
      <c r="B486" s="247" t="s">
        <v>274</v>
      </c>
      <c r="C486" s="546">
        <f>SUM(C388+C352)</f>
        <v>0</v>
      </c>
      <c r="D486" s="546">
        <f>SUM(D388+D352)</f>
        <v>0</v>
      </c>
      <c r="E486" s="546">
        <f>SUM(E388+E352)</f>
        <v>31</v>
      </c>
      <c r="F486" s="546">
        <f>SUM(F388+F352)</f>
        <v>10</v>
      </c>
      <c r="G486" s="683">
        <f t="shared" si="141"/>
        <v>0.3225806451612903</v>
      </c>
    </row>
    <row r="487" spans="1:7" ht="13.5" thickBot="1">
      <c r="A487" s="227"/>
      <c r="B487" s="248" t="s">
        <v>38</v>
      </c>
      <c r="C487" s="548">
        <f aca="true" t="shared" si="151" ref="C487">SUM(C482:C486)</f>
        <v>4406655</v>
      </c>
      <c r="D487" s="548">
        <f>SUM(D482:D486)</f>
        <v>4606657</v>
      </c>
      <c r="E487" s="548">
        <f aca="true" t="shared" si="152" ref="E487:F487">SUM(E482:E486)</f>
        <v>4645337</v>
      </c>
      <c r="F487" s="548">
        <f t="shared" si="152"/>
        <v>3036561</v>
      </c>
      <c r="G487" s="699">
        <f t="shared" si="141"/>
        <v>0.653679377836312</v>
      </c>
    </row>
    <row r="488" spans="1:7" ht="12.75">
      <c r="A488" s="227"/>
      <c r="B488" s="245" t="s">
        <v>204</v>
      </c>
      <c r="C488" s="546">
        <f>SUM(C390+C354)</f>
        <v>277642</v>
      </c>
      <c r="D488" s="546">
        <f>SUM(D390+D354)</f>
        <v>331264</v>
      </c>
      <c r="E488" s="546">
        <f>SUM(E390+E354)</f>
        <v>289077</v>
      </c>
      <c r="F488" s="546">
        <f>SUM(F390+F354)</f>
        <v>140912</v>
      </c>
      <c r="G488" s="660">
        <f t="shared" si="141"/>
        <v>0.4874548995596329</v>
      </c>
    </row>
    <row r="489" spans="1:7" ht="12.75">
      <c r="A489" s="227"/>
      <c r="B489" s="245" t="s">
        <v>205</v>
      </c>
      <c r="C489" s="546">
        <f>SUM(C401+C355+C427)</f>
        <v>204237</v>
      </c>
      <c r="D489" s="546">
        <f>SUM(D355+D427)</f>
        <v>306620</v>
      </c>
      <c r="E489" s="546">
        <f>SUM(E355+E427)</f>
        <v>315664</v>
      </c>
      <c r="F489" s="546">
        <f>SUM(F355+F427)</f>
        <v>207081</v>
      </c>
      <c r="G489" s="660">
        <f t="shared" si="141"/>
        <v>0.656017157483907</v>
      </c>
    </row>
    <row r="490" spans="1:7" ht="13.5" thickBot="1">
      <c r="A490" s="227"/>
      <c r="B490" s="247" t="s">
        <v>357</v>
      </c>
      <c r="C490" s="547"/>
      <c r="D490" s="547"/>
      <c r="E490" s="547"/>
      <c r="F490" s="547"/>
      <c r="G490" s="683"/>
    </row>
    <row r="491" spans="1:7" ht="13.5" thickBot="1">
      <c r="A491" s="227"/>
      <c r="B491" s="249" t="s">
        <v>44</v>
      </c>
      <c r="C491" s="553">
        <f aca="true" t="shared" si="153" ref="C491:D491">SUM(C488:C490)</f>
        <v>481879</v>
      </c>
      <c r="D491" s="553">
        <f t="shared" si="153"/>
        <v>637884</v>
      </c>
      <c r="E491" s="553">
        <f aca="true" t="shared" si="154" ref="E491:F491">SUM(E488:E490)</f>
        <v>604741</v>
      </c>
      <c r="F491" s="553">
        <f t="shared" si="154"/>
        <v>347993</v>
      </c>
      <c r="G491" s="699">
        <f t="shared" si="141"/>
        <v>0.5754413873046478</v>
      </c>
    </row>
    <row r="492" spans="1:7" ht="15.75" thickBot="1">
      <c r="A492" s="224"/>
      <c r="B492" s="250" t="s">
        <v>84</v>
      </c>
      <c r="C492" s="548">
        <f aca="true" t="shared" si="155" ref="C492:D492">SUM(C487+C491)</f>
        <v>4888534</v>
      </c>
      <c r="D492" s="548">
        <f t="shared" si="155"/>
        <v>5244541</v>
      </c>
      <c r="E492" s="553">
        <f aca="true" t="shared" si="156" ref="E492:F492">SUM(E487+E491)</f>
        <v>5250078</v>
      </c>
      <c r="F492" s="553">
        <f t="shared" si="156"/>
        <v>3384554</v>
      </c>
      <c r="G492" s="908">
        <f t="shared" si="141"/>
        <v>0.6446673744656746</v>
      </c>
    </row>
    <row r="493" spans="1:7" ht="15">
      <c r="A493" s="181">
        <v>2850</v>
      </c>
      <c r="B493" s="184" t="s">
        <v>284</v>
      </c>
      <c r="C493" s="546"/>
      <c r="D493" s="546"/>
      <c r="E493" s="546"/>
      <c r="F493" s="546"/>
      <c r="G493" s="660"/>
    </row>
    <row r="494" spans="1:7" ht="12.6" customHeight="1">
      <c r="A494" s="227"/>
      <c r="B494" s="228" t="s">
        <v>148</v>
      </c>
      <c r="C494" s="549"/>
      <c r="D494" s="549"/>
      <c r="E494" s="549"/>
      <c r="F494" s="549"/>
      <c r="G494" s="660"/>
    </row>
    <row r="495" spans="1:7" ht="13.5" thickBot="1">
      <c r="A495" s="227"/>
      <c r="B495" s="229" t="s">
        <v>149</v>
      </c>
      <c r="C495" s="564"/>
      <c r="D495" s="564"/>
      <c r="E495" s="564"/>
      <c r="F495" s="564"/>
      <c r="G495" s="683"/>
    </row>
    <row r="496" spans="1:7" ht="13.5" thickBot="1">
      <c r="A496" s="227"/>
      <c r="B496" s="230" t="s">
        <v>160</v>
      </c>
      <c r="C496" s="565"/>
      <c r="D496" s="565"/>
      <c r="E496" s="565"/>
      <c r="F496" s="565"/>
      <c r="G496" s="662"/>
    </row>
    <row r="497" spans="1:7" ht="12.75">
      <c r="A497" s="227"/>
      <c r="B497" s="228" t="s">
        <v>151</v>
      </c>
      <c r="C497" s="546">
        <f aca="true" t="shared" si="157" ref="C497:F497">SUM(C498)</f>
        <v>7137</v>
      </c>
      <c r="D497" s="546">
        <f t="shared" si="157"/>
        <v>7137</v>
      </c>
      <c r="E497" s="546">
        <f t="shared" si="157"/>
        <v>7137</v>
      </c>
      <c r="F497" s="546">
        <f t="shared" si="157"/>
        <v>4416</v>
      </c>
      <c r="G497" s="660">
        <f t="shared" si="141"/>
        <v>0.6187473728457336</v>
      </c>
    </row>
    <row r="498" spans="1:7" ht="12.75">
      <c r="A498" s="227"/>
      <c r="B498" s="232" t="s">
        <v>152</v>
      </c>
      <c r="C498" s="552">
        <v>7137</v>
      </c>
      <c r="D498" s="552">
        <v>7137</v>
      </c>
      <c r="E498" s="552">
        <v>7137</v>
      </c>
      <c r="F498" s="552">
        <v>4416</v>
      </c>
      <c r="G498" s="660">
        <f t="shared" si="141"/>
        <v>0.6187473728457336</v>
      </c>
    </row>
    <row r="499" spans="1:7" ht="12.75">
      <c r="A499" s="227"/>
      <c r="B499" s="232" t="s">
        <v>153</v>
      </c>
      <c r="C499" s="552"/>
      <c r="D499" s="552"/>
      <c r="E499" s="552"/>
      <c r="F499" s="552"/>
      <c r="G499" s="660"/>
    </row>
    <row r="500" spans="1:7" ht="12.75">
      <c r="A500" s="227"/>
      <c r="B500" s="233" t="s">
        <v>154</v>
      </c>
      <c r="C500" s="546"/>
      <c r="D500" s="546"/>
      <c r="E500" s="546"/>
      <c r="F500" s="546"/>
      <c r="G500" s="660"/>
    </row>
    <row r="501" spans="1:7" ht="12.75">
      <c r="A501" s="227"/>
      <c r="B501" s="233" t="s">
        <v>155</v>
      </c>
      <c r="C501" s="546">
        <v>19703</v>
      </c>
      <c r="D501" s="546">
        <v>19703</v>
      </c>
      <c r="E501" s="546">
        <v>19703</v>
      </c>
      <c r="F501" s="546">
        <v>8736</v>
      </c>
      <c r="G501" s="660">
        <f t="shared" si="141"/>
        <v>0.4433842562046389</v>
      </c>
    </row>
    <row r="502" spans="1:7" ht="12.75">
      <c r="A502" s="227"/>
      <c r="B502" s="233" t="s">
        <v>156</v>
      </c>
      <c r="C502" s="546">
        <v>7290</v>
      </c>
      <c r="D502" s="546">
        <v>7290</v>
      </c>
      <c r="E502" s="546">
        <v>7290</v>
      </c>
      <c r="F502" s="546">
        <v>3205</v>
      </c>
      <c r="G502" s="660">
        <f t="shared" si="141"/>
        <v>0.4396433470507545</v>
      </c>
    </row>
    <row r="503" spans="1:7" ht="12.75">
      <c r="A503" s="227"/>
      <c r="B503" s="233" t="s">
        <v>294</v>
      </c>
      <c r="C503" s="546"/>
      <c r="D503" s="546"/>
      <c r="E503" s="546"/>
      <c r="F503" s="546"/>
      <c r="G503" s="660"/>
    </row>
    <row r="504" spans="1:7" ht="12.75">
      <c r="A504" s="227"/>
      <c r="B504" s="234" t="s">
        <v>372</v>
      </c>
      <c r="C504" s="546"/>
      <c r="D504" s="546"/>
      <c r="E504" s="546"/>
      <c r="F504" s="546"/>
      <c r="G504" s="660"/>
    </row>
    <row r="505" spans="1:7" ht="13.5" thickBot="1">
      <c r="A505" s="227"/>
      <c r="B505" s="235" t="s">
        <v>157</v>
      </c>
      <c r="C505" s="546"/>
      <c r="D505" s="546"/>
      <c r="E505" s="546"/>
      <c r="F505" s="546">
        <v>2</v>
      </c>
      <c r="G505" s="683">
        <v>1</v>
      </c>
    </row>
    <row r="506" spans="1:7" ht="13.5" thickBot="1">
      <c r="A506" s="227"/>
      <c r="B506" s="236" t="s">
        <v>290</v>
      </c>
      <c r="C506" s="548">
        <f aca="true" t="shared" si="158" ref="C506:D506">SUM(C497+C500+C501+C502+C505+C503)</f>
        <v>34130</v>
      </c>
      <c r="D506" s="548">
        <f t="shared" si="158"/>
        <v>34130</v>
      </c>
      <c r="E506" s="548">
        <f aca="true" t="shared" si="159" ref="E506:F506">SUM(E497+E500+E501+E502+E505+E503)</f>
        <v>34130</v>
      </c>
      <c r="F506" s="548">
        <f t="shared" si="159"/>
        <v>16359</v>
      </c>
      <c r="G506" s="699">
        <f t="shared" si="141"/>
        <v>0.47931438617052446</v>
      </c>
    </row>
    <row r="507" spans="1:7" ht="13.5" thickBot="1">
      <c r="A507" s="227"/>
      <c r="B507" s="881" t="s">
        <v>184</v>
      </c>
      <c r="C507" s="553"/>
      <c r="D507" s="553"/>
      <c r="E507" s="553"/>
      <c r="F507" s="553"/>
      <c r="G507" s="662"/>
    </row>
    <row r="508" spans="1:7" ht="13.5" thickBot="1">
      <c r="A508" s="227"/>
      <c r="B508" s="238" t="s">
        <v>45</v>
      </c>
      <c r="C508" s="672">
        <f aca="true" t="shared" si="160" ref="C508:D508">SUM(C506+C496)</f>
        <v>34130</v>
      </c>
      <c r="D508" s="672">
        <f t="shared" si="160"/>
        <v>34130</v>
      </c>
      <c r="E508" s="672">
        <f aca="true" t="shared" si="161" ref="E508:F508">SUM(E506+E496)</f>
        <v>34130</v>
      </c>
      <c r="F508" s="672">
        <f t="shared" si="161"/>
        <v>16359</v>
      </c>
      <c r="G508" s="699">
        <f t="shared" si="141"/>
        <v>0.47931438617052446</v>
      </c>
    </row>
    <row r="509" spans="1:7" ht="13.5" thickBot="1">
      <c r="A509" s="227"/>
      <c r="B509" s="239" t="s">
        <v>46</v>
      </c>
      <c r="C509" s="554"/>
      <c r="D509" s="554"/>
      <c r="E509" s="554"/>
      <c r="F509" s="554"/>
      <c r="G509" s="662"/>
    </row>
    <row r="510" spans="1:7" ht="12.75">
      <c r="A510" s="227"/>
      <c r="B510" s="479" t="s">
        <v>348</v>
      </c>
      <c r="C510" s="556"/>
      <c r="D510" s="556">
        <v>4023</v>
      </c>
      <c r="E510" s="556">
        <v>4023</v>
      </c>
      <c r="F510" s="556">
        <v>4023</v>
      </c>
      <c r="G510" s="660">
        <f t="shared" si="141"/>
        <v>1</v>
      </c>
    </row>
    <row r="511" spans="1:7" ht="12.75">
      <c r="A511" s="227"/>
      <c r="B511" s="118" t="s">
        <v>362</v>
      </c>
      <c r="C511" s="556"/>
      <c r="D511" s="556"/>
      <c r="E511" s="556"/>
      <c r="F511" s="556"/>
      <c r="G511" s="660"/>
    </row>
    <row r="512" spans="1:7" ht="12.75">
      <c r="A512" s="227"/>
      <c r="B512" s="240" t="s">
        <v>376</v>
      </c>
      <c r="C512" s="546">
        <v>822960</v>
      </c>
      <c r="D512" s="546">
        <f>822960+4289+1409</f>
        <v>828658</v>
      </c>
      <c r="E512" s="546">
        <f>828658+4668+5649+1300+2127</f>
        <v>842402</v>
      </c>
      <c r="F512" s="546">
        <v>552667</v>
      </c>
      <c r="G512" s="660">
        <f t="shared" si="141"/>
        <v>0.6560608830463366</v>
      </c>
    </row>
    <row r="513" spans="1:7" ht="13.5" thickBot="1">
      <c r="A513" s="227"/>
      <c r="B513" s="241" t="s">
        <v>379</v>
      </c>
      <c r="C513" s="547">
        <v>21117</v>
      </c>
      <c r="D513" s="547">
        <v>21117</v>
      </c>
      <c r="E513" s="547">
        <v>21117</v>
      </c>
      <c r="F513" s="547">
        <v>18734</v>
      </c>
      <c r="G513" s="683">
        <f t="shared" si="141"/>
        <v>0.8871525311360515</v>
      </c>
    </row>
    <row r="514" spans="1:7" ht="13.5" thickBot="1">
      <c r="A514" s="227"/>
      <c r="B514" s="242" t="s">
        <v>39</v>
      </c>
      <c r="C514" s="563">
        <f aca="true" t="shared" si="162" ref="C514">SUM(C510:C513)</f>
        <v>844077</v>
      </c>
      <c r="D514" s="563">
        <f>SUM(D510:D513)</f>
        <v>853798</v>
      </c>
      <c r="E514" s="563">
        <f>SUM(E510:E513)</f>
        <v>867542</v>
      </c>
      <c r="F514" s="563">
        <f>SUM(F510:F513)</f>
        <v>575424</v>
      </c>
      <c r="G514" s="699">
        <f t="shared" si="141"/>
        <v>0.663280855566647</v>
      </c>
    </row>
    <row r="515" spans="1:7" ht="13.5" thickBot="1">
      <c r="A515" s="227"/>
      <c r="B515" s="201" t="s">
        <v>348</v>
      </c>
      <c r="C515" s="554"/>
      <c r="D515" s="554"/>
      <c r="E515" s="554"/>
      <c r="F515" s="554"/>
      <c r="G515" s="662"/>
    </row>
    <row r="516" spans="1:7" ht="13.5" thickBot="1">
      <c r="A516" s="227"/>
      <c r="B516" s="242" t="s">
        <v>41</v>
      </c>
      <c r="C516" s="555"/>
      <c r="D516" s="555"/>
      <c r="E516" s="555"/>
      <c r="F516" s="555"/>
      <c r="G516" s="662"/>
    </row>
    <row r="517" spans="1:7" ht="15.75" thickBot="1">
      <c r="A517" s="227"/>
      <c r="B517" s="244" t="s">
        <v>50</v>
      </c>
      <c r="C517" s="553">
        <f>SUM(C508+C509+C514)+C516</f>
        <v>878207</v>
      </c>
      <c r="D517" s="553">
        <f>SUM(D508+D509+D514)+D516</f>
        <v>887928</v>
      </c>
      <c r="E517" s="553">
        <f>SUM(E508+E509+E514)+E516</f>
        <v>901672</v>
      </c>
      <c r="F517" s="553">
        <f>SUM(F508+F509+F514)+F516</f>
        <v>591783</v>
      </c>
      <c r="G517" s="699">
        <f t="shared" si="141"/>
        <v>0.6563173748325334</v>
      </c>
    </row>
    <row r="518" spans="1:7" ht="12.75" customHeight="1">
      <c r="A518" s="227"/>
      <c r="B518" s="245" t="s">
        <v>271</v>
      </c>
      <c r="C518" s="546">
        <v>703766</v>
      </c>
      <c r="D518" s="546">
        <f>703766+996+3796</f>
        <v>708558</v>
      </c>
      <c r="E518" s="546">
        <f>708558+4131+4999+1882</f>
        <v>719570</v>
      </c>
      <c r="F518" s="546">
        <v>470709</v>
      </c>
      <c r="G518" s="660">
        <f t="shared" si="141"/>
        <v>0.6541531748127354</v>
      </c>
    </row>
    <row r="519" spans="1:7" ht="12.75">
      <c r="A519" s="227"/>
      <c r="B519" s="245" t="s">
        <v>272</v>
      </c>
      <c r="C519" s="546">
        <v>106549</v>
      </c>
      <c r="D519" s="546">
        <f>106549+106+493</f>
        <v>107148</v>
      </c>
      <c r="E519" s="546">
        <f>107148+537+650+245</f>
        <v>108580</v>
      </c>
      <c r="F519" s="546">
        <v>70344</v>
      </c>
      <c r="G519" s="660">
        <f t="shared" si="141"/>
        <v>0.6478541167802542</v>
      </c>
    </row>
    <row r="520" spans="1:7" ht="12.75">
      <c r="A520" s="227"/>
      <c r="B520" s="245" t="s">
        <v>273</v>
      </c>
      <c r="C520" s="546">
        <v>65392</v>
      </c>
      <c r="D520" s="546">
        <f>65392+2921+198+1409-218</f>
        <v>69702</v>
      </c>
      <c r="E520" s="546">
        <f>65392+2921+198+1409-218+20</f>
        <v>69722</v>
      </c>
      <c r="F520" s="546">
        <v>38284</v>
      </c>
      <c r="G520" s="660">
        <f t="shared" si="141"/>
        <v>0.5490949771951464</v>
      </c>
    </row>
    <row r="521" spans="1:7" ht="12.75">
      <c r="A521" s="227"/>
      <c r="B521" s="246" t="s">
        <v>275</v>
      </c>
      <c r="C521" s="546"/>
      <c r="D521" s="546"/>
      <c r="E521" s="546"/>
      <c r="F521" s="546"/>
      <c r="G521" s="660"/>
    </row>
    <row r="522" spans="1:7" ht="13.5" thickBot="1">
      <c r="A522" s="227"/>
      <c r="B522" s="247" t="s">
        <v>274</v>
      </c>
      <c r="C522" s="546"/>
      <c r="D522" s="546">
        <v>20</v>
      </c>
      <c r="E522" s="546">
        <f>20-20</f>
        <v>0</v>
      </c>
      <c r="F522" s="546">
        <f>20-20</f>
        <v>0</v>
      </c>
      <c r="G522" s="683"/>
    </row>
    <row r="523" spans="1:7" ht="13.5" thickBot="1">
      <c r="A523" s="227"/>
      <c r="B523" s="248" t="s">
        <v>38</v>
      </c>
      <c r="C523" s="548">
        <f aca="true" t="shared" si="163" ref="C523:D523">SUM(C518:C522)</f>
        <v>875707</v>
      </c>
      <c r="D523" s="548">
        <f t="shared" si="163"/>
        <v>885428</v>
      </c>
      <c r="E523" s="548">
        <f aca="true" t="shared" si="164" ref="E523:F523">SUM(E518:E522)</f>
        <v>897872</v>
      </c>
      <c r="F523" s="548">
        <f t="shared" si="164"/>
        <v>579337</v>
      </c>
      <c r="G523" s="699">
        <f t="shared" si="141"/>
        <v>0.6452333962970223</v>
      </c>
    </row>
    <row r="524" spans="1:7" ht="12.75">
      <c r="A524" s="227"/>
      <c r="B524" s="245" t="s">
        <v>544</v>
      </c>
      <c r="C524" s="546">
        <v>2500</v>
      </c>
      <c r="D524" s="546">
        <v>2500</v>
      </c>
      <c r="E524" s="546">
        <f>2500+1300</f>
        <v>3800</v>
      </c>
      <c r="F524" s="546">
        <v>1990</v>
      </c>
      <c r="G524" s="660">
        <f t="shared" si="141"/>
        <v>0.5236842105263158</v>
      </c>
    </row>
    <row r="525" spans="1:7" ht="12.75">
      <c r="A525" s="227"/>
      <c r="B525" s="245" t="s">
        <v>205</v>
      </c>
      <c r="C525" s="546"/>
      <c r="D525" s="546"/>
      <c r="E525" s="546"/>
      <c r="F525" s="546"/>
      <c r="G525" s="660"/>
    </row>
    <row r="526" spans="1:7" ht="13.5" thickBot="1">
      <c r="A526" s="227"/>
      <c r="B526" s="247" t="s">
        <v>357</v>
      </c>
      <c r="C526" s="546"/>
      <c r="D526" s="546"/>
      <c r="E526" s="546"/>
      <c r="F526" s="546"/>
      <c r="G526" s="683"/>
    </row>
    <row r="527" spans="1:7" ht="13.5" thickBot="1">
      <c r="A527" s="227"/>
      <c r="B527" s="249" t="s">
        <v>44</v>
      </c>
      <c r="C527" s="548">
        <f aca="true" t="shared" si="165" ref="C527:D527">SUM(C524:C526)</f>
        <v>2500</v>
      </c>
      <c r="D527" s="548">
        <f t="shared" si="165"/>
        <v>2500</v>
      </c>
      <c r="E527" s="1028">
        <f aca="true" t="shared" si="166" ref="E527:F527">SUM(E524:E526)</f>
        <v>3800</v>
      </c>
      <c r="F527" s="1028">
        <f t="shared" si="166"/>
        <v>1990</v>
      </c>
      <c r="G527" s="908">
        <f t="shared" si="141"/>
        <v>0.5236842105263158</v>
      </c>
    </row>
    <row r="528" spans="1:7" ht="15.75" thickBot="1">
      <c r="A528" s="224"/>
      <c r="B528" s="250" t="s">
        <v>84</v>
      </c>
      <c r="C528" s="553">
        <f aca="true" t="shared" si="167" ref="C528:D528">SUM(C523+C527)</f>
        <v>878207</v>
      </c>
      <c r="D528" s="553">
        <f t="shared" si="167"/>
        <v>887928</v>
      </c>
      <c r="E528" s="553">
        <f aca="true" t="shared" si="168" ref="E528:F528">SUM(E523+E527)</f>
        <v>901672</v>
      </c>
      <c r="F528" s="553">
        <f t="shared" si="168"/>
        <v>581327</v>
      </c>
      <c r="G528" s="699">
        <f t="shared" si="141"/>
        <v>0.6447211402816102</v>
      </c>
    </row>
    <row r="529" spans="1:7" ht="15">
      <c r="A529" s="181">
        <v>2875</v>
      </c>
      <c r="B529" s="184" t="s">
        <v>255</v>
      </c>
      <c r="C529" s="546"/>
      <c r="D529" s="546"/>
      <c r="E529" s="546"/>
      <c r="F529" s="546"/>
      <c r="G529" s="660"/>
    </row>
    <row r="530" spans="1:7" ht="12.6" customHeight="1">
      <c r="A530" s="227"/>
      <c r="B530" s="228" t="s">
        <v>148</v>
      </c>
      <c r="C530" s="549"/>
      <c r="D530" s="549"/>
      <c r="E530" s="549"/>
      <c r="F530" s="549"/>
      <c r="G530" s="660"/>
    </row>
    <row r="531" spans="1:7" ht="13.5" thickBot="1">
      <c r="A531" s="227"/>
      <c r="B531" s="229" t="s">
        <v>149</v>
      </c>
      <c r="C531" s="547"/>
      <c r="D531" s="547"/>
      <c r="E531" s="547"/>
      <c r="F531" s="547"/>
      <c r="G531" s="683"/>
    </row>
    <row r="532" spans="1:7" ht="13.5" thickBot="1">
      <c r="A532" s="227"/>
      <c r="B532" s="230" t="s">
        <v>160</v>
      </c>
      <c r="C532" s="562"/>
      <c r="D532" s="562"/>
      <c r="E532" s="562"/>
      <c r="F532" s="562"/>
      <c r="G532" s="662"/>
    </row>
    <row r="533" spans="1:7" ht="12.75">
      <c r="A533" s="227"/>
      <c r="B533" s="228" t="s">
        <v>151</v>
      </c>
      <c r="C533" s="546">
        <v>378</v>
      </c>
      <c r="D533" s="546">
        <v>378</v>
      </c>
      <c r="E533" s="546">
        <v>378</v>
      </c>
      <c r="F533" s="546">
        <f>F534+F535</f>
        <v>0</v>
      </c>
      <c r="G533" s="660">
        <f t="shared" si="141"/>
        <v>0</v>
      </c>
    </row>
    <row r="534" spans="1:7" ht="12.75">
      <c r="A534" s="227"/>
      <c r="B534" s="232" t="s">
        <v>152</v>
      </c>
      <c r="C534" s="552"/>
      <c r="D534" s="552"/>
      <c r="E534" s="552"/>
      <c r="F534" s="552"/>
      <c r="G534" s="660"/>
    </row>
    <row r="535" spans="1:7" ht="12.75">
      <c r="A535" s="227"/>
      <c r="B535" s="232" t="s">
        <v>153</v>
      </c>
      <c r="C535" s="552">
        <v>378</v>
      </c>
      <c r="D535" s="552">
        <v>378</v>
      </c>
      <c r="E535" s="552">
        <v>378</v>
      </c>
      <c r="F535" s="552"/>
      <c r="G535" s="660">
        <f t="shared" si="141"/>
        <v>0</v>
      </c>
    </row>
    <row r="536" spans="1:7" ht="12.75">
      <c r="A536" s="227"/>
      <c r="B536" s="233" t="s">
        <v>154</v>
      </c>
      <c r="C536" s="546">
        <v>993</v>
      </c>
      <c r="D536" s="546">
        <v>993</v>
      </c>
      <c r="E536" s="546">
        <v>993</v>
      </c>
      <c r="F536" s="546"/>
      <c r="G536" s="660">
        <f t="shared" si="141"/>
        <v>0</v>
      </c>
    </row>
    <row r="537" spans="1:7" ht="12.75">
      <c r="A537" s="227"/>
      <c r="B537" s="233" t="s">
        <v>155</v>
      </c>
      <c r="C537" s="546">
        <v>45735</v>
      </c>
      <c r="D537" s="546">
        <v>45735</v>
      </c>
      <c r="E537" s="546">
        <v>45735</v>
      </c>
      <c r="F537" s="546">
        <v>40829</v>
      </c>
      <c r="G537" s="660">
        <f t="shared" si="141"/>
        <v>0.8927298567836449</v>
      </c>
    </row>
    <row r="538" spans="1:7" ht="12.75">
      <c r="A538" s="227"/>
      <c r="B538" s="233" t="s">
        <v>156</v>
      </c>
      <c r="C538" s="546">
        <v>8106</v>
      </c>
      <c r="D538" s="546">
        <v>8106</v>
      </c>
      <c r="E538" s="546">
        <v>8106</v>
      </c>
      <c r="F538" s="546">
        <v>7823</v>
      </c>
      <c r="G538" s="660">
        <f t="shared" si="141"/>
        <v>0.965087589439921</v>
      </c>
    </row>
    <row r="539" spans="1:7" ht="12.75">
      <c r="A539" s="227"/>
      <c r="B539" s="233" t="s">
        <v>294</v>
      </c>
      <c r="C539" s="546">
        <v>9000</v>
      </c>
      <c r="D539" s="546">
        <v>9000</v>
      </c>
      <c r="E539" s="546">
        <v>9000</v>
      </c>
      <c r="F539" s="546">
        <v>10559</v>
      </c>
      <c r="G539" s="660">
        <f t="shared" si="141"/>
        <v>1.1732222222222222</v>
      </c>
    </row>
    <row r="540" spans="1:7" ht="12.75">
      <c r="A540" s="227"/>
      <c r="B540" s="234" t="s">
        <v>372</v>
      </c>
      <c r="C540" s="546"/>
      <c r="D540" s="546"/>
      <c r="E540" s="546"/>
      <c r="F540" s="546"/>
      <c r="G540" s="660"/>
    </row>
    <row r="541" spans="1:7" ht="13.5" thickBot="1">
      <c r="A541" s="227"/>
      <c r="B541" s="235" t="s">
        <v>157</v>
      </c>
      <c r="C541" s="546"/>
      <c r="D541" s="546"/>
      <c r="E541" s="546">
        <v>570</v>
      </c>
      <c r="F541" s="546">
        <v>675</v>
      </c>
      <c r="G541" s="683">
        <f aca="true" t="shared" si="169" ref="G541:G603">F541/E541</f>
        <v>1.1842105263157894</v>
      </c>
    </row>
    <row r="542" spans="1:7" ht="13.5" thickBot="1">
      <c r="A542" s="227"/>
      <c r="B542" s="236" t="s">
        <v>290</v>
      </c>
      <c r="C542" s="548">
        <f aca="true" t="shared" si="170" ref="C542:D542">SUM(C533+C536+C537+C538+C541+C539)</f>
        <v>64212</v>
      </c>
      <c r="D542" s="548">
        <f t="shared" si="170"/>
        <v>64212</v>
      </c>
      <c r="E542" s="548">
        <f aca="true" t="shared" si="171" ref="E542:F542">SUM(E533+E536+E537+E538+E541+E539)</f>
        <v>64782</v>
      </c>
      <c r="F542" s="548">
        <f t="shared" si="171"/>
        <v>59886</v>
      </c>
      <c r="G542" s="699">
        <f t="shared" si="169"/>
        <v>0.9244234509585996</v>
      </c>
    </row>
    <row r="543" spans="1:7" ht="13.5" thickBot="1">
      <c r="A543" s="227"/>
      <c r="B543" s="881" t="s">
        <v>184</v>
      </c>
      <c r="C543" s="553"/>
      <c r="D543" s="553"/>
      <c r="E543" s="553">
        <v>7962</v>
      </c>
      <c r="F543" s="553">
        <v>7962</v>
      </c>
      <c r="G543" s="699">
        <f t="shared" si="169"/>
        <v>1</v>
      </c>
    </row>
    <row r="544" spans="1:7" ht="13.5" thickBot="1">
      <c r="A544" s="227"/>
      <c r="B544" s="238" t="s">
        <v>45</v>
      </c>
      <c r="C544" s="680">
        <f aca="true" t="shared" si="172" ref="C544:D544">SUM(C542+C532)</f>
        <v>64212</v>
      </c>
      <c r="D544" s="680">
        <f t="shared" si="172"/>
        <v>64212</v>
      </c>
      <c r="E544" s="680">
        <f>SUM(E542+E532)+E543</f>
        <v>72744</v>
      </c>
      <c r="F544" s="680">
        <f>SUM(F542+F532)+F543</f>
        <v>67848</v>
      </c>
      <c r="G544" s="699">
        <f t="shared" si="169"/>
        <v>0.9326954800395909</v>
      </c>
    </row>
    <row r="545" spans="1:7" ht="13.5" thickBot="1">
      <c r="A545" s="227"/>
      <c r="B545" s="235" t="s">
        <v>194</v>
      </c>
      <c r="C545" s="554"/>
      <c r="D545" s="554"/>
      <c r="E545" s="554"/>
      <c r="F545" s="554"/>
      <c r="G545" s="662"/>
    </row>
    <row r="546" spans="1:7" ht="13.5" thickBot="1">
      <c r="A546" s="227"/>
      <c r="B546" s="239" t="s">
        <v>46</v>
      </c>
      <c r="C546" s="900"/>
      <c r="D546" s="900"/>
      <c r="E546" s="900"/>
      <c r="F546" s="900"/>
      <c r="G546" s="662"/>
    </row>
    <row r="547" spans="1:7" ht="12.75">
      <c r="A547" s="227"/>
      <c r="B547" s="479" t="s">
        <v>348</v>
      </c>
      <c r="C547" s="899"/>
      <c r="D547" s="899">
        <v>278</v>
      </c>
      <c r="E547" s="899">
        <v>278</v>
      </c>
      <c r="F547" s="899">
        <v>278</v>
      </c>
      <c r="G547" s="660">
        <f t="shared" si="169"/>
        <v>1</v>
      </c>
    </row>
    <row r="548" spans="1:7" ht="13.5" thickBot="1">
      <c r="A548" s="227"/>
      <c r="B548" s="241" t="s">
        <v>376</v>
      </c>
      <c r="C548" s="547">
        <f>970356+33863</f>
        <v>1004219</v>
      </c>
      <c r="D548" s="547">
        <f>1004219+55811+12725+9421+20117</f>
        <v>1102293</v>
      </c>
      <c r="E548" s="547">
        <f>1102293+57255+1062+5308+13456</f>
        <v>1179374</v>
      </c>
      <c r="F548" s="547">
        <v>803585</v>
      </c>
      <c r="G548" s="683">
        <f t="shared" si="169"/>
        <v>0.6813657075702872</v>
      </c>
    </row>
    <row r="549" spans="1:7" ht="13.5" thickBot="1">
      <c r="A549" s="227"/>
      <c r="B549" s="242" t="s">
        <v>39</v>
      </c>
      <c r="C549" s="555">
        <f aca="true" t="shared" si="173" ref="C549:D549">SUM(C547:C548)</f>
        <v>1004219</v>
      </c>
      <c r="D549" s="555">
        <f t="shared" si="173"/>
        <v>1102571</v>
      </c>
      <c r="E549" s="555">
        <f aca="true" t="shared" si="174" ref="E549:F549">SUM(E547:E548)</f>
        <v>1179652</v>
      </c>
      <c r="F549" s="555">
        <f t="shared" si="174"/>
        <v>803863</v>
      </c>
      <c r="G549" s="699">
        <f t="shared" si="169"/>
        <v>0.6814407977946039</v>
      </c>
    </row>
    <row r="550" spans="1:7" ht="13.5" thickBot="1">
      <c r="A550" s="227"/>
      <c r="B550" s="201" t="s">
        <v>348</v>
      </c>
      <c r="C550" s="554"/>
      <c r="D550" s="554"/>
      <c r="E550" s="554"/>
      <c r="F550" s="554"/>
      <c r="G550" s="662"/>
    </row>
    <row r="551" spans="1:7" ht="13.5" thickBot="1">
      <c r="A551" s="227"/>
      <c r="B551" s="242" t="s">
        <v>41</v>
      </c>
      <c r="C551" s="555"/>
      <c r="D551" s="555"/>
      <c r="E551" s="555"/>
      <c r="F551" s="555"/>
      <c r="G551" s="662"/>
    </row>
    <row r="552" spans="1:7" ht="15.75" thickBot="1">
      <c r="A552" s="227"/>
      <c r="B552" s="244" t="s">
        <v>50</v>
      </c>
      <c r="C552" s="548">
        <f>SUM(C546+C549+C551)+C544</f>
        <v>1068431</v>
      </c>
      <c r="D552" s="548">
        <f>SUM(D546+D549+D551)+D544</f>
        <v>1166783</v>
      </c>
      <c r="E552" s="548">
        <f>SUM(E546+E549+E551)+E544</f>
        <v>1252396</v>
      </c>
      <c r="F552" s="548">
        <f>SUM(F546+F549+F551)+F544</f>
        <v>871711</v>
      </c>
      <c r="G552" s="699">
        <f t="shared" si="169"/>
        <v>0.6960346408005136</v>
      </c>
    </row>
    <row r="553" spans="1:7" ht="12.75">
      <c r="A553" s="227"/>
      <c r="B553" s="245" t="s">
        <v>271</v>
      </c>
      <c r="C553" s="546">
        <f>647929+79671</f>
        <v>727600</v>
      </c>
      <c r="D553" s="546">
        <f>727600+246+49390+8337+1974+17803</f>
        <v>805350</v>
      </c>
      <c r="E553" s="546">
        <f>805350+50668+2280+940+11908+1520</f>
        <v>872666</v>
      </c>
      <c r="F553" s="546">
        <v>613120</v>
      </c>
      <c r="G553" s="660">
        <f t="shared" si="169"/>
        <v>0.7025826604909553</v>
      </c>
    </row>
    <row r="554" spans="1:7" ht="12.75">
      <c r="A554" s="227"/>
      <c r="B554" s="245" t="s">
        <v>272</v>
      </c>
      <c r="C554" s="546">
        <f>98410+16232</f>
        <v>114642</v>
      </c>
      <c r="D554" s="546">
        <f>114642+32+6421+1084+131+2314</f>
        <v>124624</v>
      </c>
      <c r="E554" s="546">
        <f>124624+6587+234+122+1548+156</f>
        <v>133271</v>
      </c>
      <c r="F554" s="546">
        <v>87655</v>
      </c>
      <c r="G554" s="660">
        <f t="shared" si="169"/>
        <v>0.6577199840925633</v>
      </c>
    </row>
    <row r="555" spans="1:7" ht="12.75">
      <c r="A555" s="227"/>
      <c r="B555" s="245" t="s">
        <v>273</v>
      </c>
      <c r="C555" s="546">
        <f>285499-62040</f>
        <v>223459</v>
      </c>
      <c r="D555" s="546">
        <f>223459+10620</f>
        <v>234079</v>
      </c>
      <c r="E555" s="546">
        <f>234079+6018+3632</f>
        <v>243729</v>
      </c>
      <c r="F555" s="546">
        <v>154872</v>
      </c>
      <c r="G555" s="660">
        <f t="shared" si="169"/>
        <v>0.635427052176803</v>
      </c>
    </row>
    <row r="556" spans="1:7" ht="12.75">
      <c r="A556" s="227"/>
      <c r="B556" s="246" t="s">
        <v>275</v>
      </c>
      <c r="C556" s="546">
        <v>230</v>
      </c>
      <c r="D556" s="546">
        <v>230</v>
      </c>
      <c r="E556" s="546">
        <v>230</v>
      </c>
      <c r="F556" s="546">
        <v>175</v>
      </c>
      <c r="G556" s="660">
        <f t="shared" si="169"/>
        <v>0.7608695652173914</v>
      </c>
    </row>
    <row r="557" spans="1:7" ht="13.5" thickBot="1">
      <c r="A557" s="227"/>
      <c r="B557" s="247" t="s">
        <v>274</v>
      </c>
      <c r="C557" s="546"/>
      <c r="D557" s="546"/>
      <c r="E557" s="546"/>
      <c r="F557" s="546"/>
      <c r="G557" s="683"/>
    </row>
    <row r="558" spans="1:7" ht="13.5" thickBot="1">
      <c r="A558" s="227"/>
      <c r="B558" s="248" t="s">
        <v>38</v>
      </c>
      <c r="C558" s="548">
        <f aca="true" t="shared" si="175" ref="C558:D558">SUM(C553:C557)</f>
        <v>1065931</v>
      </c>
      <c r="D558" s="548">
        <f t="shared" si="175"/>
        <v>1164283</v>
      </c>
      <c r="E558" s="548">
        <f aca="true" t="shared" si="176" ref="E558:F558">SUM(E553:E557)</f>
        <v>1249896</v>
      </c>
      <c r="F558" s="548">
        <f t="shared" si="176"/>
        <v>855822</v>
      </c>
      <c r="G558" s="699">
        <f t="shared" si="169"/>
        <v>0.6847145682520785</v>
      </c>
    </row>
    <row r="559" spans="1:7" ht="12.75">
      <c r="A559" s="227"/>
      <c r="B559" s="245" t="s">
        <v>544</v>
      </c>
      <c r="C559" s="546">
        <v>2500</v>
      </c>
      <c r="D559" s="546">
        <v>2500</v>
      </c>
      <c r="E559" s="546">
        <v>2500</v>
      </c>
      <c r="F559" s="546">
        <v>765</v>
      </c>
      <c r="G559" s="660">
        <f t="shared" si="169"/>
        <v>0.306</v>
      </c>
    </row>
    <row r="560" spans="1:7" ht="12.75">
      <c r="A560" s="227"/>
      <c r="B560" s="245" t="s">
        <v>205</v>
      </c>
      <c r="C560" s="546"/>
      <c r="D560" s="546"/>
      <c r="E560" s="546"/>
      <c r="F560" s="546"/>
      <c r="G560" s="660"/>
    </row>
    <row r="561" spans="1:7" ht="13.5" thickBot="1">
      <c r="A561" s="227"/>
      <c r="B561" s="247" t="s">
        <v>357</v>
      </c>
      <c r="C561" s="546"/>
      <c r="D561" s="546"/>
      <c r="E561" s="546"/>
      <c r="F561" s="546"/>
      <c r="G561" s="683"/>
    </row>
    <row r="562" spans="1:7" ht="13.5" thickBot="1">
      <c r="A562" s="227"/>
      <c r="B562" s="249" t="s">
        <v>44</v>
      </c>
      <c r="C562" s="548">
        <f aca="true" t="shared" si="177" ref="C562:D562">SUM(C559:C561)</f>
        <v>2500</v>
      </c>
      <c r="D562" s="548">
        <f t="shared" si="177"/>
        <v>2500</v>
      </c>
      <c r="E562" s="548">
        <f aca="true" t="shared" si="178" ref="E562:F562">SUM(E559:E561)</f>
        <v>2500</v>
      </c>
      <c r="F562" s="548">
        <f t="shared" si="178"/>
        <v>765</v>
      </c>
      <c r="G562" s="699">
        <f t="shared" si="169"/>
        <v>0.306</v>
      </c>
    </row>
    <row r="563" spans="1:7" ht="15.75" thickBot="1">
      <c r="A563" s="224"/>
      <c r="B563" s="250" t="s">
        <v>84</v>
      </c>
      <c r="C563" s="548">
        <f aca="true" t="shared" si="179" ref="C563:D563">SUM(C558+C562)</f>
        <v>1068431</v>
      </c>
      <c r="D563" s="548">
        <f t="shared" si="179"/>
        <v>1166783</v>
      </c>
      <c r="E563" s="553">
        <f aca="true" t="shared" si="180" ref="E563:F563">SUM(E558+E562)</f>
        <v>1252396</v>
      </c>
      <c r="F563" s="553">
        <f t="shared" si="180"/>
        <v>856587</v>
      </c>
      <c r="G563" s="908">
        <f t="shared" si="169"/>
        <v>0.6839585881781801</v>
      </c>
    </row>
    <row r="564" spans="1:7" ht="15">
      <c r="A564" s="181">
        <v>2898</v>
      </c>
      <c r="B564" s="252" t="s">
        <v>285</v>
      </c>
      <c r="C564" s="559"/>
      <c r="D564" s="559"/>
      <c r="E564" s="559"/>
      <c r="F564" s="559"/>
      <c r="G564" s="660"/>
    </row>
    <row r="565" spans="1:7" ht="12.75">
      <c r="A565" s="227"/>
      <c r="B565" s="228" t="s">
        <v>148</v>
      </c>
      <c r="C565" s="549"/>
      <c r="D565" s="549"/>
      <c r="E565" s="549"/>
      <c r="F565" s="549"/>
      <c r="G565" s="660"/>
    </row>
    <row r="566" spans="1:7" ht="13.5" thickBot="1">
      <c r="A566" s="227"/>
      <c r="B566" s="229" t="s">
        <v>149</v>
      </c>
      <c r="C566" s="547"/>
      <c r="D566" s="547"/>
      <c r="E566" s="547"/>
      <c r="F566" s="547"/>
      <c r="G566" s="683"/>
    </row>
    <row r="567" spans="1:7" ht="13.5" thickBot="1">
      <c r="A567" s="227"/>
      <c r="B567" s="230" t="s">
        <v>160</v>
      </c>
      <c r="C567" s="562"/>
      <c r="D567" s="562"/>
      <c r="E567" s="562"/>
      <c r="F567" s="562"/>
      <c r="G567" s="662"/>
    </row>
    <row r="568" spans="1:7" ht="12.75">
      <c r="A568" s="227"/>
      <c r="B568" s="228" t="s">
        <v>151</v>
      </c>
      <c r="C568" s="546">
        <f aca="true" t="shared" si="181" ref="C568:D568">SUM(C533+C497)</f>
        <v>7515</v>
      </c>
      <c r="D568" s="546">
        <f t="shared" si="181"/>
        <v>7515</v>
      </c>
      <c r="E568" s="546">
        <f aca="true" t="shared" si="182" ref="E568:F568">SUM(E533+E497)</f>
        <v>7515</v>
      </c>
      <c r="F568" s="546">
        <f t="shared" si="182"/>
        <v>4416</v>
      </c>
      <c r="G568" s="660">
        <f t="shared" si="169"/>
        <v>0.587624750499002</v>
      </c>
    </row>
    <row r="569" spans="1:7" ht="12.75">
      <c r="A569" s="227"/>
      <c r="B569" s="232" t="s">
        <v>152</v>
      </c>
      <c r="C569" s="552">
        <f aca="true" t="shared" si="183" ref="C569:D569">SUM(C534+C498)</f>
        <v>7137</v>
      </c>
      <c r="D569" s="552">
        <f t="shared" si="183"/>
        <v>7137</v>
      </c>
      <c r="E569" s="552">
        <f>SUM(E534+E498)</f>
        <v>7137</v>
      </c>
      <c r="F569" s="552">
        <f>SUM(F534+F498)</f>
        <v>4416</v>
      </c>
      <c r="G569" s="660">
        <f t="shared" si="169"/>
        <v>0.6187473728457336</v>
      </c>
    </row>
    <row r="570" spans="1:7" ht="12.75">
      <c r="A570" s="227"/>
      <c r="B570" s="232" t="s">
        <v>153</v>
      </c>
      <c r="C570" s="552">
        <f aca="true" t="shared" si="184" ref="C570:D570">SUM(C535+C499)</f>
        <v>378</v>
      </c>
      <c r="D570" s="552">
        <f t="shared" si="184"/>
        <v>378</v>
      </c>
      <c r="E570" s="552">
        <f aca="true" t="shared" si="185" ref="E570:F570">SUM(E535+E499)</f>
        <v>378</v>
      </c>
      <c r="F570" s="552">
        <f t="shared" si="185"/>
        <v>0</v>
      </c>
      <c r="G570" s="660">
        <f t="shared" si="169"/>
        <v>0</v>
      </c>
    </row>
    <row r="571" spans="1:7" ht="12.75">
      <c r="A571" s="227"/>
      <c r="B571" s="233" t="s">
        <v>154</v>
      </c>
      <c r="C571" s="546">
        <f aca="true" t="shared" si="186" ref="C571:D571">SUM(C536+C500)</f>
        <v>993</v>
      </c>
      <c r="D571" s="546">
        <f t="shared" si="186"/>
        <v>993</v>
      </c>
      <c r="E571" s="546">
        <f aca="true" t="shared" si="187" ref="E571:F571">SUM(E536+E500)</f>
        <v>993</v>
      </c>
      <c r="F571" s="546">
        <f t="shared" si="187"/>
        <v>0</v>
      </c>
      <c r="G571" s="660">
        <f t="shared" si="169"/>
        <v>0</v>
      </c>
    </row>
    <row r="572" spans="1:7" ht="12.75">
      <c r="A572" s="227"/>
      <c r="B572" s="233" t="s">
        <v>155</v>
      </c>
      <c r="C572" s="546">
        <f aca="true" t="shared" si="188" ref="C572:D572">SUM(C537+C501)</f>
        <v>65438</v>
      </c>
      <c r="D572" s="546">
        <f t="shared" si="188"/>
        <v>65438</v>
      </c>
      <c r="E572" s="546">
        <f aca="true" t="shared" si="189" ref="E572:F572">SUM(E537+E501)</f>
        <v>65438</v>
      </c>
      <c r="F572" s="546">
        <f t="shared" si="189"/>
        <v>49565</v>
      </c>
      <c r="G572" s="660">
        <f t="shared" si="169"/>
        <v>0.7574345181698707</v>
      </c>
    </row>
    <row r="573" spans="1:7" ht="12.75">
      <c r="A573" s="227"/>
      <c r="B573" s="233" t="s">
        <v>156</v>
      </c>
      <c r="C573" s="546">
        <f aca="true" t="shared" si="190" ref="C573:D573">SUM(C538+C502)</f>
        <v>15396</v>
      </c>
      <c r="D573" s="546">
        <f t="shared" si="190"/>
        <v>15396</v>
      </c>
      <c r="E573" s="546">
        <f aca="true" t="shared" si="191" ref="E573:F573">SUM(E538+E502)</f>
        <v>15396</v>
      </c>
      <c r="F573" s="546">
        <f t="shared" si="191"/>
        <v>11028</v>
      </c>
      <c r="G573" s="660">
        <f t="shared" si="169"/>
        <v>0.7162899454403742</v>
      </c>
    </row>
    <row r="574" spans="1:7" ht="12.75">
      <c r="A574" s="227"/>
      <c r="B574" s="233" t="s">
        <v>294</v>
      </c>
      <c r="C574" s="546">
        <f aca="true" t="shared" si="192" ref="C574:D574">SUM(C503+C539)</f>
        <v>9000</v>
      </c>
      <c r="D574" s="546">
        <f t="shared" si="192"/>
        <v>9000</v>
      </c>
      <c r="E574" s="546">
        <f aca="true" t="shared" si="193" ref="E574:F574">SUM(E503+E539)</f>
        <v>9000</v>
      </c>
      <c r="F574" s="546">
        <f t="shared" si="193"/>
        <v>10559</v>
      </c>
      <c r="G574" s="660">
        <f t="shared" si="169"/>
        <v>1.1732222222222222</v>
      </c>
    </row>
    <row r="575" spans="1:7" ht="12.75">
      <c r="A575" s="227"/>
      <c r="B575" s="234" t="s">
        <v>372</v>
      </c>
      <c r="C575" s="546">
        <f aca="true" t="shared" si="194" ref="C575:D575">SUM(C540+C504)</f>
        <v>0</v>
      </c>
      <c r="D575" s="546">
        <f t="shared" si="194"/>
        <v>0</v>
      </c>
      <c r="E575" s="546">
        <f aca="true" t="shared" si="195" ref="E575:F575">SUM(E540+E504)</f>
        <v>0</v>
      </c>
      <c r="F575" s="546">
        <f t="shared" si="195"/>
        <v>0</v>
      </c>
      <c r="G575" s="660"/>
    </row>
    <row r="576" spans="1:7" ht="13.5" thickBot="1">
      <c r="A576" s="227"/>
      <c r="B576" s="235" t="s">
        <v>157</v>
      </c>
      <c r="C576" s="546">
        <f aca="true" t="shared" si="196" ref="C576:D576">SUM(C541+C505)</f>
        <v>0</v>
      </c>
      <c r="D576" s="546">
        <f t="shared" si="196"/>
        <v>0</v>
      </c>
      <c r="E576" s="546">
        <f aca="true" t="shared" si="197" ref="E576:F576">SUM(E541+E505)</f>
        <v>570</v>
      </c>
      <c r="F576" s="546">
        <f t="shared" si="197"/>
        <v>677</v>
      </c>
      <c r="G576" s="683">
        <f t="shared" si="169"/>
        <v>1.187719298245614</v>
      </c>
    </row>
    <row r="577" spans="1:7" ht="13.5" thickBot="1">
      <c r="A577" s="227"/>
      <c r="B577" s="236" t="s">
        <v>290</v>
      </c>
      <c r="C577" s="548">
        <f aca="true" t="shared" si="198" ref="C577:D577">SUM(C568+C571+C572+C573+C576+C574)</f>
        <v>98342</v>
      </c>
      <c r="D577" s="548">
        <f t="shared" si="198"/>
        <v>98342</v>
      </c>
      <c r="E577" s="548">
        <f aca="true" t="shared" si="199" ref="E577:F577">SUM(E568+E571+E572+E573+E576+E574)</f>
        <v>98912</v>
      </c>
      <c r="F577" s="548">
        <f t="shared" si="199"/>
        <v>76245</v>
      </c>
      <c r="G577" s="699">
        <f t="shared" si="169"/>
        <v>0.770836703332255</v>
      </c>
    </row>
    <row r="578" spans="1:7" ht="13.5" thickBot="1">
      <c r="A578" s="227"/>
      <c r="B578" s="881" t="s">
        <v>184</v>
      </c>
      <c r="C578" s="548"/>
      <c r="D578" s="548"/>
      <c r="E578" s="548">
        <f>E507+E543</f>
        <v>7962</v>
      </c>
      <c r="F578" s="548">
        <f>F507+F543</f>
        <v>7962</v>
      </c>
      <c r="G578" s="699">
        <f t="shared" si="169"/>
        <v>1</v>
      </c>
    </row>
    <row r="579" spans="1:7" ht="13.5" thickBot="1">
      <c r="A579" s="227"/>
      <c r="B579" s="238" t="s">
        <v>45</v>
      </c>
      <c r="C579" s="680">
        <f aca="true" t="shared" si="200" ref="C579:D579">SUM(C577+C567)</f>
        <v>98342</v>
      </c>
      <c r="D579" s="680">
        <f t="shared" si="200"/>
        <v>98342</v>
      </c>
      <c r="E579" s="680">
        <f>SUM(E577+E567)+E578</f>
        <v>106874</v>
      </c>
      <c r="F579" s="680">
        <f>SUM(F577+F567)+F578</f>
        <v>84207</v>
      </c>
      <c r="G579" s="699">
        <f t="shared" si="169"/>
        <v>0.787909126635103</v>
      </c>
    </row>
    <row r="580" spans="1:7" ht="13.5" thickBot="1">
      <c r="A580" s="227"/>
      <c r="B580" s="235" t="s">
        <v>194</v>
      </c>
      <c r="C580" s="557">
        <f>C545</f>
        <v>0</v>
      </c>
      <c r="D580" s="557">
        <f>D545</f>
        <v>0</v>
      </c>
      <c r="E580" s="557">
        <f>E545</f>
        <v>0</v>
      </c>
      <c r="F580" s="557">
        <f>F545</f>
        <v>0</v>
      </c>
      <c r="G580" s="662"/>
    </row>
    <row r="581" spans="1:7" ht="13.5" thickBot="1">
      <c r="A581" s="227"/>
      <c r="B581" s="239" t="s">
        <v>46</v>
      </c>
      <c r="C581" s="563">
        <f>C580</f>
        <v>0</v>
      </c>
      <c r="D581" s="563">
        <f>D580</f>
        <v>0</v>
      </c>
      <c r="E581" s="563">
        <f>E580</f>
        <v>0</v>
      </c>
      <c r="F581" s="563">
        <f>F580</f>
        <v>0</v>
      </c>
      <c r="G581" s="662"/>
    </row>
    <row r="582" spans="1:7" ht="12.75">
      <c r="A582" s="227"/>
      <c r="B582" s="479" t="s">
        <v>348</v>
      </c>
      <c r="C582" s="556">
        <f aca="true" t="shared" si="201" ref="C582:D582">SUM(C547+C510)</f>
        <v>0</v>
      </c>
      <c r="D582" s="556">
        <f t="shared" si="201"/>
        <v>4301</v>
      </c>
      <c r="E582" s="556">
        <f aca="true" t="shared" si="202" ref="E582:F582">SUM(E547+E510)</f>
        <v>4301</v>
      </c>
      <c r="F582" s="556">
        <f t="shared" si="202"/>
        <v>4301</v>
      </c>
      <c r="G582" s="660">
        <f t="shared" si="169"/>
        <v>1</v>
      </c>
    </row>
    <row r="583" spans="1:7" ht="12.75">
      <c r="A583" s="227"/>
      <c r="B583" s="118" t="s">
        <v>506</v>
      </c>
      <c r="C583" s="556">
        <f>SUM(C511)</f>
        <v>0</v>
      </c>
      <c r="D583" s="556">
        <f>SUM(D511)</f>
        <v>0</v>
      </c>
      <c r="E583" s="556">
        <f>SUM(E511)</f>
        <v>0</v>
      </c>
      <c r="F583" s="556">
        <f>SUM(F511)</f>
        <v>0</v>
      </c>
      <c r="G583" s="660"/>
    </row>
    <row r="584" spans="1:7" ht="12.75">
      <c r="A584" s="227"/>
      <c r="B584" s="240" t="s">
        <v>376</v>
      </c>
      <c r="C584" s="546">
        <f aca="true" t="shared" si="203" ref="C584:D584">SUM(C548+C512)</f>
        <v>1827179</v>
      </c>
      <c r="D584" s="546">
        <f t="shared" si="203"/>
        <v>1930951</v>
      </c>
      <c r="E584" s="546">
        <f aca="true" t="shared" si="204" ref="E584:F584">SUM(E548+E512)</f>
        <v>2021776</v>
      </c>
      <c r="F584" s="546">
        <f t="shared" si="204"/>
        <v>1356252</v>
      </c>
      <c r="G584" s="660">
        <f t="shared" si="169"/>
        <v>0.6708220890939451</v>
      </c>
    </row>
    <row r="585" spans="1:7" ht="13.5" thickBot="1">
      <c r="A585" s="227"/>
      <c r="B585" s="241" t="s">
        <v>379</v>
      </c>
      <c r="C585" s="547">
        <f aca="true" t="shared" si="205" ref="C585:D585">SUM(C513)</f>
        <v>21117</v>
      </c>
      <c r="D585" s="547">
        <f t="shared" si="205"/>
        <v>21117</v>
      </c>
      <c r="E585" s="547">
        <f aca="true" t="shared" si="206" ref="E585:F585">SUM(E513)</f>
        <v>21117</v>
      </c>
      <c r="F585" s="547">
        <f t="shared" si="206"/>
        <v>18734</v>
      </c>
      <c r="G585" s="683">
        <f t="shared" si="169"/>
        <v>0.8871525311360515</v>
      </c>
    </row>
    <row r="586" spans="1:7" ht="13.5" thickBot="1">
      <c r="A586" s="227"/>
      <c r="B586" s="242" t="s">
        <v>39</v>
      </c>
      <c r="C586" s="555">
        <f aca="true" t="shared" si="207" ref="C586:D586">SUM(C582:C585)</f>
        <v>1848296</v>
      </c>
      <c r="D586" s="555">
        <f t="shared" si="207"/>
        <v>1956369</v>
      </c>
      <c r="E586" s="555">
        <f aca="true" t="shared" si="208" ref="E586:F586">SUM(E582:E585)</f>
        <v>2047194</v>
      </c>
      <c r="F586" s="555">
        <f t="shared" si="208"/>
        <v>1379287</v>
      </c>
      <c r="G586" s="699">
        <f t="shared" si="169"/>
        <v>0.673745136025213</v>
      </c>
    </row>
    <row r="587" spans="1:7" ht="13.5" thickBot="1">
      <c r="A587" s="227"/>
      <c r="B587" s="201" t="s">
        <v>348</v>
      </c>
      <c r="C587" s="554">
        <f>SUM(C550)+C515</f>
        <v>0</v>
      </c>
      <c r="D587" s="554">
        <f>SUM(D550)+D515</f>
        <v>0</v>
      </c>
      <c r="E587" s="554">
        <f>SUM(E550)+E515</f>
        <v>0</v>
      </c>
      <c r="F587" s="554">
        <f>SUM(F550)+F515</f>
        <v>0</v>
      </c>
      <c r="G587" s="662"/>
    </row>
    <row r="588" spans="1:7" ht="13.5" thickBot="1">
      <c r="A588" s="227"/>
      <c r="B588" s="242" t="s">
        <v>41</v>
      </c>
      <c r="C588" s="555">
        <f aca="true" t="shared" si="209" ref="C588:D588">SUM(C587)</f>
        <v>0</v>
      </c>
      <c r="D588" s="555">
        <f t="shared" si="209"/>
        <v>0</v>
      </c>
      <c r="E588" s="555">
        <f aca="true" t="shared" si="210" ref="E588:F588">SUM(E587)</f>
        <v>0</v>
      </c>
      <c r="F588" s="555">
        <f t="shared" si="210"/>
        <v>0</v>
      </c>
      <c r="G588" s="662"/>
    </row>
    <row r="589" spans="1:7" ht="15.75" thickBot="1">
      <c r="A589" s="227"/>
      <c r="B589" s="244" t="s">
        <v>50</v>
      </c>
      <c r="C589" s="548">
        <f aca="true" t="shared" si="211" ref="C589:D589">SUM(C579+C581+C586+C588)</f>
        <v>1946638</v>
      </c>
      <c r="D589" s="548">
        <f t="shared" si="211"/>
        <v>2054711</v>
      </c>
      <c r="E589" s="548">
        <f>SUM(E579+E581+E586+E588)</f>
        <v>2154068</v>
      </c>
      <c r="F589" s="548">
        <f>SUM(F579+F581+F586+F588)</f>
        <v>1463494</v>
      </c>
      <c r="G589" s="699">
        <f t="shared" si="169"/>
        <v>0.6794093779769255</v>
      </c>
    </row>
    <row r="590" spans="1:7" ht="12.75">
      <c r="A590" s="227"/>
      <c r="B590" s="245" t="s">
        <v>271</v>
      </c>
      <c r="C590" s="546">
        <f aca="true" t="shared" si="212" ref="C590:D590">SUM(C553+C518)</f>
        <v>1431366</v>
      </c>
      <c r="D590" s="546">
        <f t="shared" si="212"/>
        <v>1513908</v>
      </c>
      <c r="E590" s="546">
        <f aca="true" t="shared" si="213" ref="E590:F590">SUM(E553+E518)</f>
        <v>1592236</v>
      </c>
      <c r="F590" s="546">
        <f t="shared" si="213"/>
        <v>1083829</v>
      </c>
      <c r="G590" s="660">
        <f t="shared" si="169"/>
        <v>0.6806962033266425</v>
      </c>
    </row>
    <row r="591" spans="1:7" ht="12.75">
      <c r="A591" s="227"/>
      <c r="B591" s="245" t="s">
        <v>272</v>
      </c>
      <c r="C591" s="546">
        <f aca="true" t="shared" si="214" ref="C591:D591">SUM(C554+C519)</f>
        <v>221191</v>
      </c>
      <c r="D591" s="546">
        <f t="shared" si="214"/>
        <v>231772</v>
      </c>
      <c r="E591" s="546">
        <f aca="true" t="shared" si="215" ref="E591:F591">SUM(E554+E519)</f>
        <v>241851</v>
      </c>
      <c r="F591" s="546">
        <f t="shared" si="215"/>
        <v>157999</v>
      </c>
      <c r="G591" s="660">
        <f t="shared" si="169"/>
        <v>0.6532906624326548</v>
      </c>
    </row>
    <row r="592" spans="1:7" ht="12.75">
      <c r="A592" s="227"/>
      <c r="B592" s="245" t="s">
        <v>273</v>
      </c>
      <c r="C592" s="546">
        <f aca="true" t="shared" si="216" ref="C592:D592">SUM(C555+C520)</f>
        <v>288851</v>
      </c>
      <c r="D592" s="546">
        <f t="shared" si="216"/>
        <v>303781</v>
      </c>
      <c r="E592" s="546">
        <f aca="true" t="shared" si="217" ref="E592:F592">SUM(E555+E520)</f>
        <v>313451</v>
      </c>
      <c r="F592" s="546">
        <f t="shared" si="217"/>
        <v>193156</v>
      </c>
      <c r="G592" s="660">
        <f t="shared" si="169"/>
        <v>0.6162239074049851</v>
      </c>
    </row>
    <row r="593" spans="1:7" ht="12.75">
      <c r="A593" s="227"/>
      <c r="B593" s="246" t="s">
        <v>275</v>
      </c>
      <c r="C593" s="546">
        <f aca="true" t="shared" si="218" ref="C593:D593">SUM(C556+C521)</f>
        <v>230</v>
      </c>
      <c r="D593" s="546">
        <f t="shared" si="218"/>
        <v>230</v>
      </c>
      <c r="E593" s="546">
        <f aca="true" t="shared" si="219" ref="E593:F593">SUM(E556+E521)</f>
        <v>230</v>
      </c>
      <c r="F593" s="546">
        <f t="shared" si="219"/>
        <v>175</v>
      </c>
      <c r="G593" s="660">
        <f t="shared" si="169"/>
        <v>0.7608695652173914</v>
      </c>
    </row>
    <row r="594" spans="1:7" ht="13.5" thickBot="1">
      <c r="A594" s="227"/>
      <c r="B594" s="247" t="s">
        <v>274</v>
      </c>
      <c r="C594" s="546">
        <f aca="true" t="shared" si="220" ref="C594:D594">SUM(C557+C522)</f>
        <v>0</v>
      </c>
      <c r="D594" s="546">
        <f t="shared" si="220"/>
        <v>20</v>
      </c>
      <c r="E594" s="546">
        <f aca="true" t="shared" si="221" ref="E594:F594">SUM(E557+E522)</f>
        <v>0</v>
      </c>
      <c r="F594" s="546">
        <f t="shared" si="221"/>
        <v>0</v>
      </c>
      <c r="G594" s="683"/>
    </row>
    <row r="595" spans="1:7" ht="13.5" thickBot="1">
      <c r="A595" s="227"/>
      <c r="B595" s="248" t="s">
        <v>38</v>
      </c>
      <c r="C595" s="548">
        <f aca="true" t="shared" si="222" ref="C595:D595">SUM(C590:C594)</f>
        <v>1941638</v>
      </c>
      <c r="D595" s="548">
        <f t="shared" si="222"/>
        <v>2049711</v>
      </c>
      <c r="E595" s="548">
        <f aca="true" t="shared" si="223" ref="E595:F595">SUM(E590:E594)</f>
        <v>2147768</v>
      </c>
      <c r="F595" s="548">
        <f t="shared" si="223"/>
        <v>1435159</v>
      </c>
      <c r="G595" s="699">
        <f t="shared" si="169"/>
        <v>0.6682095086620157</v>
      </c>
    </row>
    <row r="596" spans="1:7" ht="12.75">
      <c r="A596" s="227"/>
      <c r="B596" s="245" t="s">
        <v>204</v>
      </c>
      <c r="C596" s="546">
        <f aca="true" t="shared" si="224" ref="C596:D596">SUM(C559+C524)</f>
        <v>5000</v>
      </c>
      <c r="D596" s="546">
        <f t="shared" si="224"/>
        <v>5000</v>
      </c>
      <c r="E596" s="546">
        <f aca="true" t="shared" si="225" ref="E596:F596">SUM(E559+E524)</f>
        <v>6300</v>
      </c>
      <c r="F596" s="546">
        <f t="shared" si="225"/>
        <v>2755</v>
      </c>
      <c r="G596" s="660">
        <f t="shared" si="169"/>
        <v>0.4373015873015873</v>
      </c>
    </row>
    <row r="597" spans="1:7" ht="12.75">
      <c r="A597" s="227"/>
      <c r="B597" s="245" t="s">
        <v>205</v>
      </c>
      <c r="C597" s="546">
        <f aca="true" t="shared" si="226" ref="C597:D597">SUM(C560)</f>
        <v>0</v>
      </c>
      <c r="D597" s="546">
        <f t="shared" si="226"/>
        <v>0</v>
      </c>
      <c r="E597" s="546">
        <f aca="true" t="shared" si="227" ref="E597:F597">SUM(E560)</f>
        <v>0</v>
      </c>
      <c r="F597" s="546">
        <f t="shared" si="227"/>
        <v>0</v>
      </c>
      <c r="G597" s="660"/>
    </row>
    <row r="598" spans="1:7" ht="13.5" thickBot="1">
      <c r="A598" s="227"/>
      <c r="B598" s="247" t="s">
        <v>357</v>
      </c>
      <c r="C598" s="547"/>
      <c r="D598" s="547"/>
      <c r="E598" s="547"/>
      <c r="F598" s="547"/>
      <c r="G598" s="683"/>
    </row>
    <row r="599" spans="1:7" ht="13.5" thickBot="1">
      <c r="A599" s="227"/>
      <c r="B599" s="249" t="s">
        <v>44</v>
      </c>
      <c r="C599" s="548">
        <f aca="true" t="shared" si="228" ref="C599:D599">SUM(C596:C598)</f>
        <v>5000</v>
      </c>
      <c r="D599" s="548">
        <f t="shared" si="228"/>
        <v>5000</v>
      </c>
      <c r="E599" s="548">
        <f aca="true" t="shared" si="229" ref="E599:F599">SUM(E596:E598)</f>
        <v>6300</v>
      </c>
      <c r="F599" s="548">
        <f t="shared" si="229"/>
        <v>2755</v>
      </c>
      <c r="G599" s="699">
        <f t="shared" si="169"/>
        <v>0.4373015873015873</v>
      </c>
    </row>
    <row r="600" spans="1:7" ht="15.75" thickBot="1">
      <c r="A600" s="224"/>
      <c r="B600" s="250" t="s">
        <v>84</v>
      </c>
      <c r="C600" s="553">
        <f aca="true" t="shared" si="230" ref="C600:D600">SUM(C595+C599)</f>
        <v>1946638</v>
      </c>
      <c r="D600" s="553">
        <f t="shared" si="230"/>
        <v>2054711</v>
      </c>
      <c r="E600" s="553">
        <f aca="true" t="shared" si="231" ref="E600:F600">SUM(E595+E599)</f>
        <v>2154068</v>
      </c>
      <c r="F600" s="553">
        <f t="shared" si="231"/>
        <v>1437914</v>
      </c>
      <c r="G600" s="908">
        <f t="shared" si="169"/>
        <v>0.6675341725516557</v>
      </c>
    </row>
    <row r="601" spans="1:7" ht="15">
      <c r="A601" s="181">
        <v>2985</v>
      </c>
      <c r="B601" s="184" t="s">
        <v>286</v>
      </c>
      <c r="C601" s="549"/>
      <c r="D601" s="549"/>
      <c r="E601" s="549"/>
      <c r="F601" s="549"/>
      <c r="G601" s="660"/>
    </row>
    <row r="602" spans="1:7" ht="12.6" customHeight="1">
      <c r="A602" s="227"/>
      <c r="B602" s="228" t="s">
        <v>148</v>
      </c>
      <c r="C602" s="901"/>
      <c r="D602" s="901"/>
      <c r="E602" s="901"/>
      <c r="F602" s="901"/>
      <c r="G602" s="660"/>
    </row>
    <row r="603" spans="1:7" ht="13.5" thickBot="1">
      <c r="A603" s="227"/>
      <c r="B603" s="229" t="s">
        <v>149</v>
      </c>
      <c r="C603" s="558"/>
      <c r="D603" s="558"/>
      <c r="E603" s="560">
        <v>800</v>
      </c>
      <c r="F603" s="560">
        <v>800</v>
      </c>
      <c r="G603" s="683">
        <f t="shared" si="169"/>
        <v>1</v>
      </c>
    </row>
    <row r="604" spans="1:7" ht="13.5" thickBot="1">
      <c r="A604" s="227"/>
      <c r="B604" s="230" t="s">
        <v>160</v>
      </c>
      <c r="C604" s="897"/>
      <c r="D604" s="897"/>
      <c r="E604" s="1036">
        <v>800</v>
      </c>
      <c r="F604" s="1036">
        <f>SUM(F602:F603)</f>
        <v>800</v>
      </c>
      <c r="G604" s="699">
        <f aca="true" t="shared" si="232" ref="G604:G667">F604/E604</f>
        <v>1</v>
      </c>
    </row>
    <row r="605" spans="1:7" ht="12.75">
      <c r="A605" s="227"/>
      <c r="B605" s="228" t="s">
        <v>330</v>
      </c>
      <c r="C605" s="546"/>
      <c r="D605" s="546"/>
      <c r="E605" s="546">
        <v>37</v>
      </c>
      <c r="F605" s="546">
        <v>62</v>
      </c>
      <c r="G605" s="660">
        <f t="shared" si="232"/>
        <v>1.6756756756756757</v>
      </c>
    </row>
    <row r="606" spans="1:7" ht="12.75">
      <c r="A606" s="227"/>
      <c r="B606" s="228" t="s">
        <v>151</v>
      </c>
      <c r="C606" s="546">
        <v>17000</v>
      </c>
      <c r="D606" s="546">
        <v>17000</v>
      </c>
      <c r="E606" s="546">
        <v>17000</v>
      </c>
      <c r="F606" s="546">
        <f>F607+F608</f>
        <v>16417</v>
      </c>
      <c r="G606" s="660">
        <f t="shared" si="232"/>
        <v>0.9657058823529412</v>
      </c>
    </row>
    <row r="607" spans="1:7" ht="12.75">
      <c r="A607" s="227"/>
      <c r="B607" s="232" t="s">
        <v>152</v>
      </c>
      <c r="C607" s="546">
        <v>17000</v>
      </c>
      <c r="D607" s="546">
        <v>17000</v>
      </c>
      <c r="E607" s="546">
        <v>17000</v>
      </c>
      <c r="F607" s="546">
        <v>16417</v>
      </c>
      <c r="G607" s="660">
        <f t="shared" si="232"/>
        <v>0.9657058823529412</v>
      </c>
    </row>
    <row r="608" spans="1:7" ht="12.75">
      <c r="A608" s="227"/>
      <c r="B608" s="232" t="s">
        <v>153</v>
      </c>
      <c r="C608" s="552"/>
      <c r="D608" s="552"/>
      <c r="E608" s="552"/>
      <c r="F608" s="552"/>
      <c r="G608" s="660"/>
    </row>
    <row r="609" spans="1:7" ht="12.75">
      <c r="A609" s="227"/>
      <c r="B609" s="233" t="s">
        <v>154</v>
      </c>
      <c r="C609" s="546">
        <v>700</v>
      </c>
      <c r="D609" s="546">
        <v>700</v>
      </c>
      <c r="E609" s="546">
        <f>700+63</f>
        <v>763</v>
      </c>
      <c r="F609" s="546">
        <v>944</v>
      </c>
      <c r="G609" s="660">
        <f t="shared" si="232"/>
        <v>1.2372214941022281</v>
      </c>
    </row>
    <row r="610" spans="1:7" ht="12.75">
      <c r="A610" s="227"/>
      <c r="B610" s="233" t="s">
        <v>155</v>
      </c>
      <c r="C610" s="546"/>
      <c r="D610" s="546"/>
      <c r="E610" s="546"/>
      <c r="F610" s="546"/>
      <c r="G610" s="660"/>
    </row>
    <row r="611" spans="1:7" ht="12.75">
      <c r="A611" s="227"/>
      <c r="B611" s="233" t="s">
        <v>156</v>
      </c>
      <c r="C611" s="546">
        <v>4780</v>
      </c>
      <c r="D611" s="546">
        <v>4780</v>
      </c>
      <c r="E611" s="546">
        <v>4780</v>
      </c>
      <c r="F611" s="546">
        <v>4696</v>
      </c>
      <c r="G611" s="660">
        <f t="shared" si="232"/>
        <v>0.9824267782426779</v>
      </c>
    </row>
    <row r="612" spans="1:7" ht="12.75">
      <c r="A612" s="227"/>
      <c r="B612" s="233" t="s">
        <v>294</v>
      </c>
      <c r="C612" s="546"/>
      <c r="D612" s="546"/>
      <c r="E612" s="546"/>
      <c r="F612" s="546"/>
      <c r="G612" s="660"/>
    </row>
    <row r="613" spans="1:7" ht="12.75">
      <c r="A613" s="227"/>
      <c r="B613" s="234" t="s">
        <v>372</v>
      </c>
      <c r="C613" s="546"/>
      <c r="D613" s="546"/>
      <c r="E613" s="546"/>
      <c r="F613" s="546"/>
      <c r="G613" s="660"/>
    </row>
    <row r="614" spans="1:7" ht="13.5" thickBot="1">
      <c r="A614" s="227"/>
      <c r="B614" s="235" t="s">
        <v>157</v>
      </c>
      <c r="C614" s="546"/>
      <c r="D614" s="546"/>
      <c r="E614" s="546"/>
      <c r="F614" s="546">
        <v>59</v>
      </c>
      <c r="G614" s="683">
        <v>1</v>
      </c>
    </row>
    <row r="615" spans="1:7" ht="13.5" thickBot="1">
      <c r="A615" s="227"/>
      <c r="B615" s="236" t="s">
        <v>290</v>
      </c>
      <c r="C615" s="548">
        <f aca="true" t="shared" si="233" ref="C615:D615">SUM(C606+C609+C610+C611+C614+C605+C612+C613)</f>
        <v>22480</v>
      </c>
      <c r="D615" s="548">
        <f t="shared" si="233"/>
        <v>22480</v>
      </c>
      <c r="E615" s="548">
        <f>SUM(E606+E609+E610+E611+E614+E605+E612+E613)</f>
        <v>22580</v>
      </c>
      <c r="F615" s="548">
        <f>SUM(F606+F609+F610+F611+F614+F605+F612+F613)</f>
        <v>22178</v>
      </c>
      <c r="G615" s="699">
        <f t="shared" si="232"/>
        <v>0.9821966341895483</v>
      </c>
    </row>
    <row r="616" spans="1:7" ht="13.5" thickBot="1">
      <c r="A616" s="227"/>
      <c r="B616" s="466" t="s">
        <v>184</v>
      </c>
      <c r="C616" s="553"/>
      <c r="D616" s="553"/>
      <c r="E616" s="553"/>
      <c r="F616" s="553"/>
      <c r="G616" s="662"/>
    </row>
    <row r="617" spans="1:7" ht="13.5" thickBot="1">
      <c r="A617" s="227"/>
      <c r="B617" s="238" t="s">
        <v>45</v>
      </c>
      <c r="C617" s="680">
        <f aca="true" t="shared" si="234" ref="C617:D617">SUM(C615+C604+C616)</f>
        <v>22480</v>
      </c>
      <c r="D617" s="680">
        <f t="shared" si="234"/>
        <v>22480</v>
      </c>
      <c r="E617" s="680">
        <f>SUM(E615+E604+E616)</f>
        <v>23380</v>
      </c>
      <c r="F617" s="680">
        <f>SUM(F615+F604+F616)</f>
        <v>22978</v>
      </c>
      <c r="G617" s="699">
        <f t="shared" si="232"/>
        <v>0.9828058169375534</v>
      </c>
    </row>
    <row r="618" spans="1:7" ht="13.5" thickBot="1">
      <c r="A618" s="227"/>
      <c r="B618" s="120" t="s">
        <v>197</v>
      </c>
      <c r="C618" s="554"/>
      <c r="D618" s="554"/>
      <c r="E618" s="554"/>
      <c r="F618" s="554"/>
      <c r="G618" s="662"/>
    </row>
    <row r="619" spans="1:7" ht="13.5" thickBot="1">
      <c r="A619" s="227"/>
      <c r="B619" s="239" t="s">
        <v>46</v>
      </c>
      <c r="C619" s="555"/>
      <c r="D619" s="555"/>
      <c r="E619" s="555"/>
      <c r="F619" s="555"/>
      <c r="G619" s="662"/>
    </row>
    <row r="620" spans="1:7" ht="12.75">
      <c r="A620" s="227"/>
      <c r="B620" s="479" t="s">
        <v>348</v>
      </c>
      <c r="C620" s="556"/>
      <c r="D620" s="556">
        <v>4251</v>
      </c>
      <c r="E620" s="556">
        <v>4251</v>
      </c>
      <c r="F620" s="556">
        <v>4251</v>
      </c>
      <c r="G620" s="660">
        <f t="shared" si="232"/>
        <v>1</v>
      </c>
    </row>
    <row r="621" spans="1:7" ht="13.5" thickBot="1">
      <c r="A621" s="227"/>
      <c r="B621" s="241" t="s">
        <v>376</v>
      </c>
      <c r="C621" s="898">
        <f>287090+30400+10427</f>
        <v>327917</v>
      </c>
      <c r="D621" s="898">
        <f>327917+33415+30000</f>
        <v>391332</v>
      </c>
      <c r="E621" s="898">
        <f>327917+33415+30000</f>
        <v>391332</v>
      </c>
      <c r="F621" s="898">
        <v>212073</v>
      </c>
      <c r="G621" s="683">
        <f t="shared" si="232"/>
        <v>0.5419260372267026</v>
      </c>
    </row>
    <row r="622" spans="1:7" ht="13.5" thickBot="1">
      <c r="A622" s="227"/>
      <c r="B622" s="242" t="s">
        <v>39</v>
      </c>
      <c r="C622" s="555">
        <f aca="true" t="shared" si="235" ref="C622:D622">SUM(C620:C621)</f>
        <v>327917</v>
      </c>
      <c r="D622" s="555">
        <f t="shared" si="235"/>
        <v>395583</v>
      </c>
      <c r="E622" s="555">
        <f aca="true" t="shared" si="236" ref="E622:F622">SUM(E620:E621)</f>
        <v>395583</v>
      </c>
      <c r="F622" s="555">
        <f t="shared" si="236"/>
        <v>216324</v>
      </c>
      <c r="G622" s="699">
        <f t="shared" si="232"/>
        <v>0.5468485753937858</v>
      </c>
    </row>
    <row r="623" spans="1:7" ht="13.5" thickBot="1">
      <c r="A623" s="227"/>
      <c r="B623" s="201" t="s">
        <v>348</v>
      </c>
      <c r="C623" s="554"/>
      <c r="D623" s="554"/>
      <c r="E623" s="554"/>
      <c r="F623" s="554"/>
      <c r="G623" s="662"/>
    </row>
    <row r="624" spans="1:7" ht="13.5" thickBot="1">
      <c r="A624" s="227"/>
      <c r="B624" s="242" t="s">
        <v>41</v>
      </c>
      <c r="C624" s="555"/>
      <c r="D624" s="555"/>
      <c r="E624" s="555"/>
      <c r="F624" s="555"/>
      <c r="G624" s="662"/>
    </row>
    <row r="625" spans="1:7" ht="15.75" thickBot="1">
      <c r="A625" s="227"/>
      <c r="B625" s="244" t="s">
        <v>50</v>
      </c>
      <c r="C625" s="548">
        <f>SUM(C617+C619+C622)+C624</f>
        <v>350397</v>
      </c>
      <c r="D625" s="548">
        <f>SUM(D617+D619+D622)+D624</f>
        <v>418063</v>
      </c>
      <c r="E625" s="548">
        <f>SUM(E617+E619+E622)+E624</f>
        <v>418963</v>
      </c>
      <c r="F625" s="548">
        <f>SUM(F617+F619+F622)+F624</f>
        <v>239302</v>
      </c>
      <c r="G625" s="699">
        <f t="shared" si="232"/>
        <v>0.5711769297050098</v>
      </c>
    </row>
    <row r="626" spans="1:7" ht="12.75">
      <c r="A626" s="227"/>
      <c r="B626" s="245" t="s">
        <v>271</v>
      </c>
      <c r="C626" s="546">
        <f>142151+9204+9227</f>
        <v>160582</v>
      </c>
      <c r="D626" s="546">
        <f>160582+1393</f>
        <v>161975</v>
      </c>
      <c r="E626" s="546">
        <f>161975-604</f>
        <v>161371</v>
      </c>
      <c r="F626" s="546">
        <v>101343</v>
      </c>
      <c r="G626" s="660">
        <f t="shared" si="232"/>
        <v>0.6280124681634247</v>
      </c>
    </row>
    <row r="627" spans="1:7" ht="12.75">
      <c r="A627" s="227"/>
      <c r="B627" s="245" t="s">
        <v>272</v>
      </c>
      <c r="C627" s="546">
        <f>19046+1196+1200</f>
        <v>21442</v>
      </c>
      <c r="D627" s="546">
        <f>21442+2394</f>
        <v>23836</v>
      </c>
      <c r="E627" s="546">
        <f>23836-412</f>
        <v>23424</v>
      </c>
      <c r="F627" s="546">
        <v>15183</v>
      </c>
      <c r="G627" s="660">
        <f t="shared" si="232"/>
        <v>0.6481813524590164</v>
      </c>
    </row>
    <row r="628" spans="1:7" ht="12.75">
      <c r="A628" s="227"/>
      <c r="B628" s="245" t="s">
        <v>273</v>
      </c>
      <c r="C628" s="546">
        <f>145373+20000</f>
        <v>165373</v>
      </c>
      <c r="D628" s="546">
        <f>165373+464+33415+30000</f>
        <v>229252</v>
      </c>
      <c r="E628" s="546">
        <f>229252+335</f>
        <v>229587</v>
      </c>
      <c r="F628" s="546">
        <v>119942</v>
      </c>
      <c r="G628" s="660">
        <f t="shared" si="232"/>
        <v>0.5224250501988353</v>
      </c>
    </row>
    <row r="629" spans="1:7" ht="12.75">
      <c r="A629" s="227"/>
      <c r="B629" s="245" t="s">
        <v>275</v>
      </c>
      <c r="C629" s="546"/>
      <c r="D629" s="546"/>
      <c r="E629" s="546"/>
      <c r="F629" s="546"/>
      <c r="G629" s="660"/>
    </row>
    <row r="630" spans="1:7" ht="13.5" thickBot="1">
      <c r="A630" s="227"/>
      <c r="B630" s="437" t="s">
        <v>274</v>
      </c>
      <c r="C630" s="547"/>
      <c r="D630" s="547"/>
      <c r="E630" s="547">
        <v>1581</v>
      </c>
      <c r="F630" s="547">
        <v>1580</v>
      </c>
      <c r="G630" s="683">
        <f t="shared" si="232"/>
        <v>0.9993674889310563</v>
      </c>
    </row>
    <row r="631" spans="1:7" ht="12.75">
      <c r="A631" s="436"/>
      <c r="B631" s="492" t="s">
        <v>38</v>
      </c>
      <c r="C631" s="566">
        <f aca="true" t="shared" si="237" ref="C631:D631">SUM(C626:C630)</f>
        <v>347397</v>
      </c>
      <c r="D631" s="566">
        <f t="shared" si="237"/>
        <v>415063</v>
      </c>
      <c r="E631" s="566">
        <f aca="true" t="shared" si="238" ref="E631:F631">SUM(E626:E630)</f>
        <v>415963</v>
      </c>
      <c r="F631" s="566">
        <f t="shared" si="238"/>
        <v>238048</v>
      </c>
      <c r="G631" s="910">
        <f t="shared" si="232"/>
        <v>0.5722816692830853</v>
      </c>
    </row>
    <row r="632" spans="1:7" ht="12.75">
      <c r="A632" s="227"/>
      <c r="B632" s="911" t="s">
        <v>9</v>
      </c>
      <c r="C632" s="912">
        <f>62000+20000</f>
        <v>82000</v>
      </c>
      <c r="D632" s="912">
        <f>62000+20000+20000</f>
        <v>102000</v>
      </c>
      <c r="E632" s="912">
        <f>62000+20000+20000</f>
        <v>102000</v>
      </c>
      <c r="F632" s="1060">
        <v>70934</v>
      </c>
      <c r="G632" s="913">
        <f t="shared" si="232"/>
        <v>0.6954313725490197</v>
      </c>
    </row>
    <row r="633" spans="1:7" ht="12.75">
      <c r="A633" s="227"/>
      <c r="B633" s="245" t="s">
        <v>544</v>
      </c>
      <c r="C633" s="546">
        <v>3000</v>
      </c>
      <c r="D633" s="546">
        <v>3000</v>
      </c>
      <c r="E633" s="546">
        <v>3000</v>
      </c>
      <c r="F633" s="1050">
        <v>756</v>
      </c>
      <c r="G633" s="660">
        <f t="shared" si="232"/>
        <v>0.252</v>
      </c>
    </row>
    <row r="634" spans="1:7" ht="12.75">
      <c r="A634" s="227"/>
      <c r="B634" s="245" t="s">
        <v>205</v>
      </c>
      <c r="C634" s="546"/>
      <c r="D634" s="546"/>
      <c r="E634" s="546"/>
      <c r="F634" s="1050"/>
      <c r="G634" s="660"/>
    </row>
    <row r="635" spans="1:7" ht="13.5" thickBot="1">
      <c r="A635" s="227"/>
      <c r="B635" s="247" t="s">
        <v>357</v>
      </c>
      <c r="C635" s="547"/>
      <c r="D635" s="547"/>
      <c r="E635" s="547"/>
      <c r="F635" s="1020"/>
      <c r="G635" s="683"/>
    </row>
    <row r="636" spans="1:7" ht="13.5" thickBot="1">
      <c r="A636" s="227"/>
      <c r="B636" s="249" t="s">
        <v>44</v>
      </c>
      <c r="C636" s="548">
        <f aca="true" t="shared" si="239" ref="C636:D636">SUM(C633:C635)</f>
        <v>3000</v>
      </c>
      <c r="D636" s="548">
        <f t="shared" si="239"/>
        <v>3000</v>
      </c>
      <c r="E636" s="548">
        <f aca="true" t="shared" si="240" ref="E636:F636">SUM(E633:E635)</f>
        <v>3000</v>
      </c>
      <c r="F636" s="548">
        <f t="shared" si="240"/>
        <v>756</v>
      </c>
      <c r="G636" s="699">
        <f t="shared" si="232"/>
        <v>0.252</v>
      </c>
    </row>
    <row r="637" spans="1:7" ht="15.75" thickBot="1">
      <c r="A637" s="224"/>
      <c r="B637" s="250" t="s">
        <v>84</v>
      </c>
      <c r="C637" s="553">
        <f>SUM(C631+C636)</f>
        <v>350397</v>
      </c>
      <c r="D637" s="553">
        <f>SUM(D631+D636)</f>
        <v>418063</v>
      </c>
      <c r="E637" s="553">
        <f>SUM(E631+E636)</f>
        <v>418963</v>
      </c>
      <c r="F637" s="553">
        <f>SUM(F631+F636)</f>
        <v>238804</v>
      </c>
      <c r="G637" s="908">
        <f t="shared" si="232"/>
        <v>0.5699882805880233</v>
      </c>
    </row>
    <row r="638" spans="1:7" ht="15">
      <c r="A638" s="181">
        <v>2986</v>
      </c>
      <c r="B638" s="184" t="s">
        <v>328</v>
      </c>
      <c r="C638" s="546"/>
      <c r="D638" s="546"/>
      <c r="E638" s="546"/>
      <c r="F638" s="546"/>
      <c r="G638" s="660"/>
    </row>
    <row r="639" spans="1:7" ht="12.75">
      <c r="A639" s="227"/>
      <c r="B639" s="228" t="s">
        <v>148</v>
      </c>
      <c r="C639" s="549"/>
      <c r="D639" s="549"/>
      <c r="E639" s="549"/>
      <c r="F639" s="549"/>
      <c r="G639" s="660"/>
    </row>
    <row r="640" spans="1:7" ht="13.5" thickBot="1">
      <c r="A640" s="227"/>
      <c r="B640" s="229" t="s">
        <v>149</v>
      </c>
      <c r="C640" s="560"/>
      <c r="D640" s="560"/>
      <c r="E640" s="560">
        <v>1350</v>
      </c>
      <c r="F640" s="560">
        <v>1350</v>
      </c>
      <c r="G640" s="683">
        <f t="shared" si="232"/>
        <v>1</v>
      </c>
    </row>
    <row r="641" spans="1:7" ht="13.5" thickBot="1">
      <c r="A641" s="227"/>
      <c r="B641" s="230" t="s">
        <v>160</v>
      </c>
      <c r="C641" s="558"/>
      <c r="D641" s="558"/>
      <c r="E641" s="558">
        <v>1350</v>
      </c>
      <c r="F641" s="558">
        <f>SUM(F639:F640)</f>
        <v>1350</v>
      </c>
      <c r="G641" s="699">
        <f t="shared" si="232"/>
        <v>1</v>
      </c>
    </row>
    <row r="642" spans="1:7" ht="12.75">
      <c r="A642" s="227"/>
      <c r="B642" s="228" t="s">
        <v>151</v>
      </c>
      <c r="C642" s="546">
        <f>C643+C644</f>
        <v>20000</v>
      </c>
      <c r="D642" s="546">
        <f>D643+D644</f>
        <v>20000</v>
      </c>
      <c r="E642" s="546">
        <f>E643+E644</f>
        <v>20000</v>
      </c>
      <c r="F642" s="546">
        <f>F643+F644</f>
        <v>21905</v>
      </c>
      <c r="G642" s="660">
        <f t="shared" si="232"/>
        <v>1.09525</v>
      </c>
    </row>
    <row r="643" spans="1:7" ht="12.75">
      <c r="A643" s="227"/>
      <c r="B643" s="232" t="s">
        <v>152</v>
      </c>
      <c r="C643" s="552">
        <f>16000+4000</f>
        <v>20000</v>
      </c>
      <c r="D643" s="552">
        <f>16000+4000</f>
        <v>20000</v>
      </c>
      <c r="E643" s="552">
        <f>16000+4000</f>
        <v>20000</v>
      </c>
      <c r="F643" s="552">
        <v>21905</v>
      </c>
      <c r="G643" s="660">
        <f t="shared" si="232"/>
        <v>1.09525</v>
      </c>
    </row>
    <row r="644" spans="1:7" ht="12.75">
      <c r="A644" s="227"/>
      <c r="B644" s="232" t="s">
        <v>153</v>
      </c>
      <c r="C644" s="552"/>
      <c r="D644" s="552"/>
      <c r="E644" s="552"/>
      <c r="F644" s="552"/>
      <c r="G644" s="660"/>
    </row>
    <row r="645" spans="1:7" ht="12.75">
      <c r="A645" s="227"/>
      <c r="B645" s="233" t="s">
        <v>154</v>
      </c>
      <c r="C645" s="546"/>
      <c r="D645" s="546"/>
      <c r="E645" s="546">
        <v>39</v>
      </c>
      <c r="F645" s="546">
        <v>39</v>
      </c>
      <c r="G645" s="660">
        <f t="shared" si="232"/>
        <v>1</v>
      </c>
    </row>
    <row r="646" spans="1:7" ht="12.75">
      <c r="A646" s="227"/>
      <c r="B646" s="233" t="s">
        <v>155</v>
      </c>
      <c r="C646" s="546"/>
      <c r="D646" s="546"/>
      <c r="E646" s="546"/>
      <c r="F646" s="546"/>
      <c r="G646" s="660"/>
    </row>
    <row r="647" spans="1:7" ht="12.75">
      <c r="A647" s="227"/>
      <c r="B647" s="233" t="s">
        <v>156</v>
      </c>
      <c r="C647" s="546">
        <f>4320+1080</f>
        <v>5400</v>
      </c>
      <c r="D647" s="546">
        <f>4320+1080</f>
        <v>5400</v>
      </c>
      <c r="E647" s="546">
        <f>4320+1080</f>
        <v>5400</v>
      </c>
      <c r="F647" s="546">
        <v>5925</v>
      </c>
      <c r="G647" s="660">
        <f t="shared" si="232"/>
        <v>1.0972222222222223</v>
      </c>
    </row>
    <row r="648" spans="1:7" ht="12.75">
      <c r="A648" s="227"/>
      <c r="B648" s="233" t="s">
        <v>407</v>
      </c>
      <c r="C648" s="546"/>
      <c r="D648" s="546"/>
      <c r="E648" s="546">
        <v>4179</v>
      </c>
      <c r="F648" s="546">
        <v>5450</v>
      </c>
      <c r="G648" s="660">
        <f t="shared" si="232"/>
        <v>1.3041397463508015</v>
      </c>
    </row>
    <row r="649" spans="1:7" ht="12.75">
      <c r="A649" s="227"/>
      <c r="B649" s="234" t="s">
        <v>372</v>
      </c>
      <c r="C649" s="546"/>
      <c r="D649" s="546"/>
      <c r="E649" s="546"/>
      <c r="F649" s="546"/>
      <c r="G649" s="660"/>
    </row>
    <row r="650" spans="1:7" ht="13.5" thickBot="1">
      <c r="A650" s="227"/>
      <c r="B650" s="235" t="s">
        <v>157</v>
      </c>
      <c r="C650" s="546"/>
      <c r="D650" s="546"/>
      <c r="E650" s="546"/>
      <c r="F650" s="546">
        <v>15</v>
      </c>
      <c r="G650" s="683"/>
    </row>
    <row r="651" spans="1:7" ht="13.5" thickBot="1">
      <c r="A651" s="227"/>
      <c r="B651" s="236" t="s">
        <v>290</v>
      </c>
      <c r="C651" s="548">
        <f aca="true" t="shared" si="241" ref="C651:D651">SUM(C642+C645+C646+C647+C650+C648+C649)</f>
        <v>25400</v>
      </c>
      <c r="D651" s="548">
        <f t="shared" si="241"/>
        <v>25400</v>
      </c>
      <c r="E651" s="548">
        <f>SUM(E642+E645+E646+E647+E650+E648+E649)</f>
        <v>29618</v>
      </c>
      <c r="F651" s="548">
        <f>SUM(F642+F645+F646+F647+F650+F648+F649)</f>
        <v>33334</v>
      </c>
      <c r="G651" s="699">
        <f t="shared" si="232"/>
        <v>1.125464244716051</v>
      </c>
    </row>
    <row r="652" spans="1:7" ht="13.5" thickBot="1">
      <c r="A652" s="227"/>
      <c r="B652" s="466" t="s">
        <v>184</v>
      </c>
      <c r="C652" s="553"/>
      <c r="D652" s="553"/>
      <c r="E652" s="553"/>
      <c r="F652" s="553"/>
      <c r="G652" s="662"/>
    </row>
    <row r="653" spans="1:7" ht="13.5" thickBot="1">
      <c r="A653" s="227"/>
      <c r="B653" s="238" t="s">
        <v>45</v>
      </c>
      <c r="C653" s="680">
        <f aca="true" t="shared" si="242" ref="C653:D653">SUM(C651+C641+C652)</f>
        <v>25400</v>
      </c>
      <c r="D653" s="680">
        <f t="shared" si="242"/>
        <v>25400</v>
      </c>
      <c r="E653" s="680">
        <f aca="true" t="shared" si="243" ref="E653:F653">SUM(E651+E641+E652)</f>
        <v>30968</v>
      </c>
      <c r="F653" s="680">
        <f t="shared" si="243"/>
        <v>34684</v>
      </c>
      <c r="G653" s="699">
        <f t="shared" si="232"/>
        <v>1.1199948333763885</v>
      </c>
    </row>
    <row r="654" spans="1:7" ht="13.5" thickBot="1">
      <c r="A654" s="227"/>
      <c r="B654" s="120" t="s">
        <v>197</v>
      </c>
      <c r="C654" s="554"/>
      <c r="D654" s="554"/>
      <c r="E654" s="554"/>
      <c r="F654" s="554"/>
      <c r="G654" s="662"/>
    </row>
    <row r="655" spans="1:7" ht="13.5" thickBot="1">
      <c r="A655" s="227"/>
      <c r="B655" s="588" t="s">
        <v>468</v>
      </c>
      <c r="C655" s="554"/>
      <c r="D655" s="554"/>
      <c r="E655" s="554"/>
      <c r="F655" s="554"/>
      <c r="G655" s="662"/>
    </row>
    <row r="656" spans="1:7" ht="13.5" thickBot="1">
      <c r="A656" s="227"/>
      <c r="B656" s="239" t="s">
        <v>46</v>
      </c>
      <c r="C656" s="555"/>
      <c r="D656" s="555"/>
      <c r="E656" s="555"/>
      <c r="F656" s="555"/>
      <c r="G656" s="662"/>
    </row>
    <row r="657" spans="1:7" ht="12.75">
      <c r="A657" s="227"/>
      <c r="B657" s="479" t="s">
        <v>348</v>
      </c>
      <c r="C657" s="556"/>
      <c r="D657" s="556">
        <v>1481</v>
      </c>
      <c r="E657" s="556">
        <v>1481</v>
      </c>
      <c r="F657" s="556">
        <v>1481</v>
      </c>
      <c r="G657" s="660">
        <f t="shared" si="232"/>
        <v>1</v>
      </c>
    </row>
    <row r="658" spans="1:7" ht="13.5" thickBot="1">
      <c r="A658" s="227"/>
      <c r="B658" s="241" t="s">
        <v>376</v>
      </c>
      <c r="C658" s="547">
        <f>202515+4976-5080+4375</f>
        <v>206786</v>
      </c>
      <c r="D658" s="547">
        <f>206786+17971</f>
        <v>224757</v>
      </c>
      <c r="E658" s="547">
        <f>224757-4179</f>
        <v>220578</v>
      </c>
      <c r="F658" s="547">
        <v>107706</v>
      </c>
      <c r="G658" s="683">
        <f t="shared" si="232"/>
        <v>0.48828985664934854</v>
      </c>
    </row>
    <row r="659" spans="1:7" ht="13.5" thickBot="1">
      <c r="A659" s="227"/>
      <c r="B659" s="242" t="s">
        <v>39</v>
      </c>
      <c r="C659" s="555">
        <f aca="true" t="shared" si="244" ref="C659:D659">SUM(C657:C658)</f>
        <v>206786</v>
      </c>
      <c r="D659" s="555">
        <f t="shared" si="244"/>
        <v>226238</v>
      </c>
      <c r="E659" s="555">
        <f aca="true" t="shared" si="245" ref="E659:F659">SUM(E657:E658)</f>
        <v>222059</v>
      </c>
      <c r="F659" s="555">
        <f t="shared" si="245"/>
        <v>109187</v>
      </c>
      <c r="G659" s="699">
        <f t="shared" si="232"/>
        <v>0.4917026556005386</v>
      </c>
    </row>
    <row r="660" spans="1:7" ht="13.5" thickBot="1">
      <c r="A660" s="227"/>
      <c r="B660" s="201" t="s">
        <v>348</v>
      </c>
      <c r="C660" s="554"/>
      <c r="D660" s="554"/>
      <c r="E660" s="554"/>
      <c r="F660" s="554"/>
      <c r="G660" s="662"/>
    </row>
    <row r="661" spans="1:7" ht="13.5" thickBot="1">
      <c r="A661" s="227"/>
      <c r="B661" s="242" t="s">
        <v>41</v>
      </c>
      <c r="C661" s="555"/>
      <c r="D661" s="555"/>
      <c r="E661" s="555"/>
      <c r="F661" s="555"/>
      <c r="G661" s="662"/>
    </row>
    <row r="662" spans="1:7" ht="15.75" thickBot="1">
      <c r="A662" s="227"/>
      <c r="B662" s="244" t="s">
        <v>50</v>
      </c>
      <c r="C662" s="548">
        <f>SUM(C653+C656+C659)+C661</f>
        <v>232186</v>
      </c>
      <c r="D662" s="548">
        <f>SUM(D653+D656+D659)+D661</f>
        <v>251638</v>
      </c>
      <c r="E662" s="548">
        <f>SUM(E653+E656+E659)+E661</f>
        <v>253027</v>
      </c>
      <c r="F662" s="548">
        <f>SUM(F653+F656+F659)+F661</f>
        <v>143871</v>
      </c>
      <c r="G662" s="699">
        <f t="shared" si="232"/>
        <v>0.5685993984831659</v>
      </c>
    </row>
    <row r="663" spans="1:7" ht="12.75">
      <c r="A663" s="227"/>
      <c r="B663" s="245" t="s">
        <v>271</v>
      </c>
      <c r="C663" s="546">
        <f>77168+4404+3872</f>
        <v>85444</v>
      </c>
      <c r="D663" s="546">
        <f>85444+675</f>
        <v>86119</v>
      </c>
      <c r="E663" s="546">
        <f>86119-176+5550</f>
        <v>91493</v>
      </c>
      <c r="F663" s="546">
        <v>61607</v>
      </c>
      <c r="G663" s="660">
        <f t="shared" si="232"/>
        <v>0.6733520597204158</v>
      </c>
    </row>
    <row r="664" spans="1:7" ht="12.75">
      <c r="A664" s="227"/>
      <c r="B664" s="245" t="s">
        <v>272</v>
      </c>
      <c r="C664" s="546">
        <f>10261+572+503</f>
        <v>11336</v>
      </c>
      <c r="D664" s="546">
        <f>11336+322</f>
        <v>11658</v>
      </c>
      <c r="E664" s="546">
        <f>11658-145+869</f>
        <v>12382</v>
      </c>
      <c r="F664" s="546">
        <v>5920</v>
      </c>
      <c r="G664" s="660">
        <f t="shared" si="232"/>
        <v>0.4781133904054272</v>
      </c>
    </row>
    <row r="665" spans="1:7" ht="12.75">
      <c r="A665" s="227"/>
      <c r="B665" s="245" t="s">
        <v>273</v>
      </c>
      <c r="C665" s="546">
        <v>131406</v>
      </c>
      <c r="D665" s="546">
        <f>131406+484+17971</f>
        <v>149861</v>
      </c>
      <c r="E665" s="546">
        <f>149861+5568-4179-15919</f>
        <v>135331</v>
      </c>
      <c r="F665" s="546">
        <v>69438</v>
      </c>
      <c r="G665" s="660">
        <f t="shared" si="232"/>
        <v>0.5130975164596434</v>
      </c>
    </row>
    <row r="666" spans="1:7" ht="12.75">
      <c r="A666" s="227"/>
      <c r="B666" s="245" t="s">
        <v>275</v>
      </c>
      <c r="C666" s="546"/>
      <c r="D666" s="546"/>
      <c r="E666" s="546"/>
      <c r="F666" s="546"/>
      <c r="G666" s="660"/>
    </row>
    <row r="667" spans="1:7" ht="13.5" thickBot="1">
      <c r="A667" s="227"/>
      <c r="B667" s="437" t="s">
        <v>274</v>
      </c>
      <c r="C667" s="547"/>
      <c r="D667" s="547"/>
      <c r="E667" s="547">
        <v>321</v>
      </c>
      <c r="F667" s="547">
        <v>320</v>
      </c>
      <c r="G667" s="683">
        <f t="shared" si="232"/>
        <v>0.9968847352024922</v>
      </c>
    </row>
    <row r="668" spans="1:7" ht="13.5" thickBot="1">
      <c r="A668" s="227"/>
      <c r="B668" s="248" t="s">
        <v>38</v>
      </c>
      <c r="C668" s="548">
        <f aca="true" t="shared" si="246" ref="C668:D668">SUM(C663:C667)</f>
        <v>228186</v>
      </c>
      <c r="D668" s="548">
        <f t="shared" si="246"/>
        <v>247638</v>
      </c>
      <c r="E668" s="548">
        <f aca="true" t="shared" si="247" ref="E668:F668">SUM(E663:E667)</f>
        <v>239527</v>
      </c>
      <c r="F668" s="548">
        <f t="shared" si="247"/>
        <v>137285</v>
      </c>
      <c r="G668" s="699">
        <f aca="true" t="shared" si="248" ref="G668:G713">F668/E668</f>
        <v>0.5731504172807241</v>
      </c>
    </row>
    <row r="669" spans="1:7" ht="12.75">
      <c r="A669" s="227"/>
      <c r="B669" s="245" t="s">
        <v>544</v>
      </c>
      <c r="C669" s="546">
        <v>4000</v>
      </c>
      <c r="D669" s="546">
        <v>4000</v>
      </c>
      <c r="E669" s="546">
        <f>4000+9500</f>
        <v>13500</v>
      </c>
      <c r="F669" s="546">
        <v>2003</v>
      </c>
      <c r="G669" s="660">
        <f t="shared" si="248"/>
        <v>0.14837037037037037</v>
      </c>
    </row>
    <row r="670" spans="1:7" ht="12.75">
      <c r="A670" s="227"/>
      <c r="B670" s="245" t="s">
        <v>205</v>
      </c>
      <c r="C670" s="546"/>
      <c r="D670" s="546"/>
      <c r="E670" s="546"/>
      <c r="F670" s="546"/>
      <c r="G670" s="660"/>
    </row>
    <row r="671" spans="1:7" ht="13.5" thickBot="1">
      <c r="A671" s="227"/>
      <c r="B671" s="247" t="s">
        <v>357</v>
      </c>
      <c r="C671" s="547"/>
      <c r="D671" s="547"/>
      <c r="E671" s="547"/>
      <c r="F671" s="547"/>
      <c r="G671" s="683"/>
    </row>
    <row r="672" spans="1:7" ht="13.5" thickBot="1">
      <c r="A672" s="227"/>
      <c r="B672" s="249" t="s">
        <v>44</v>
      </c>
      <c r="C672" s="548">
        <f aca="true" t="shared" si="249" ref="C672:D672">SUM(C669:C671)</f>
        <v>4000</v>
      </c>
      <c r="D672" s="548">
        <f t="shared" si="249"/>
        <v>4000</v>
      </c>
      <c r="E672" s="548">
        <f aca="true" t="shared" si="250" ref="E672:F672">SUM(E669:E671)</f>
        <v>13500</v>
      </c>
      <c r="F672" s="548">
        <f t="shared" si="250"/>
        <v>2003</v>
      </c>
      <c r="G672" s="699">
        <f t="shared" si="248"/>
        <v>0.14837037037037037</v>
      </c>
    </row>
    <row r="673" spans="1:7" ht="15.75" thickBot="1">
      <c r="A673" s="224"/>
      <c r="B673" s="250" t="s">
        <v>84</v>
      </c>
      <c r="C673" s="553">
        <f aca="true" t="shared" si="251" ref="C673:D673">SUM(C672,C668)</f>
        <v>232186</v>
      </c>
      <c r="D673" s="553">
        <f t="shared" si="251"/>
        <v>251638</v>
      </c>
      <c r="E673" s="553">
        <f aca="true" t="shared" si="252" ref="E673:F673">SUM(E672,E668)</f>
        <v>253027</v>
      </c>
      <c r="F673" s="553">
        <f t="shared" si="252"/>
        <v>139288</v>
      </c>
      <c r="G673" s="908">
        <f t="shared" si="248"/>
        <v>0.5504867069522225</v>
      </c>
    </row>
    <row r="674" spans="1:7" ht="15">
      <c r="A674" s="181">
        <v>2991</v>
      </c>
      <c r="B674" s="184" t="s">
        <v>161</v>
      </c>
      <c r="C674" s="559"/>
      <c r="D674" s="559"/>
      <c r="E674" s="559"/>
      <c r="F674" s="559"/>
      <c r="G674" s="660"/>
    </row>
    <row r="675" spans="1:7" ht="12.75">
      <c r="A675" s="227"/>
      <c r="B675" s="228" t="s">
        <v>148</v>
      </c>
      <c r="C675" s="549"/>
      <c r="D675" s="549"/>
      <c r="E675" s="549"/>
      <c r="F675" s="436"/>
      <c r="G675" s="660"/>
    </row>
    <row r="676" spans="1:7" ht="13.5" thickBot="1">
      <c r="A676" s="227"/>
      <c r="B676" s="229" t="s">
        <v>149</v>
      </c>
      <c r="C676" s="547">
        <f>SUM(C566+C603+C457+C640)</f>
        <v>0</v>
      </c>
      <c r="D676" s="547">
        <f>SUM(D566+D603+D457+D640)</f>
        <v>0</v>
      </c>
      <c r="E676" s="547">
        <f>SUM(E566+E603+E457+E640)</f>
        <v>2150</v>
      </c>
      <c r="F676" s="1020">
        <f>SUM(F566+F603+F457+F640)</f>
        <v>2150</v>
      </c>
      <c r="G676" s="683">
        <f t="shared" si="248"/>
        <v>1</v>
      </c>
    </row>
    <row r="677" spans="1:7" ht="13.5" thickBot="1">
      <c r="A677" s="227"/>
      <c r="B677" s="230" t="s">
        <v>160</v>
      </c>
      <c r="C677" s="567">
        <f aca="true" t="shared" si="253" ref="C677:D677">SUM(C676)</f>
        <v>0</v>
      </c>
      <c r="D677" s="567">
        <f t="shared" si="253"/>
        <v>0</v>
      </c>
      <c r="E677" s="567">
        <f aca="true" t="shared" si="254" ref="E677:F677">SUM(E676)</f>
        <v>2150</v>
      </c>
      <c r="F677" s="1068">
        <f t="shared" si="254"/>
        <v>2150</v>
      </c>
      <c r="G677" s="699">
        <f t="shared" si="248"/>
        <v>1</v>
      </c>
    </row>
    <row r="678" spans="1:7" ht="12.75">
      <c r="A678" s="227"/>
      <c r="B678" s="228" t="s">
        <v>332</v>
      </c>
      <c r="C678" s="546">
        <f>SUM(C605)</f>
        <v>0</v>
      </c>
      <c r="D678" s="546">
        <f>SUM(D605)</f>
        <v>0</v>
      </c>
      <c r="E678" s="546">
        <f>SUM(E605)</f>
        <v>37</v>
      </c>
      <c r="F678" s="1050">
        <f>SUM(F605)</f>
        <v>62</v>
      </c>
      <c r="G678" s="660">
        <f t="shared" si="248"/>
        <v>1.6756756756756757</v>
      </c>
    </row>
    <row r="679" spans="1:7" ht="12.75">
      <c r="A679" s="227"/>
      <c r="B679" s="228" t="s">
        <v>151</v>
      </c>
      <c r="C679" s="546">
        <f>SUM(C680:C681)</f>
        <v>108738</v>
      </c>
      <c r="D679" s="546">
        <f>SUM(D680:D681)</f>
        <v>108738</v>
      </c>
      <c r="E679" s="546">
        <f>SUM(E680:E681)</f>
        <v>120523</v>
      </c>
      <c r="F679" s="1050">
        <f>SUM(F680:F681)</f>
        <v>126943</v>
      </c>
      <c r="G679" s="660">
        <f t="shared" si="248"/>
        <v>1.0532678409930054</v>
      </c>
    </row>
    <row r="680" spans="1:7" ht="12.75">
      <c r="A680" s="227"/>
      <c r="B680" s="232" t="s">
        <v>152</v>
      </c>
      <c r="C680" s="552">
        <f>SUM(C607+C569+C460+C643)</f>
        <v>44137</v>
      </c>
      <c r="D680" s="552">
        <f>SUM(D607+D569+D460+D643)</f>
        <v>44137</v>
      </c>
      <c r="E680" s="552">
        <f>SUM(E607+E569+E460+E643)</f>
        <v>44137</v>
      </c>
      <c r="F680" s="922">
        <f>SUM(F607+F569+F460+F643)</f>
        <v>71007</v>
      </c>
      <c r="G680" s="660">
        <f t="shared" si="248"/>
        <v>1.6087862790855745</v>
      </c>
    </row>
    <row r="681" spans="1:7" ht="12.75">
      <c r="A681" s="227"/>
      <c r="B681" s="232" t="s">
        <v>153</v>
      </c>
      <c r="C681" s="552">
        <f aca="true" t="shared" si="255" ref="C681:D683">SUM(C608+C570+C461)</f>
        <v>64601</v>
      </c>
      <c r="D681" s="552">
        <f t="shared" si="255"/>
        <v>64601</v>
      </c>
      <c r="E681" s="552">
        <f aca="true" t="shared" si="256" ref="E681:F681">SUM(E608+E570+E461)</f>
        <v>76386</v>
      </c>
      <c r="F681" s="922">
        <f t="shared" si="256"/>
        <v>55936</v>
      </c>
      <c r="G681" s="660">
        <f t="shared" si="248"/>
        <v>0.7322807844369387</v>
      </c>
    </row>
    <row r="682" spans="1:7" ht="12.75">
      <c r="A682" s="227"/>
      <c r="B682" s="233" t="s">
        <v>154</v>
      </c>
      <c r="C682" s="546">
        <f t="shared" si="255"/>
        <v>5529</v>
      </c>
      <c r="D682" s="546">
        <f t="shared" si="255"/>
        <v>5529</v>
      </c>
      <c r="E682" s="546">
        <f>SUM(E609+E571+E462)+E645</f>
        <v>8637</v>
      </c>
      <c r="F682" s="1050">
        <f>SUM(F609+F571+F462)+F645</f>
        <v>12208</v>
      </c>
      <c r="G682" s="660">
        <f t="shared" si="248"/>
        <v>1.4134537455134886</v>
      </c>
    </row>
    <row r="683" spans="1:7" ht="12.75">
      <c r="A683" s="227"/>
      <c r="B683" s="233" t="s">
        <v>155</v>
      </c>
      <c r="C683" s="546">
        <f t="shared" si="255"/>
        <v>201537</v>
      </c>
      <c r="D683" s="546">
        <f t="shared" si="255"/>
        <v>201537</v>
      </c>
      <c r="E683" s="546">
        <f aca="true" t="shared" si="257" ref="E683:F683">SUM(E610+E572+E463)</f>
        <v>201537</v>
      </c>
      <c r="F683" s="1050">
        <f t="shared" si="257"/>
        <v>143535</v>
      </c>
      <c r="G683" s="660">
        <f t="shared" si="248"/>
        <v>0.7122017297072002</v>
      </c>
    </row>
    <row r="684" spans="1:7" ht="12.75">
      <c r="A684" s="227"/>
      <c r="B684" s="233" t="s">
        <v>156</v>
      </c>
      <c r="C684" s="546">
        <f>SUM(C611+C573+C464+C647)</f>
        <v>80699</v>
      </c>
      <c r="D684" s="546">
        <f>SUM(D611+D573+D464+D647)</f>
        <v>80699</v>
      </c>
      <c r="E684" s="546">
        <f>SUM(E611+E573+E464+E647)</f>
        <v>83880</v>
      </c>
      <c r="F684" s="1050">
        <f>SUM(F611+F573+F464+F647)</f>
        <v>72829</v>
      </c>
      <c r="G684" s="660">
        <f t="shared" si="248"/>
        <v>0.8682522651406771</v>
      </c>
    </row>
    <row r="685" spans="1:7" ht="12.75">
      <c r="A685" s="227"/>
      <c r="B685" s="233" t="s">
        <v>294</v>
      </c>
      <c r="C685" s="546">
        <f>C574+C612+C648</f>
        <v>9000</v>
      </c>
      <c r="D685" s="546">
        <f>D574+D612+D648</f>
        <v>9000</v>
      </c>
      <c r="E685" s="546">
        <f>E574+E612+E648</f>
        <v>13179</v>
      </c>
      <c r="F685" s="1050">
        <f>F574+F612+F648</f>
        <v>16009</v>
      </c>
      <c r="G685" s="660">
        <f t="shared" si="248"/>
        <v>1.2147355641550952</v>
      </c>
    </row>
    <row r="686" spans="1:7" ht="12.75">
      <c r="A686" s="227"/>
      <c r="B686" s="234" t="s">
        <v>372</v>
      </c>
      <c r="C686" s="546">
        <f aca="true" t="shared" si="258" ref="C686:E687">SUM(C613+C575+C466+C649)</f>
        <v>0</v>
      </c>
      <c r="D686" s="546">
        <f t="shared" si="258"/>
        <v>0</v>
      </c>
      <c r="E686" s="546">
        <f t="shared" si="258"/>
        <v>0</v>
      </c>
      <c r="F686" s="1050">
        <f aca="true" t="shared" si="259" ref="F686">SUM(F613+F575+F466+F649)</f>
        <v>3</v>
      </c>
      <c r="G686" s="660"/>
    </row>
    <row r="687" spans="1:7" ht="13.5" thickBot="1">
      <c r="A687" s="227"/>
      <c r="B687" s="235" t="s">
        <v>157</v>
      </c>
      <c r="C687" s="546">
        <f t="shared" si="258"/>
        <v>0</v>
      </c>
      <c r="D687" s="546">
        <f t="shared" si="258"/>
        <v>0</v>
      </c>
      <c r="E687" s="546">
        <f t="shared" si="258"/>
        <v>9894</v>
      </c>
      <c r="F687" s="1050">
        <f>SUM(F614+F576+F467+F650)</f>
        <v>12313</v>
      </c>
      <c r="G687" s="683">
        <f t="shared" si="248"/>
        <v>1.2444916110774207</v>
      </c>
    </row>
    <row r="688" spans="1:7" ht="13.5" thickBot="1">
      <c r="A688" s="227"/>
      <c r="B688" s="236" t="s">
        <v>290</v>
      </c>
      <c r="C688" s="548">
        <f>SUM(C679+C682+C683+C684+C687+C685+C686+C678)</f>
        <v>405503</v>
      </c>
      <c r="D688" s="548">
        <f>SUM(D679+D682+D683+D684+D687+D685+D686+D678)</f>
        <v>405503</v>
      </c>
      <c r="E688" s="548">
        <f>SUM(E679+E682+E683+E684+E687+E685+E686+E678)</f>
        <v>437687</v>
      </c>
      <c r="F688" s="1055">
        <f>SUM(F679+F682+F683+F684+F687+F685+F686+F678)</f>
        <v>383902</v>
      </c>
      <c r="G688" s="699">
        <f t="shared" si="248"/>
        <v>0.8771153815397762</v>
      </c>
    </row>
    <row r="689" spans="1:7" ht="13.5" thickBot="1">
      <c r="A689" s="227"/>
      <c r="B689" s="466" t="s">
        <v>184</v>
      </c>
      <c r="C689" s="548">
        <f>SUM(C616)</f>
        <v>0</v>
      </c>
      <c r="D689" s="548">
        <f>SUM(D616)</f>
        <v>0</v>
      </c>
      <c r="E689" s="548">
        <f>E469+E578+E616+E652</f>
        <v>7962</v>
      </c>
      <c r="F689" s="1055">
        <f>F469+F578+F616+F652</f>
        <v>7962</v>
      </c>
      <c r="G689" s="699">
        <f t="shared" si="248"/>
        <v>1</v>
      </c>
    </row>
    <row r="690" spans="1:7" ht="13.5" thickBot="1">
      <c r="A690" s="227"/>
      <c r="B690" s="238" t="s">
        <v>45</v>
      </c>
      <c r="C690" s="672">
        <f aca="true" t="shared" si="260" ref="C690:D690">SUM(C688+C677+C689)</f>
        <v>405503</v>
      </c>
      <c r="D690" s="672">
        <f t="shared" si="260"/>
        <v>405503</v>
      </c>
      <c r="E690" s="672">
        <f aca="true" t="shared" si="261" ref="E690:F690">SUM(E688+E677+E689)</f>
        <v>447799</v>
      </c>
      <c r="F690" s="669">
        <f t="shared" si="261"/>
        <v>394014</v>
      </c>
      <c r="G690" s="699">
        <f t="shared" si="248"/>
        <v>0.8798903079283339</v>
      </c>
    </row>
    <row r="691" spans="1:7" ht="12.75">
      <c r="A691" s="227"/>
      <c r="B691" s="485" t="s">
        <v>383</v>
      </c>
      <c r="C691" s="556">
        <f>SUM(C471)</f>
        <v>0</v>
      </c>
      <c r="D691" s="556">
        <f>SUM(D471)</f>
        <v>0</v>
      </c>
      <c r="E691" s="556">
        <f>SUM(E471)</f>
        <v>0</v>
      </c>
      <c r="F691" s="1069">
        <f>SUM(F471)</f>
        <v>0</v>
      </c>
      <c r="G691" s="660"/>
    </row>
    <row r="692" spans="1:7" ht="12.75">
      <c r="A692" s="227"/>
      <c r="B692" s="885" t="s">
        <v>194</v>
      </c>
      <c r="C692" s="556">
        <f>C545</f>
        <v>0</v>
      </c>
      <c r="D692" s="556">
        <f>D545</f>
        <v>0</v>
      </c>
      <c r="E692" s="556">
        <f>E545</f>
        <v>0</v>
      </c>
      <c r="F692" s="556">
        <f>F545</f>
        <v>0</v>
      </c>
      <c r="G692" s="660"/>
    </row>
    <row r="693" spans="1:7" ht="13.5" thickBot="1">
      <c r="A693" s="227"/>
      <c r="B693" s="136" t="s">
        <v>197</v>
      </c>
      <c r="C693" s="554"/>
      <c r="D693" s="554"/>
      <c r="E693" s="554"/>
      <c r="F693" s="554"/>
      <c r="G693" s="683"/>
    </row>
    <row r="694" spans="1:7" ht="13.5" thickBot="1">
      <c r="A694" s="227"/>
      <c r="B694" s="239" t="s">
        <v>46</v>
      </c>
      <c r="C694" s="563">
        <f aca="true" t="shared" si="262" ref="C694:D694">SUM(C691+C693)</f>
        <v>0</v>
      </c>
      <c r="D694" s="563">
        <f t="shared" si="262"/>
        <v>0</v>
      </c>
      <c r="E694" s="563">
        <f aca="true" t="shared" si="263" ref="E694:F694">SUM(E691+E693)</f>
        <v>0</v>
      </c>
      <c r="F694" s="563">
        <f t="shared" si="263"/>
        <v>0</v>
      </c>
      <c r="G694" s="662"/>
    </row>
    <row r="695" spans="1:7" ht="12.75">
      <c r="A695" s="227"/>
      <c r="B695" s="479" t="s">
        <v>348</v>
      </c>
      <c r="C695" s="556"/>
      <c r="D695" s="556">
        <f>D474+D582+D620+D657</f>
        <v>26924</v>
      </c>
      <c r="E695" s="556">
        <f>E474+E582+E620+E657</f>
        <v>26924</v>
      </c>
      <c r="F695" s="556">
        <f>F474+F582+F620+F657</f>
        <v>26924</v>
      </c>
      <c r="G695" s="660">
        <f t="shared" si="248"/>
        <v>1</v>
      </c>
    </row>
    <row r="696" spans="1:7" ht="9.75" customHeight="1">
      <c r="A696" s="227"/>
      <c r="B696" s="118" t="s">
        <v>507</v>
      </c>
      <c r="C696" s="556">
        <f>SUM(C583)</f>
        <v>0</v>
      </c>
      <c r="D696" s="556">
        <f>D475+D583</f>
        <v>218</v>
      </c>
      <c r="E696" s="556">
        <f>E475+E583</f>
        <v>218</v>
      </c>
      <c r="F696" s="556">
        <f>F475+F583</f>
        <v>218</v>
      </c>
      <c r="G696" s="660">
        <f t="shared" si="248"/>
        <v>1</v>
      </c>
    </row>
    <row r="697" spans="1:7" ht="12.75">
      <c r="A697" s="227"/>
      <c r="B697" s="240" t="s">
        <v>376</v>
      </c>
      <c r="C697" s="546">
        <f>SUM(C621+C584+C476+C658)</f>
        <v>6595005</v>
      </c>
      <c r="D697" s="546">
        <f>SUM(D621+D584+D476+D658)</f>
        <v>7011422</v>
      </c>
      <c r="E697" s="546">
        <f>SUM(E621+E584+E476+E658)</f>
        <v>7024297</v>
      </c>
      <c r="F697" s="546">
        <f>SUM(F621+F584+F476+F658)</f>
        <v>4505104</v>
      </c>
      <c r="G697" s="660">
        <f t="shared" si="248"/>
        <v>0.6413601247213778</v>
      </c>
    </row>
    <row r="698" spans="1:7" ht="13.5" thickBot="1">
      <c r="A698" s="227"/>
      <c r="B698" s="241" t="s">
        <v>379</v>
      </c>
      <c r="C698" s="547">
        <f>SUM(C585+C477)</f>
        <v>417247</v>
      </c>
      <c r="D698" s="547">
        <f>SUM(D585+D477)</f>
        <v>524125</v>
      </c>
      <c r="E698" s="547">
        <f>SUM(E585+E477)</f>
        <v>576137</v>
      </c>
      <c r="F698" s="547">
        <f>SUM(F585+F477)</f>
        <v>368244</v>
      </c>
      <c r="G698" s="683">
        <f t="shared" si="248"/>
        <v>0.6391604774558829</v>
      </c>
    </row>
    <row r="699" spans="1:7" ht="13.5" thickBot="1">
      <c r="A699" s="227"/>
      <c r="B699" s="242" t="s">
        <v>39</v>
      </c>
      <c r="C699" s="555">
        <f aca="true" t="shared" si="264" ref="C699:D699">SUM(C695:C698)</f>
        <v>7012252</v>
      </c>
      <c r="D699" s="555">
        <f t="shared" si="264"/>
        <v>7562689</v>
      </c>
      <c r="E699" s="555">
        <f aca="true" t="shared" si="265" ref="E699:F699">SUM(E695:E698)</f>
        <v>7627576</v>
      </c>
      <c r="F699" s="555">
        <f t="shared" si="265"/>
        <v>4900490</v>
      </c>
      <c r="G699" s="699">
        <f t="shared" si="248"/>
        <v>0.6424701635224611</v>
      </c>
    </row>
    <row r="700" spans="1:7" ht="13.5" thickBot="1">
      <c r="A700" s="227"/>
      <c r="B700" s="201" t="s">
        <v>348</v>
      </c>
      <c r="C700" s="554"/>
      <c r="D700" s="554">
        <f>D479+D587+D623+D660</f>
        <v>761</v>
      </c>
      <c r="E700" s="554">
        <f>E479+E587+E623+E660</f>
        <v>761</v>
      </c>
      <c r="F700" s="554">
        <f>F479+F587+F623+F660</f>
        <v>761</v>
      </c>
      <c r="G700" s="662">
        <f t="shared" si="248"/>
        <v>1</v>
      </c>
    </row>
    <row r="701" spans="1:7" ht="13.5" thickBot="1">
      <c r="A701" s="227"/>
      <c r="B701" s="242" t="s">
        <v>41</v>
      </c>
      <c r="C701" s="555">
        <f aca="true" t="shared" si="266" ref="C701:D701">SUM(C700)</f>
        <v>0</v>
      </c>
      <c r="D701" s="555">
        <f t="shared" si="266"/>
        <v>761</v>
      </c>
      <c r="E701" s="555">
        <f aca="true" t="shared" si="267" ref="E701:F701">SUM(E700)</f>
        <v>761</v>
      </c>
      <c r="F701" s="555">
        <f t="shared" si="267"/>
        <v>761</v>
      </c>
      <c r="G701" s="699">
        <f t="shared" si="248"/>
        <v>1</v>
      </c>
    </row>
    <row r="702" spans="1:7" ht="15.75" thickBot="1">
      <c r="A702" s="227"/>
      <c r="B702" s="244" t="s">
        <v>50</v>
      </c>
      <c r="C702" s="548">
        <f aca="true" t="shared" si="268" ref="C702:D702">SUM(C690+C694+C699+C701)</f>
        <v>7417755</v>
      </c>
      <c r="D702" s="548">
        <f t="shared" si="268"/>
        <v>7968953</v>
      </c>
      <c r="E702" s="548">
        <f aca="true" t="shared" si="269" ref="E702:F702">SUM(E690+E694+E699+E701)</f>
        <v>8076136</v>
      </c>
      <c r="F702" s="548">
        <f t="shared" si="269"/>
        <v>5295265</v>
      </c>
      <c r="G702" s="699">
        <f t="shared" si="248"/>
        <v>0.6556681313935278</v>
      </c>
    </row>
    <row r="703" spans="1:7" ht="12.75">
      <c r="A703" s="227"/>
      <c r="B703" s="245" t="s">
        <v>271</v>
      </c>
      <c r="C703" s="546">
        <f aca="true" t="shared" si="270" ref="C703:D705">SUM(C626+C590+C482+C663)</f>
        <v>3914388</v>
      </c>
      <c r="D703" s="546">
        <f t="shared" si="270"/>
        <v>4006878</v>
      </c>
      <c r="E703" s="546">
        <f aca="true" t="shared" si="271" ref="E703:F703">SUM(E626+E590+E482+E663)</f>
        <v>4110771</v>
      </c>
      <c r="F703" s="1050">
        <f t="shared" si="271"/>
        <v>2734066</v>
      </c>
      <c r="G703" s="660">
        <f t="shared" si="248"/>
        <v>0.6650981044675074</v>
      </c>
    </row>
    <row r="704" spans="1:7" ht="12.75">
      <c r="A704" s="227"/>
      <c r="B704" s="245" t="s">
        <v>272</v>
      </c>
      <c r="C704" s="546">
        <f t="shared" si="270"/>
        <v>587378</v>
      </c>
      <c r="D704" s="546">
        <f t="shared" si="270"/>
        <v>604129</v>
      </c>
      <c r="E704" s="546">
        <f aca="true" t="shared" si="272" ref="E704:F704">SUM(E627+E591+E483+E664)</f>
        <v>617223</v>
      </c>
      <c r="F704" s="1050">
        <f t="shared" si="272"/>
        <v>389726</v>
      </c>
      <c r="G704" s="660">
        <f t="shared" si="248"/>
        <v>0.6314184662593585</v>
      </c>
    </row>
    <row r="705" spans="1:7" ht="12.75">
      <c r="A705" s="227"/>
      <c r="B705" s="245" t="s">
        <v>273</v>
      </c>
      <c r="C705" s="546">
        <f t="shared" si="270"/>
        <v>2421880</v>
      </c>
      <c r="D705" s="546">
        <f t="shared" si="270"/>
        <v>2707812</v>
      </c>
      <c r="E705" s="546">
        <f aca="true" t="shared" si="273" ref="E705:F705">SUM(E628+E592+E484+E665)</f>
        <v>2718438</v>
      </c>
      <c r="F705" s="1050">
        <f t="shared" si="273"/>
        <v>1721176</v>
      </c>
      <c r="G705" s="660">
        <f t="shared" si="248"/>
        <v>0.6331488891782707</v>
      </c>
    </row>
    <row r="706" spans="1:7" ht="12.75">
      <c r="A706" s="227"/>
      <c r="B706" s="246" t="s">
        <v>275</v>
      </c>
      <c r="C706" s="546">
        <f>SUM(C556)</f>
        <v>230</v>
      </c>
      <c r="D706" s="546">
        <f>SUM(D556)</f>
        <v>230</v>
      </c>
      <c r="E706" s="546">
        <f>SUM(E556)</f>
        <v>230</v>
      </c>
      <c r="F706" s="1050">
        <f>SUM(F556)</f>
        <v>175</v>
      </c>
      <c r="G706" s="660">
        <f t="shared" si="248"/>
        <v>0.7608695652173914</v>
      </c>
    </row>
    <row r="707" spans="1:7" ht="13.5" thickBot="1">
      <c r="A707" s="227"/>
      <c r="B707" s="247" t="s">
        <v>274</v>
      </c>
      <c r="C707" s="546">
        <f>SUM(C630+C594+C486)</f>
        <v>0</v>
      </c>
      <c r="D707" s="546">
        <f>SUM(D630+D594+D486)</f>
        <v>20</v>
      </c>
      <c r="E707" s="546">
        <f>E486+E594+E630+E667</f>
        <v>1933</v>
      </c>
      <c r="F707" s="1050">
        <f>F486+F594+F630+F667</f>
        <v>1910</v>
      </c>
      <c r="G707" s="683">
        <f t="shared" si="248"/>
        <v>0.9881013967925505</v>
      </c>
    </row>
    <row r="708" spans="1:7" ht="13.5" thickBot="1">
      <c r="A708" s="227"/>
      <c r="B708" s="248" t="s">
        <v>38</v>
      </c>
      <c r="C708" s="548">
        <f aca="true" t="shared" si="274" ref="C708:D708">SUM(C703:C707)</f>
        <v>6923876</v>
      </c>
      <c r="D708" s="548">
        <f t="shared" si="274"/>
        <v>7319069</v>
      </c>
      <c r="E708" s="548">
        <f aca="true" t="shared" si="275" ref="E708:F708">SUM(E703:E707)</f>
        <v>7448595</v>
      </c>
      <c r="F708" s="1055">
        <f t="shared" si="275"/>
        <v>4847053</v>
      </c>
      <c r="G708" s="699">
        <f t="shared" si="248"/>
        <v>0.650733863231925</v>
      </c>
    </row>
    <row r="709" spans="1:7" ht="12.75">
      <c r="A709" s="227"/>
      <c r="B709" s="245" t="s">
        <v>204</v>
      </c>
      <c r="C709" s="546">
        <f>SUM(C488+C596+C633+C669)</f>
        <v>289642</v>
      </c>
      <c r="D709" s="546">
        <f>SUM(D488+D596+D633+D669)</f>
        <v>343264</v>
      </c>
      <c r="E709" s="546">
        <f>SUM(E488+E596+E633+E669)</f>
        <v>311877</v>
      </c>
      <c r="F709" s="546">
        <f>SUM(F488+F596+F633+F669)</f>
        <v>146426</v>
      </c>
      <c r="G709" s="660">
        <f t="shared" si="248"/>
        <v>0.4694991935923457</v>
      </c>
    </row>
    <row r="710" spans="1:7" ht="12.75">
      <c r="A710" s="227"/>
      <c r="B710" s="245" t="s">
        <v>205</v>
      </c>
      <c r="C710" s="546">
        <f>SUM(C634+C597+C489)</f>
        <v>204237</v>
      </c>
      <c r="D710" s="546">
        <f>SUM(D634+D597+D489)</f>
        <v>306620</v>
      </c>
      <c r="E710" s="546">
        <f>SUM(E634+E597+E489)</f>
        <v>315664</v>
      </c>
      <c r="F710" s="546">
        <f>SUM(F634+F597+F489)</f>
        <v>207081</v>
      </c>
      <c r="G710" s="660">
        <f t="shared" si="248"/>
        <v>0.656017157483907</v>
      </c>
    </row>
    <row r="711" spans="1:7" ht="13.5" thickBot="1">
      <c r="A711" s="227"/>
      <c r="B711" s="247" t="s">
        <v>357</v>
      </c>
      <c r="C711" s="547"/>
      <c r="D711" s="547"/>
      <c r="E711" s="547"/>
      <c r="F711" s="1020"/>
      <c r="G711" s="683"/>
    </row>
    <row r="712" spans="1:8" ht="13.5" thickBot="1">
      <c r="A712" s="227"/>
      <c r="B712" s="249" t="s">
        <v>44</v>
      </c>
      <c r="C712" s="548">
        <f aca="true" t="shared" si="276" ref="C712:D712">SUM(C709:C711)</f>
        <v>493879</v>
      </c>
      <c r="D712" s="548">
        <f t="shared" si="276"/>
        <v>649884</v>
      </c>
      <c r="E712" s="548">
        <f aca="true" t="shared" si="277" ref="E712:F712">SUM(E709:E711)</f>
        <v>627541</v>
      </c>
      <c r="F712" s="1055">
        <f t="shared" si="277"/>
        <v>353507</v>
      </c>
      <c r="G712" s="699">
        <f t="shared" si="248"/>
        <v>0.5633209622956906</v>
      </c>
      <c r="H712" s="527"/>
    </row>
    <row r="713" spans="1:8" ht="15.75" thickBot="1">
      <c r="A713" s="224"/>
      <c r="B713" s="250" t="s">
        <v>84</v>
      </c>
      <c r="C713" s="548">
        <f aca="true" t="shared" si="278" ref="C713:D713">SUM(C708+C712)</f>
        <v>7417755</v>
      </c>
      <c r="D713" s="548">
        <f t="shared" si="278"/>
        <v>7968953</v>
      </c>
      <c r="E713" s="548">
        <f aca="true" t="shared" si="279" ref="E713:F713">SUM(E708+E712)</f>
        <v>8076136</v>
      </c>
      <c r="F713" s="1055">
        <f t="shared" si="279"/>
        <v>5200560</v>
      </c>
      <c r="G713" s="699">
        <f t="shared" si="248"/>
        <v>0.6439416077193351</v>
      </c>
      <c r="H713" s="528"/>
    </row>
  </sheetData>
  <mergeCells count="9">
    <mergeCell ref="A2:G2"/>
    <mergeCell ref="G5:G7"/>
    <mergeCell ref="A1:G1"/>
    <mergeCell ref="B5:B7"/>
    <mergeCell ref="A5:A7"/>
    <mergeCell ref="C5:C7"/>
    <mergeCell ref="D5:D7"/>
    <mergeCell ref="E5:E7"/>
    <mergeCell ref="F5:F7"/>
  </mergeCells>
  <printOptions horizontalCentered="1" verticalCentered="1"/>
  <pageMargins left="0" right="0" top="0.984251968503937" bottom="0.7874015748031497" header="0.31496062992125984" footer="0.5118110236220472"/>
  <pageSetup firstPageNumber="11" useFirstPageNumber="1" horizontalDpi="600" verticalDpi="600" orientation="portrait" paperSize="9" scale="66" r:id="rId3"/>
  <headerFooter alignWithMargins="0">
    <oddFooter>&amp;C&amp;P. oldal</oddFooter>
  </headerFooter>
  <rowBreaks count="9" manualBreakCount="9">
    <brk id="78" max="16383" man="1"/>
    <brk id="148" max="16383" man="1"/>
    <brk id="218" max="16383" man="1"/>
    <brk id="288" max="16383" man="1"/>
    <brk id="358" max="16383" man="1"/>
    <brk id="426" max="16383" man="1"/>
    <brk id="492" max="16383" man="1"/>
    <brk id="563" max="16383" man="1"/>
    <brk id="637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3793" r:id="rId4" name="Button 1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4" r:id="rId5" name="Button 2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5" r:id="rId6" name="Button 3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6" r:id="rId7" name="Button 4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7" r:id="rId8" name="Button 5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8" r:id="rId9" name="Button 6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9" r:id="rId10" name="Button 7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0" r:id="rId11" name="Button 8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1" r:id="rId12" name="Button 9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2" r:id="rId13" name="Button 10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3" r:id="rId14" name="Button 11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4" r:id="rId15" name="Button 12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5" r:id="rId16" name="Button 13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6" r:id="rId17" name="Button 14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7" r:id="rId18" name="Button 15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8" r:id="rId19" name="Button 16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6"/>
  <sheetViews>
    <sheetView workbookViewId="0" topLeftCell="A58">
      <selection activeCell="F11" sqref="F11"/>
    </sheetView>
  </sheetViews>
  <sheetFormatPr defaultColWidth="9.125" defaultRowHeight="12.75"/>
  <cols>
    <col min="1" max="1" width="6.875" style="257" customWidth="1"/>
    <col min="2" max="2" width="50.125" style="256" customWidth="1"/>
    <col min="3" max="6" width="11.25390625" style="256" customWidth="1"/>
    <col min="7" max="7" width="9.25390625" style="256" customWidth="1"/>
    <col min="8" max="8" width="28.25390625" style="256" customWidth="1"/>
    <col min="9" max="16384" width="9.125" style="256" customWidth="1"/>
  </cols>
  <sheetData>
    <row r="1" spans="1:7" ht="12">
      <c r="A1" s="1136" t="s">
        <v>263</v>
      </c>
      <c r="B1" s="1137"/>
      <c r="C1" s="1138"/>
      <c r="D1" s="1138"/>
      <c r="E1" s="1138"/>
      <c r="F1" s="1138"/>
      <c r="G1" s="1138"/>
    </row>
    <row r="2" spans="1:7" ht="12.75">
      <c r="A2" s="1136" t="s">
        <v>615</v>
      </c>
      <c r="B2" s="1137"/>
      <c r="C2" s="1138"/>
      <c r="D2" s="1138"/>
      <c r="E2" s="1138"/>
      <c r="F2" s="1138"/>
      <c r="G2" s="1138"/>
    </row>
    <row r="3" spans="3:7" ht="11.45" customHeight="1">
      <c r="C3" s="258"/>
      <c r="D3" s="258"/>
      <c r="E3" s="258"/>
      <c r="F3" s="258"/>
      <c r="G3" s="258" t="s">
        <v>140</v>
      </c>
    </row>
    <row r="4" spans="1:7" s="261" customFormat="1" ht="11.45" customHeight="1">
      <c r="A4" s="259"/>
      <c r="B4" s="260"/>
      <c r="C4" s="1098" t="s">
        <v>670</v>
      </c>
      <c r="D4" s="1098" t="s">
        <v>718</v>
      </c>
      <c r="E4" s="1098" t="s">
        <v>727</v>
      </c>
      <c r="F4" s="1098" t="s">
        <v>728</v>
      </c>
      <c r="G4" s="1134" t="s">
        <v>730</v>
      </c>
    </row>
    <row r="5" spans="1:7" s="261" customFormat="1" ht="12" customHeight="1">
      <c r="A5" s="262" t="s">
        <v>229</v>
      </c>
      <c r="B5" s="263" t="s">
        <v>239</v>
      </c>
      <c r="C5" s="1132"/>
      <c r="D5" s="1132"/>
      <c r="E5" s="1132"/>
      <c r="F5" s="1132"/>
      <c r="G5" s="1134"/>
    </row>
    <row r="6" spans="1:7" s="261" customFormat="1" ht="12.75" customHeight="1" thickBot="1">
      <c r="A6" s="264"/>
      <c r="B6" s="265"/>
      <c r="C6" s="1133"/>
      <c r="D6" s="1133"/>
      <c r="E6" s="1133"/>
      <c r="F6" s="1133"/>
      <c r="G6" s="1135"/>
    </row>
    <row r="7" spans="1:7" s="261" customFormat="1" ht="12" customHeight="1">
      <c r="A7" s="266" t="s">
        <v>125</v>
      </c>
      <c r="B7" s="267" t="s">
        <v>126</v>
      </c>
      <c r="C7" s="268" t="s">
        <v>477</v>
      </c>
      <c r="D7" s="268" t="s">
        <v>478</v>
      </c>
      <c r="E7" s="268" t="s">
        <v>491</v>
      </c>
      <c r="F7" s="268" t="s">
        <v>492</v>
      </c>
      <c r="G7" s="268" t="s">
        <v>402</v>
      </c>
    </row>
    <row r="8" spans="1:7" ht="12" customHeight="1">
      <c r="A8" s="259">
        <v>3010</v>
      </c>
      <c r="B8" s="269" t="s">
        <v>30</v>
      </c>
      <c r="C8" s="270">
        <f aca="true" t="shared" si="0" ref="C8">SUM(C18)</f>
        <v>15450</v>
      </c>
      <c r="D8" s="270">
        <f aca="true" t="shared" si="1" ref="D8">SUM(D18)</f>
        <v>15673</v>
      </c>
      <c r="E8" s="270">
        <f aca="true" t="shared" si="2" ref="E8:F8">SUM(E18)</f>
        <v>15673</v>
      </c>
      <c r="F8" s="270">
        <f t="shared" si="2"/>
        <v>9770</v>
      </c>
      <c r="G8" s="271">
        <f>F8/E8</f>
        <v>0.6233650226504179</v>
      </c>
    </row>
    <row r="9" spans="1:7" ht="12" customHeight="1">
      <c r="A9" s="65">
        <v>3011</v>
      </c>
      <c r="B9" s="272" t="s">
        <v>86</v>
      </c>
      <c r="C9" s="270"/>
      <c r="D9" s="270"/>
      <c r="E9" s="270"/>
      <c r="F9" s="270"/>
      <c r="G9" s="271"/>
    </row>
    <row r="10" spans="1:7" ht="12" customHeight="1">
      <c r="A10" s="273"/>
      <c r="B10" s="274" t="s">
        <v>87</v>
      </c>
      <c r="C10" s="214">
        <v>3000</v>
      </c>
      <c r="D10" s="214">
        <v>3007</v>
      </c>
      <c r="E10" s="214">
        <v>3007</v>
      </c>
      <c r="F10" s="214">
        <v>2963</v>
      </c>
      <c r="G10" s="903">
        <f aca="true" t="shared" si="3" ref="G10:G72">F10/E10</f>
        <v>0.985367475889591</v>
      </c>
    </row>
    <row r="11" spans="1:7" ht="12" customHeight="1">
      <c r="A11" s="273"/>
      <c r="B11" s="149" t="s">
        <v>245</v>
      </c>
      <c r="C11" s="214">
        <v>450</v>
      </c>
      <c r="D11" s="214">
        <v>460</v>
      </c>
      <c r="E11" s="214">
        <v>460</v>
      </c>
      <c r="F11" s="214">
        <v>444</v>
      </c>
      <c r="G11" s="903">
        <f t="shared" si="3"/>
        <v>0.9652173913043478</v>
      </c>
    </row>
    <row r="12" spans="1:7" ht="12" customHeight="1">
      <c r="A12" s="209"/>
      <c r="B12" s="275" t="s">
        <v>234</v>
      </c>
      <c r="C12" s="214">
        <v>7000</v>
      </c>
      <c r="D12" s="214">
        <v>7206</v>
      </c>
      <c r="E12" s="214">
        <v>7206</v>
      </c>
      <c r="F12" s="214">
        <v>5207</v>
      </c>
      <c r="G12" s="903">
        <f t="shared" si="3"/>
        <v>0.7225922842076048</v>
      </c>
    </row>
    <row r="13" spans="1:7" ht="12" customHeight="1">
      <c r="A13" s="273"/>
      <c r="B13" s="215" t="s">
        <v>92</v>
      </c>
      <c r="C13" s="214"/>
      <c r="D13" s="214"/>
      <c r="E13" s="214"/>
      <c r="F13" s="214"/>
      <c r="G13" s="903"/>
    </row>
    <row r="14" spans="1:7" ht="12" customHeight="1">
      <c r="A14" s="273"/>
      <c r="B14" s="149" t="s">
        <v>241</v>
      </c>
      <c r="C14" s="509"/>
      <c r="D14" s="509"/>
      <c r="E14" s="509"/>
      <c r="F14" s="509"/>
      <c r="G14" s="903"/>
    </row>
    <row r="15" spans="1:7" ht="12" customHeight="1">
      <c r="A15" s="209"/>
      <c r="B15" s="274" t="s">
        <v>206</v>
      </c>
      <c r="C15" s="508">
        <v>5000</v>
      </c>
      <c r="D15" s="508">
        <v>5000</v>
      </c>
      <c r="E15" s="508">
        <v>5000</v>
      </c>
      <c r="F15" s="508">
        <v>1156</v>
      </c>
      <c r="G15" s="903">
        <f t="shared" si="3"/>
        <v>0.2312</v>
      </c>
    </row>
    <row r="16" spans="1:7" ht="12" customHeight="1">
      <c r="A16" s="209"/>
      <c r="B16" s="64" t="s">
        <v>207</v>
      </c>
      <c r="C16" s="509"/>
      <c r="D16" s="509"/>
      <c r="E16" s="509"/>
      <c r="F16" s="509"/>
      <c r="G16" s="903"/>
    </row>
    <row r="17" spans="1:7" ht="12" customHeight="1" thickBot="1">
      <c r="A17" s="273"/>
      <c r="B17" s="276" t="s">
        <v>222</v>
      </c>
      <c r="C17" s="495"/>
      <c r="D17" s="495"/>
      <c r="E17" s="495"/>
      <c r="F17" s="495"/>
      <c r="G17" s="905"/>
    </row>
    <row r="18" spans="1:7" ht="12" customHeight="1" thickBot="1">
      <c r="A18" s="264"/>
      <c r="B18" s="277" t="s">
        <v>100</v>
      </c>
      <c r="C18" s="502">
        <f aca="true" t="shared" si="4" ref="C18">SUM(C10:C17)</f>
        <v>15450</v>
      </c>
      <c r="D18" s="502">
        <f aca="true" t="shared" si="5" ref="D18">SUM(D10:D17)</f>
        <v>15673</v>
      </c>
      <c r="E18" s="502">
        <f aca="true" t="shared" si="6" ref="E18:F18">SUM(E10:E17)</f>
        <v>15673</v>
      </c>
      <c r="F18" s="502">
        <f t="shared" si="6"/>
        <v>9770</v>
      </c>
      <c r="G18" s="906">
        <f t="shared" si="3"/>
        <v>0.6233650226504179</v>
      </c>
    </row>
    <row r="19" spans="1:7" s="261" customFormat="1" ht="12" customHeight="1">
      <c r="A19" s="278">
        <v>3020</v>
      </c>
      <c r="B19" s="171" t="s">
        <v>63</v>
      </c>
      <c r="C19" s="507">
        <f>SUM(C29+C69)</f>
        <v>3248862</v>
      </c>
      <c r="D19" s="507">
        <f>SUM(D29+D69)</f>
        <v>3663212</v>
      </c>
      <c r="E19" s="507">
        <f>SUM(E29+E69)</f>
        <v>3663212</v>
      </c>
      <c r="F19" s="507">
        <f>SUM(F29+F69)</f>
        <v>2407888</v>
      </c>
      <c r="G19" s="904">
        <f t="shared" si="3"/>
        <v>0.6573160384929947</v>
      </c>
    </row>
    <row r="20" spans="1:7" s="261" customFormat="1" ht="12" customHeight="1">
      <c r="A20" s="262">
        <v>3021</v>
      </c>
      <c r="B20" s="279" t="s">
        <v>301</v>
      </c>
      <c r="C20" s="507"/>
      <c r="D20" s="507"/>
      <c r="E20" s="507"/>
      <c r="F20" s="507"/>
      <c r="G20" s="271"/>
    </row>
    <row r="21" spans="1:7" ht="12" customHeight="1">
      <c r="A21" s="273"/>
      <c r="B21" s="274" t="s">
        <v>87</v>
      </c>
      <c r="C21" s="508">
        <f>2116003+39558+2000</f>
        <v>2157561</v>
      </c>
      <c r="D21" s="508">
        <f>2116003+39558+2000+42624</f>
        <v>2200185</v>
      </c>
      <c r="E21" s="508">
        <f>2116003+39558+2000+42624</f>
        <v>2200185</v>
      </c>
      <c r="F21" s="508">
        <v>1617314</v>
      </c>
      <c r="G21" s="903">
        <f t="shared" si="3"/>
        <v>0.735080913650443</v>
      </c>
    </row>
    <row r="22" spans="1:7" ht="12" customHeight="1">
      <c r="A22" s="273"/>
      <c r="B22" s="149" t="s">
        <v>245</v>
      </c>
      <c r="C22" s="508">
        <f>330620+1421+260</f>
        <v>332301</v>
      </c>
      <c r="D22" s="508">
        <f>330620+1421+260+20899</f>
        <v>353200</v>
      </c>
      <c r="E22" s="508">
        <f>330620+1421+260+20899</f>
        <v>353200</v>
      </c>
      <c r="F22" s="508">
        <v>249125</v>
      </c>
      <c r="G22" s="903">
        <f t="shared" si="3"/>
        <v>0.7053369195922989</v>
      </c>
    </row>
    <row r="23" spans="1:7" ht="12" customHeight="1">
      <c r="A23" s="209"/>
      <c r="B23" s="275" t="s">
        <v>234</v>
      </c>
      <c r="C23" s="508">
        <v>590000</v>
      </c>
      <c r="D23" s="508">
        <f>590000+40595</f>
        <v>630595</v>
      </c>
      <c r="E23" s="508">
        <f>590000+40595</f>
        <v>630595</v>
      </c>
      <c r="F23" s="508">
        <v>381177</v>
      </c>
      <c r="G23" s="903">
        <f t="shared" si="3"/>
        <v>0.604471966951847</v>
      </c>
    </row>
    <row r="24" spans="1:7" ht="12" customHeight="1">
      <c r="A24" s="273"/>
      <c r="B24" s="215" t="s">
        <v>92</v>
      </c>
      <c r="C24" s="508"/>
      <c r="D24" s="508"/>
      <c r="E24" s="508"/>
      <c r="F24" s="508"/>
      <c r="G24" s="903"/>
    </row>
    <row r="25" spans="1:7" ht="12" customHeight="1">
      <c r="A25" s="273"/>
      <c r="B25" s="149" t="s">
        <v>241</v>
      </c>
      <c r="C25" s="508"/>
      <c r="D25" s="508"/>
      <c r="E25" s="508"/>
      <c r="F25" s="508"/>
      <c r="G25" s="903"/>
    </row>
    <row r="26" spans="1:7" ht="12" customHeight="1">
      <c r="A26" s="209"/>
      <c r="B26" s="274" t="s">
        <v>206</v>
      </c>
      <c r="C26" s="509">
        <v>15000</v>
      </c>
      <c r="D26" s="509">
        <f>15000+35689+217871</f>
        <v>268560</v>
      </c>
      <c r="E26" s="509">
        <f>268560-2251</f>
        <v>266309</v>
      </c>
      <c r="F26" s="509">
        <v>42345</v>
      </c>
      <c r="G26" s="903">
        <f t="shared" si="3"/>
        <v>0.15900701816311127</v>
      </c>
    </row>
    <row r="27" spans="1:7" ht="12" customHeight="1">
      <c r="A27" s="209"/>
      <c r="B27" s="64" t="s">
        <v>207</v>
      </c>
      <c r="C27" s="509"/>
      <c r="D27" s="509"/>
      <c r="E27" s="509">
        <v>2251</v>
      </c>
      <c r="F27" s="509">
        <v>0</v>
      </c>
      <c r="G27" s="903">
        <f t="shared" si="3"/>
        <v>0</v>
      </c>
    </row>
    <row r="28" spans="1:7" ht="12" customHeight="1" thickBot="1">
      <c r="A28" s="273"/>
      <c r="B28" s="276" t="s">
        <v>358</v>
      </c>
      <c r="C28" s="495">
        <v>4000</v>
      </c>
      <c r="D28" s="495">
        <v>4000</v>
      </c>
      <c r="E28" s="495">
        <v>4000</v>
      </c>
      <c r="F28" s="495">
        <v>0</v>
      </c>
      <c r="G28" s="905">
        <f t="shared" si="3"/>
        <v>0</v>
      </c>
    </row>
    <row r="29" spans="1:7" ht="12" customHeight="1" thickBot="1">
      <c r="A29" s="264"/>
      <c r="B29" s="277" t="s">
        <v>100</v>
      </c>
      <c r="C29" s="502">
        <f aca="true" t="shared" si="7" ref="C29">SUM(C21:C28)</f>
        <v>3098862</v>
      </c>
      <c r="D29" s="502">
        <f aca="true" t="shared" si="8" ref="D29">SUM(D21:D28)</f>
        <v>3456540</v>
      </c>
      <c r="E29" s="502">
        <f aca="true" t="shared" si="9" ref="E29:F29">SUM(E21:E28)</f>
        <v>3456540</v>
      </c>
      <c r="F29" s="502">
        <f t="shared" si="9"/>
        <v>2289961</v>
      </c>
      <c r="G29" s="906">
        <f t="shared" si="3"/>
        <v>0.662500940246605</v>
      </c>
    </row>
    <row r="30" spans="1:7" ht="12" customHeight="1" hidden="1">
      <c r="A30" s="262">
        <v>3022</v>
      </c>
      <c r="B30" s="279" t="s">
        <v>601</v>
      </c>
      <c r="C30" s="507"/>
      <c r="D30" s="507"/>
      <c r="E30" s="507"/>
      <c r="F30" s="507"/>
      <c r="G30" s="904" t="e">
        <f t="shared" si="3"/>
        <v>#DIV/0!</v>
      </c>
    </row>
    <row r="31" spans="1:7" ht="12" customHeight="1" hidden="1">
      <c r="A31" s="273"/>
      <c r="B31" s="274" t="s">
        <v>87</v>
      </c>
      <c r="C31" s="508"/>
      <c r="D31" s="508"/>
      <c r="E31" s="508"/>
      <c r="F31" s="508"/>
      <c r="G31" s="271" t="e">
        <f t="shared" si="3"/>
        <v>#DIV/0!</v>
      </c>
    </row>
    <row r="32" spans="1:7" ht="12" customHeight="1" hidden="1">
      <c r="A32" s="273"/>
      <c r="B32" s="149" t="s">
        <v>245</v>
      </c>
      <c r="C32" s="508"/>
      <c r="D32" s="508"/>
      <c r="E32" s="508"/>
      <c r="F32" s="508"/>
      <c r="G32" s="271" t="e">
        <f t="shared" si="3"/>
        <v>#DIV/0!</v>
      </c>
    </row>
    <row r="33" spans="1:7" ht="12" customHeight="1" hidden="1">
      <c r="A33" s="209"/>
      <c r="B33" s="275" t="s">
        <v>234</v>
      </c>
      <c r="C33" s="508"/>
      <c r="D33" s="508"/>
      <c r="E33" s="508"/>
      <c r="F33" s="508"/>
      <c r="G33" s="271" t="e">
        <f t="shared" si="3"/>
        <v>#DIV/0!</v>
      </c>
    </row>
    <row r="34" spans="1:7" ht="12" customHeight="1" hidden="1">
      <c r="A34" s="273"/>
      <c r="B34" s="215" t="s">
        <v>92</v>
      </c>
      <c r="C34" s="508"/>
      <c r="D34" s="508"/>
      <c r="E34" s="508"/>
      <c r="F34" s="508"/>
      <c r="G34" s="271" t="e">
        <f t="shared" si="3"/>
        <v>#DIV/0!</v>
      </c>
    </row>
    <row r="35" spans="1:7" ht="12" customHeight="1" hidden="1">
      <c r="A35" s="273"/>
      <c r="B35" s="149" t="s">
        <v>241</v>
      </c>
      <c r="C35" s="508"/>
      <c r="D35" s="508"/>
      <c r="E35" s="508"/>
      <c r="F35" s="508"/>
      <c r="G35" s="271" t="e">
        <f t="shared" si="3"/>
        <v>#DIV/0!</v>
      </c>
    </row>
    <row r="36" spans="1:7" ht="12" customHeight="1" hidden="1">
      <c r="A36" s="209"/>
      <c r="B36" s="274" t="s">
        <v>206</v>
      </c>
      <c r="C36" s="509"/>
      <c r="D36" s="509"/>
      <c r="E36" s="509"/>
      <c r="F36" s="509"/>
      <c r="G36" s="271" t="e">
        <f t="shared" si="3"/>
        <v>#DIV/0!</v>
      </c>
    </row>
    <row r="37" spans="1:7" ht="12" customHeight="1" hidden="1">
      <c r="A37" s="209"/>
      <c r="B37" s="64" t="s">
        <v>207</v>
      </c>
      <c r="C37" s="509"/>
      <c r="D37" s="509"/>
      <c r="E37" s="509"/>
      <c r="F37" s="509"/>
      <c r="G37" s="271" t="e">
        <f t="shared" si="3"/>
        <v>#DIV/0!</v>
      </c>
    </row>
    <row r="38" spans="1:7" ht="12" customHeight="1" hidden="1" thickBot="1">
      <c r="A38" s="273"/>
      <c r="B38" s="276" t="s">
        <v>358</v>
      </c>
      <c r="C38" s="495"/>
      <c r="D38" s="495"/>
      <c r="E38" s="495"/>
      <c r="F38" s="495"/>
      <c r="G38" s="271" t="e">
        <f t="shared" si="3"/>
        <v>#DIV/0!</v>
      </c>
    </row>
    <row r="39" spans="1:7" ht="12" customHeight="1" hidden="1" thickBot="1">
      <c r="A39" s="264"/>
      <c r="B39" s="277" t="s">
        <v>227</v>
      </c>
      <c r="C39" s="502">
        <f aca="true" t="shared" si="10" ref="C39">SUM(C31:C38)</f>
        <v>0</v>
      </c>
      <c r="D39" s="965">
        <f aca="true" t="shared" si="11" ref="D39">SUM(D31:D38)</f>
        <v>0</v>
      </c>
      <c r="E39" s="965">
        <f aca="true" t="shared" si="12" ref="E39:F39">SUM(E31:E38)</f>
        <v>0</v>
      </c>
      <c r="F39" s="965">
        <f t="shared" si="12"/>
        <v>0</v>
      </c>
      <c r="G39" s="271" t="e">
        <f t="shared" si="3"/>
        <v>#DIV/0!</v>
      </c>
    </row>
    <row r="40" spans="1:7" ht="12" customHeight="1">
      <c r="A40" s="262">
        <v>3022</v>
      </c>
      <c r="B40" s="980" t="s">
        <v>601</v>
      </c>
      <c r="C40" s="965"/>
      <c r="D40" s="965"/>
      <c r="E40" s="965"/>
      <c r="F40" s="965"/>
      <c r="G40" s="981"/>
    </row>
    <row r="41" spans="1:7" ht="12" customHeight="1">
      <c r="A41" s="209"/>
      <c r="B41" s="348" t="s">
        <v>87</v>
      </c>
      <c r="C41" s="509"/>
      <c r="D41" s="509">
        <v>16468</v>
      </c>
      <c r="E41" s="509">
        <v>16468</v>
      </c>
      <c r="F41" s="509">
        <v>16468</v>
      </c>
      <c r="G41" s="903">
        <f t="shared" si="3"/>
        <v>1</v>
      </c>
    </row>
    <row r="42" spans="1:7" ht="12" customHeight="1">
      <c r="A42" s="273"/>
      <c r="B42" s="149" t="s">
        <v>245</v>
      </c>
      <c r="C42" s="508"/>
      <c r="D42" s="508">
        <v>6532</v>
      </c>
      <c r="E42" s="508">
        <v>6532</v>
      </c>
      <c r="F42" s="508">
        <v>6474</v>
      </c>
      <c r="G42" s="903">
        <f t="shared" si="3"/>
        <v>0.9911206368646662</v>
      </c>
    </row>
    <row r="43" spans="1:7" ht="12" customHeight="1">
      <c r="A43" s="209"/>
      <c r="B43" s="275" t="s">
        <v>234</v>
      </c>
      <c r="C43" s="508"/>
      <c r="D43" s="508"/>
      <c r="E43" s="508"/>
      <c r="F43" s="508"/>
      <c r="G43" s="903"/>
    </row>
    <row r="44" spans="1:7" ht="12" customHeight="1">
      <c r="A44" s="273"/>
      <c r="B44" s="215" t="s">
        <v>92</v>
      </c>
      <c r="C44" s="508"/>
      <c r="D44" s="508"/>
      <c r="E44" s="508"/>
      <c r="F44" s="508"/>
      <c r="G44" s="903"/>
    </row>
    <row r="45" spans="1:7" ht="12" customHeight="1">
      <c r="A45" s="273"/>
      <c r="B45" s="149" t="s">
        <v>241</v>
      </c>
      <c r="C45" s="508"/>
      <c r="D45" s="508">
        <v>9341</v>
      </c>
      <c r="E45" s="508">
        <v>9341</v>
      </c>
      <c r="F45" s="508">
        <v>9341</v>
      </c>
      <c r="G45" s="903">
        <f t="shared" si="3"/>
        <v>1</v>
      </c>
    </row>
    <row r="46" spans="1:7" ht="12" customHeight="1">
      <c r="A46" s="209"/>
      <c r="B46" s="274" t="s">
        <v>206</v>
      </c>
      <c r="C46" s="509"/>
      <c r="D46" s="509"/>
      <c r="E46" s="509"/>
      <c r="F46" s="509"/>
      <c r="G46" s="903"/>
    </row>
    <row r="47" spans="1:7" ht="12" customHeight="1">
      <c r="A47" s="209"/>
      <c r="B47" s="64" t="s">
        <v>207</v>
      </c>
      <c r="C47" s="509"/>
      <c r="D47" s="509"/>
      <c r="E47" s="509"/>
      <c r="F47" s="509"/>
      <c r="G47" s="903"/>
    </row>
    <row r="48" spans="1:7" ht="12" customHeight="1" thickBot="1">
      <c r="A48" s="273"/>
      <c r="B48" s="276" t="s">
        <v>358</v>
      </c>
      <c r="C48" s="495"/>
      <c r="D48" s="495"/>
      <c r="E48" s="495"/>
      <c r="F48" s="495"/>
      <c r="G48" s="907"/>
    </row>
    <row r="49" spans="1:7" ht="12" customHeight="1" thickBot="1">
      <c r="A49" s="264"/>
      <c r="B49" s="277" t="s">
        <v>100</v>
      </c>
      <c r="C49" s="502">
        <f aca="true" t="shared" si="13" ref="C49:D49">SUM(C41:C48)</f>
        <v>0</v>
      </c>
      <c r="D49" s="502">
        <f t="shared" si="13"/>
        <v>32341</v>
      </c>
      <c r="E49" s="502">
        <f aca="true" t="shared" si="14" ref="E49:F49">SUM(E41:E48)</f>
        <v>32341</v>
      </c>
      <c r="F49" s="502">
        <f t="shared" si="14"/>
        <v>32283</v>
      </c>
      <c r="G49" s="906">
        <f t="shared" si="3"/>
        <v>0.9982066108036238</v>
      </c>
    </row>
    <row r="50" spans="1:7" ht="12" customHeight="1">
      <c r="A50" s="262">
        <v>3024</v>
      </c>
      <c r="B50" s="279" t="s">
        <v>521</v>
      </c>
      <c r="C50" s="507"/>
      <c r="D50" s="507"/>
      <c r="E50" s="507"/>
      <c r="F50" s="507"/>
      <c r="G50" s="271"/>
    </row>
    <row r="51" spans="1:7" ht="12" customHeight="1">
      <c r="A51" s="273"/>
      <c r="B51" s="274" t="s">
        <v>87</v>
      </c>
      <c r="C51" s="508"/>
      <c r="D51" s="508"/>
      <c r="E51" s="508"/>
      <c r="F51" s="508"/>
      <c r="G51" s="271"/>
    </row>
    <row r="52" spans="1:7" ht="12" customHeight="1">
      <c r="A52" s="273"/>
      <c r="B52" s="149" t="s">
        <v>245</v>
      </c>
      <c r="C52" s="508"/>
      <c r="D52" s="508"/>
      <c r="E52" s="508"/>
      <c r="F52" s="508"/>
      <c r="G52" s="271"/>
    </row>
    <row r="53" spans="1:7" ht="12" customHeight="1">
      <c r="A53" s="209"/>
      <c r="B53" s="275" t="s">
        <v>234</v>
      </c>
      <c r="C53" s="508"/>
      <c r="D53" s="508"/>
      <c r="E53" s="508"/>
      <c r="F53" s="508"/>
      <c r="G53" s="271"/>
    </row>
    <row r="54" spans="1:7" ht="12" customHeight="1">
      <c r="A54" s="273"/>
      <c r="B54" s="215" t="s">
        <v>92</v>
      </c>
      <c r="C54" s="508"/>
      <c r="D54" s="508"/>
      <c r="E54" s="508"/>
      <c r="F54" s="508"/>
      <c r="G54" s="271"/>
    </row>
    <row r="55" spans="1:7" ht="12" customHeight="1">
      <c r="A55" s="273"/>
      <c r="B55" s="149" t="s">
        <v>241</v>
      </c>
      <c r="C55" s="508"/>
      <c r="D55" s="508"/>
      <c r="E55" s="508"/>
      <c r="F55" s="508"/>
      <c r="G55" s="271"/>
    </row>
    <row r="56" spans="1:7" ht="12" customHeight="1">
      <c r="A56" s="209"/>
      <c r="B56" s="274" t="s">
        <v>206</v>
      </c>
      <c r="C56" s="509"/>
      <c r="D56" s="509"/>
      <c r="E56" s="509"/>
      <c r="F56" s="509"/>
      <c r="G56" s="271"/>
    </row>
    <row r="57" spans="1:7" ht="12" customHeight="1">
      <c r="A57" s="209"/>
      <c r="B57" s="64" t="s">
        <v>207</v>
      </c>
      <c r="C57" s="509"/>
      <c r="D57" s="509"/>
      <c r="E57" s="509"/>
      <c r="F57" s="509"/>
      <c r="G57" s="271"/>
    </row>
    <row r="58" spans="1:7" ht="12" customHeight="1" thickBot="1">
      <c r="A58" s="273"/>
      <c r="B58" s="276" t="s">
        <v>358</v>
      </c>
      <c r="C58" s="495"/>
      <c r="D58" s="495"/>
      <c r="E58" s="495"/>
      <c r="F58" s="495"/>
      <c r="G58" s="907"/>
    </row>
    <row r="59" spans="1:7" ht="12" customHeight="1" thickBot="1">
      <c r="A59" s="264"/>
      <c r="B59" s="277" t="s">
        <v>100</v>
      </c>
      <c r="C59" s="502">
        <f aca="true" t="shared" si="15" ref="C59">SUM(C51:C58)</f>
        <v>0</v>
      </c>
      <c r="D59" s="502">
        <f aca="true" t="shared" si="16" ref="D59">SUM(D51:D58)</f>
        <v>0</v>
      </c>
      <c r="E59" s="502">
        <f aca="true" t="shared" si="17" ref="E59:F59">SUM(E51:E58)</f>
        <v>0</v>
      </c>
      <c r="F59" s="502">
        <f t="shared" si="17"/>
        <v>0</v>
      </c>
      <c r="G59" s="906"/>
    </row>
    <row r="60" spans="1:7" ht="12" customHeight="1">
      <c r="A60" s="282">
        <v>3026</v>
      </c>
      <c r="B60" s="283" t="s">
        <v>242</v>
      </c>
      <c r="C60" s="507"/>
      <c r="D60" s="507"/>
      <c r="E60" s="507"/>
      <c r="F60" s="507"/>
      <c r="G60" s="904"/>
    </row>
    <row r="61" spans="1:7" ht="12" customHeight="1">
      <c r="A61" s="65"/>
      <c r="B61" s="274" t="s">
        <v>87</v>
      </c>
      <c r="C61" s="508"/>
      <c r="D61" s="508"/>
      <c r="E61" s="508"/>
      <c r="F61" s="508"/>
      <c r="G61" s="271"/>
    </row>
    <row r="62" spans="1:7" ht="12" customHeight="1">
      <c r="A62" s="65"/>
      <c r="B62" s="149" t="s">
        <v>245</v>
      </c>
      <c r="C62" s="508"/>
      <c r="D62" s="508"/>
      <c r="E62" s="508"/>
      <c r="F62" s="508"/>
      <c r="G62" s="271"/>
    </row>
    <row r="63" spans="1:7" ht="12" customHeight="1">
      <c r="A63" s="65"/>
      <c r="B63" s="275" t="s">
        <v>234</v>
      </c>
      <c r="C63" s="508">
        <v>135000</v>
      </c>
      <c r="D63" s="508">
        <f>135000+18168</f>
        <v>153168</v>
      </c>
      <c r="E63" s="508">
        <f>135000+18168</f>
        <v>153168</v>
      </c>
      <c r="F63" s="508">
        <v>81907</v>
      </c>
      <c r="G63" s="903">
        <f t="shared" si="3"/>
        <v>0.5347526898568892</v>
      </c>
    </row>
    <row r="64" spans="1:7" ht="12" customHeight="1">
      <c r="A64" s="65"/>
      <c r="B64" s="215" t="s">
        <v>92</v>
      </c>
      <c r="C64" s="512"/>
      <c r="D64" s="512"/>
      <c r="E64" s="512"/>
      <c r="F64" s="512"/>
      <c r="G64" s="903"/>
    </row>
    <row r="65" spans="1:7" ht="12" customHeight="1">
      <c r="A65" s="65"/>
      <c r="B65" s="149" t="s">
        <v>241</v>
      </c>
      <c r="C65" s="568"/>
      <c r="D65" s="568"/>
      <c r="E65" s="568"/>
      <c r="F65" s="568"/>
      <c r="G65" s="903"/>
    </row>
    <row r="66" spans="1:7" ht="12" customHeight="1">
      <c r="A66" s="65"/>
      <c r="B66" s="274" t="s">
        <v>206</v>
      </c>
      <c r="C66" s="510">
        <v>15000</v>
      </c>
      <c r="D66" s="510">
        <f>15000+38504</f>
        <v>53504</v>
      </c>
      <c r="E66" s="510">
        <f>15000+38504</f>
        <v>53504</v>
      </c>
      <c r="F66" s="510">
        <v>36020</v>
      </c>
      <c r="G66" s="903">
        <f t="shared" si="3"/>
        <v>0.6732206937799043</v>
      </c>
    </row>
    <row r="67" spans="1:7" ht="12" customHeight="1">
      <c r="A67" s="65"/>
      <c r="B67" s="64" t="s">
        <v>207</v>
      </c>
      <c r="C67" s="510"/>
      <c r="D67" s="510"/>
      <c r="E67" s="510"/>
      <c r="F67" s="510"/>
      <c r="G67" s="903"/>
    </row>
    <row r="68" spans="1:7" ht="12" customHeight="1" thickBot="1">
      <c r="A68" s="65"/>
      <c r="B68" s="276" t="s">
        <v>222</v>
      </c>
      <c r="C68" s="569"/>
      <c r="D68" s="569"/>
      <c r="E68" s="569"/>
      <c r="F68" s="569"/>
      <c r="G68" s="907"/>
    </row>
    <row r="69" spans="1:7" ht="12" customHeight="1" thickBot="1">
      <c r="A69" s="281"/>
      <c r="B69" s="277" t="s">
        <v>100</v>
      </c>
      <c r="C69" s="502">
        <f aca="true" t="shared" si="18" ref="C69">SUM(C60:C66)</f>
        <v>150000</v>
      </c>
      <c r="D69" s="502">
        <f aca="true" t="shared" si="19" ref="D69">SUM(D60:D66)</f>
        <v>206672</v>
      </c>
      <c r="E69" s="502">
        <f aca="true" t="shared" si="20" ref="E69:F69">SUM(E60:E66)</f>
        <v>206672</v>
      </c>
      <c r="F69" s="502">
        <f t="shared" si="20"/>
        <v>117927</v>
      </c>
      <c r="G69" s="906">
        <f t="shared" si="3"/>
        <v>0.5705997909731362</v>
      </c>
    </row>
    <row r="70" spans="1:7" ht="12" customHeight="1">
      <c r="A70" s="262">
        <v>3000</v>
      </c>
      <c r="B70" s="284" t="s">
        <v>88</v>
      </c>
      <c r="C70" s="508"/>
      <c r="D70" s="508"/>
      <c r="E70" s="508"/>
      <c r="F70" s="508"/>
      <c r="G70" s="904"/>
    </row>
    <row r="71" spans="1:7" ht="12" customHeight="1">
      <c r="A71" s="262"/>
      <c r="B71" s="285" t="s">
        <v>47</v>
      </c>
      <c r="C71" s="508"/>
      <c r="D71" s="508"/>
      <c r="E71" s="508"/>
      <c r="F71" s="508"/>
      <c r="G71" s="271"/>
    </row>
    <row r="72" spans="1:7" ht="12" customHeight="1">
      <c r="A72" s="273"/>
      <c r="B72" s="274" t="s">
        <v>87</v>
      </c>
      <c r="C72" s="508">
        <f>SUM(C21+C10+C51)+C31</f>
        <v>2160561</v>
      </c>
      <c r="D72" s="508">
        <f aca="true" t="shared" si="21" ref="D72:F73">SUM(D21+D10+D51)+D31+D41</f>
        <v>2219660</v>
      </c>
      <c r="E72" s="508">
        <f t="shared" si="21"/>
        <v>2219660</v>
      </c>
      <c r="F72" s="508">
        <f t="shared" si="21"/>
        <v>1636745</v>
      </c>
      <c r="G72" s="903">
        <f t="shared" si="3"/>
        <v>0.7373854554301109</v>
      </c>
    </row>
    <row r="73" spans="1:7" ht="12" customHeight="1">
      <c r="A73" s="273"/>
      <c r="B73" s="149" t="s">
        <v>245</v>
      </c>
      <c r="C73" s="508">
        <f>SUM(C22+C11+C52)+C32</f>
        <v>332751</v>
      </c>
      <c r="D73" s="508">
        <f t="shared" si="21"/>
        <v>360192</v>
      </c>
      <c r="E73" s="508">
        <f t="shared" si="21"/>
        <v>360192</v>
      </c>
      <c r="F73" s="508">
        <f t="shared" si="21"/>
        <v>256043</v>
      </c>
      <c r="G73" s="903">
        <f aca="true" t="shared" si="22" ref="G73:G84">F73/E73</f>
        <v>0.7108514347903341</v>
      </c>
    </row>
    <row r="74" spans="1:7" ht="12" customHeight="1">
      <c r="A74" s="209"/>
      <c r="B74" s="215" t="s">
        <v>243</v>
      </c>
      <c r="C74" s="508">
        <f>SUM(C23+C12+C53)+C33+C63</f>
        <v>732000</v>
      </c>
      <c r="D74" s="508">
        <f>SUM(D23+D12+D53)+D33+D63</f>
        <v>790969</v>
      </c>
      <c r="E74" s="508">
        <f>SUM(E23+E12+E53)+E33+E63</f>
        <v>790969</v>
      </c>
      <c r="F74" s="508">
        <f>SUM(F23+F12+F53)+F33+F63</f>
        <v>468291</v>
      </c>
      <c r="G74" s="903">
        <f t="shared" si="22"/>
        <v>0.5920472230896533</v>
      </c>
    </row>
    <row r="75" spans="1:7" ht="12" customHeight="1">
      <c r="A75" s="273"/>
      <c r="B75" s="215" t="s">
        <v>92</v>
      </c>
      <c r="C75" s="508">
        <f>SUM(C24+C13+C54)+C34</f>
        <v>0</v>
      </c>
      <c r="D75" s="508">
        <f>SUM(D24+D13+D54)+D34</f>
        <v>0</v>
      </c>
      <c r="E75" s="508">
        <f>SUM(E24+E13+E54)+E34</f>
        <v>0</v>
      </c>
      <c r="F75" s="508">
        <f>SUM(F24+F13+F54)+F34</f>
        <v>0</v>
      </c>
      <c r="G75" s="903"/>
    </row>
    <row r="76" spans="1:7" ht="12" customHeight="1">
      <c r="A76" s="273"/>
      <c r="B76" s="149" t="s">
        <v>241</v>
      </c>
      <c r="C76" s="508">
        <f>SUM(C25+C14+C55)+C35</f>
        <v>0</v>
      </c>
      <c r="D76" s="508">
        <f>D45</f>
        <v>9341</v>
      </c>
      <c r="E76" s="508">
        <f>E45</f>
        <v>9341</v>
      </c>
      <c r="F76" s="508">
        <f>F45</f>
        <v>9341</v>
      </c>
      <c r="G76" s="271">
        <f t="shared" si="22"/>
        <v>1</v>
      </c>
    </row>
    <row r="77" spans="1:7" ht="12" customHeight="1">
      <c r="A77" s="273"/>
      <c r="B77" s="218" t="s">
        <v>38</v>
      </c>
      <c r="C77" s="511">
        <f aca="true" t="shared" si="23" ref="C77">SUM(C72:C76)</f>
        <v>3225312</v>
      </c>
      <c r="D77" s="511">
        <f aca="true" t="shared" si="24" ref="D77">SUM(D72:D76)</f>
        <v>3380162</v>
      </c>
      <c r="E77" s="511">
        <f aca="true" t="shared" si="25" ref="E77:F77">SUM(E72:E76)</f>
        <v>3380162</v>
      </c>
      <c r="F77" s="511">
        <f t="shared" si="25"/>
        <v>2370420</v>
      </c>
      <c r="G77" s="271">
        <f t="shared" si="22"/>
        <v>0.7012740809464162</v>
      </c>
    </row>
    <row r="78" spans="1:7" ht="12" customHeight="1">
      <c r="A78" s="273"/>
      <c r="B78" s="286" t="s">
        <v>48</v>
      </c>
      <c r="C78" s="508"/>
      <c r="D78" s="508"/>
      <c r="E78" s="508"/>
      <c r="F78" s="508"/>
      <c r="G78" s="271"/>
    </row>
    <row r="79" spans="1:7" ht="12" customHeight="1">
      <c r="A79" s="273"/>
      <c r="B79" s="274" t="s">
        <v>208</v>
      </c>
      <c r="C79" s="508">
        <f>SUM(C27+C16)</f>
        <v>0</v>
      </c>
      <c r="D79" s="508">
        <f>SUM(D27+D16)</f>
        <v>0</v>
      </c>
      <c r="E79" s="508">
        <f>SUM(E27+E16)</f>
        <v>2251</v>
      </c>
      <c r="F79" s="508">
        <f>SUM(F27+F16)</f>
        <v>0</v>
      </c>
      <c r="G79" s="271">
        <f t="shared" si="22"/>
        <v>0</v>
      </c>
    </row>
    <row r="80" spans="1:7" ht="12" customHeight="1">
      <c r="A80" s="273"/>
      <c r="B80" s="64" t="s">
        <v>311</v>
      </c>
      <c r="C80" s="508">
        <f>SUM(C26+C15+C66)+C56</f>
        <v>35000</v>
      </c>
      <c r="D80" s="508">
        <f>SUM(D26+D15+D66)+D56</f>
        <v>327064</v>
      </c>
      <c r="E80" s="508">
        <f>SUM(E26+E15+E66)+E56</f>
        <v>324813</v>
      </c>
      <c r="F80" s="508">
        <f>SUM(F26+F15+F66)+F56</f>
        <v>79521</v>
      </c>
      <c r="G80" s="903">
        <f t="shared" si="22"/>
        <v>0.24482086615991355</v>
      </c>
    </row>
    <row r="81" spans="1:7" ht="12" customHeight="1">
      <c r="A81" s="273"/>
      <c r="B81" s="215" t="s">
        <v>359</v>
      </c>
      <c r="C81" s="508">
        <f>SUM(C28)</f>
        <v>4000</v>
      </c>
      <c r="D81" s="508">
        <f>SUM(D28)</f>
        <v>4000</v>
      </c>
      <c r="E81" s="508">
        <f>SUM(E28)</f>
        <v>4000</v>
      </c>
      <c r="F81" s="508">
        <f>SUM(F28)</f>
        <v>0</v>
      </c>
      <c r="G81" s="903">
        <f t="shared" si="22"/>
        <v>0</v>
      </c>
    </row>
    <row r="82" spans="1:7" ht="12" customHeight="1" thickBot="1">
      <c r="A82" s="273"/>
      <c r="B82" s="218" t="s">
        <v>49</v>
      </c>
      <c r="C82" s="572">
        <f aca="true" t="shared" si="26" ref="C82">SUM(C79:C81)</f>
        <v>39000</v>
      </c>
      <c r="D82" s="572">
        <f aca="true" t="shared" si="27" ref="D82">SUM(D79:D81)</f>
        <v>331064</v>
      </c>
      <c r="E82" s="572">
        <f aca="true" t="shared" si="28" ref="E82:F82">SUM(E79:E81)</f>
        <v>331064</v>
      </c>
      <c r="F82" s="572">
        <f t="shared" si="28"/>
        <v>79521</v>
      </c>
      <c r="G82" s="907">
        <f t="shared" si="22"/>
        <v>0.24019826982094097</v>
      </c>
    </row>
    <row r="83" spans="1:7" ht="12" customHeight="1" thickBot="1">
      <c r="A83" s="264"/>
      <c r="B83" s="277" t="s">
        <v>209</v>
      </c>
      <c r="C83" s="502">
        <f aca="true" t="shared" si="29" ref="C83">SUM(C77+C82)</f>
        <v>3264312</v>
      </c>
      <c r="D83" s="502">
        <f aca="true" t="shared" si="30" ref="D83">SUM(D77+D82)</f>
        <v>3711226</v>
      </c>
      <c r="E83" s="502">
        <f aca="true" t="shared" si="31" ref="E83:F83">SUM(E77+E82)</f>
        <v>3711226</v>
      </c>
      <c r="F83" s="502">
        <f t="shared" si="31"/>
        <v>2449941</v>
      </c>
      <c r="G83" s="906">
        <f t="shared" si="22"/>
        <v>0.6601433057431695</v>
      </c>
    </row>
    <row r="84" spans="1:8" ht="12.75" thickBot="1">
      <c r="A84" s="287"/>
      <c r="B84" s="288" t="s">
        <v>55</v>
      </c>
      <c r="C84" s="570">
        <f aca="true" t="shared" si="32" ref="C84">SUM(C83)</f>
        <v>3264312</v>
      </c>
      <c r="D84" s="570">
        <f aca="true" t="shared" si="33" ref="D84">SUM(D83)</f>
        <v>3711226</v>
      </c>
      <c r="E84" s="570">
        <f aca="true" t="shared" si="34" ref="E84:F84">SUM(E83)</f>
        <v>3711226</v>
      </c>
      <c r="F84" s="570">
        <f t="shared" si="34"/>
        <v>2449941</v>
      </c>
      <c r="G84" s="906">
        <f t="shared" si="22"/>
        <v>0.6601433057431695</v>
      </c>
      <c r="H84" s="289"/>
    </row>
    <row r="86" spans="3:6" ht="12.75">
      <c r="C86" s="289"/>
      <c r="D86" s="289"/>
      <c r="E86" s="289"/>
      <c r="F86" s="289"/>
    </row>
  </sheetData>
  <mergeCells count="7">
    <mergeCell ref="G4:G6"/>
    <mergeCell ref="A2:G2"/>
    <mergeCell ref="A1:G1"/>
    <mergeCell ref="C4:C6"/>
    <mergeCell ref="D4:D6"/>
    <mergeCell ref="E4:E6"/>
    <mergeCell ref="F4:F6"/>
  </mergeCells>
  <printOptions horizontalCentered="1" verticalCentered="1"/>
  <pageMargins left="0.3937007874015748" right="0.3937007874015748" top="0.1968503937007874" bottom="0.1968503937007874" header="0.11811023622047245" footer="0"/>
  <pageSetup firstPageNumber="21" useFirstPageNumber="1" horizontalDpi="600" verticalDpi="600" orientation="landscape" paperSize="9" r:id="rId3"/>
  <headerFooter alignWithMargins="0">
    <oddFooter>&amp;C&amp;P. oldal</oddFooter>
  </headerFooter>
  <rowBreaks count="1" manualBreakCount="1">
    <brk id="49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7409" r:id="rId4" name="Button 1">
              <controlPr defaultSize="0" print="0" autoFill="0" autoPict="0" macro="[8]!run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28575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7410" r:id="rId5" name="Button 2">
              <controlPr defaultSize="0" print="0" autoFill="0" autoPict="0" macro="[8]!run">
                <anchor moveWithCells="1">
                  <from>
                    <xdr:col>0</xdr:col>
                    <xdr:colOff>247650</xdr:colOff>
                    <xdr:row>0</xdr:row>
                    <xdr:rowOff>0</xdr:rowOff>
                  </from>
                  <to>
                    <xdr:col>1</xdr:col>
                    <xdr:colOff>276225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7"/>
  <sheetViews>
    <sheetView workbookViewId="0" topLeftCell="A679">
      <selection activeCell="E709" sqref="E709"/>
    </sheetView>
  </sheetViews>
  <sheetFormatPr defaultColWidth="9.125" defaultRowHeight="12.75"/>
  <cols>
    <col min="1" max="1" width="6.125" style="290" customWidth="1"/>
    <col min="2" max="2" width="50.875" style="256" customWidth="1"/>
    <col min="3" max="6" width="12.375" style="373" customWidth="1"/>
    <col min="7" max="7" width="9.25390625" style="373" customWidth="1"/>
    <col min="8" max="8" width="46.00390625" style="373" bestFit="1" customWidth="1"/>
    <col min="9" max="16384" width="9.125" style="256" customWidth="1"/>
  </cols>
  <sheetData>
    <row r="1" spans="1:8" ht="12.75">
      <c r="A1" s="1139" t="s">
        <v>262</v>
      </c>
      <c r="B1" s="1140"/>
      <c r="C1" s="1140"/>
      <c r="D1" s="1140"/>
      <c r="E1" s="1140"/>
      <c r="F1" s="1140"/>
      <c r="G1" s="1140"/>
      <c r="H1" s="1140"/>
    </row>
    <row r="2" spans="1:8" ht="12.75">
      <c r="A2" s="1141" t="s">
        <v>616</v>
      </c>
      <c r="B2" s="1142"/>
      <c r="C2" s="1142"/>
      <c r="D2" s="1142"/>
      <c r="E2" s="1142"/>
      <c r="F2" s="1142"/>
      <c r="G2" s="1142"/>
      <c r="H2" s="1142"/>
    </row>
    <row r="3" spans="1:8" ht="12.75">
      <c r="A3" s="751"/>
      <c r="B3" s="751"/>
      <c r="C3" s="884"/>
      <c r="D3" s="963"/>
      <c r="E3" s="1021"/>
      <c r="F3" s="1049"/>
      <c r="G3" s="751"/>
      <c r="H3" s="751"/>
    </row>
    <row r="4" spans="3:8" ht="12.75">
      <c r="C4" s="291"/>
      <c r="D4" s="291"/>
      <c r="E4" s="291"/>
      <c r="F4" s="291"/>
      <c r="G4" s="291"/>
      <c r="H4" s="292" t="s">
        <v>140</v>
      </c>
    </row>
    <row r="5" spans="1:8" s="261" customFormat="1" ht="12" customHeight="1">
      <c r="A5" s="259"/>
      <c r="B5" s="260"/>
      <c r="C5" s="1098" t="s">
        <v>670</v>
      </c>
      <c r="D5" s="1098" t="s">
        <v>718</v>
      </c>
      <c r="E5" s="1098" t="s">
        <v>727</v>
      </c>
      <c r="F5" s="1098" t="s">
        <v>728</v>
      </c>
      <c r="G5" s="1098" t="s">
        <v>731</v>
      </c>
      <c r="H5" s="294" t="s">
        <v>437</v>
      </c>
    </row>
    <row r="6" spans="1:8" s="261" customFormat="1" ht="12" customHeight="1">
      <c r="A6" s="262" t="s">
        <v>229</v>
      </c>
      <c r="B6" s="263" t="s">
        <v>239</v>
      </c>
      <c r="C6" s="1145"/>
      <c r="D6" s="1145"/>
      <c r="E6" s="1145"/>
      <c r="F6" s="1145"/>
      <c r="G6" s="1143"/>
      <c r="H6" s="65" t="s">
        <v>108</v>
      </c>
    </row>
    <row r="7" spans="1:8" s="261" customFormat="1" ht="12.75" customHeight="1" thickBot="1">
      <c r="A7" s="262"/>
      <c r="B7" s="265"/>
      <c r="C7" s="1146"/>
      <c r="D7" s="1146"/>
      <c r="E7" s="1146"/>
      <c r="F7" s="1146"/>
      <c r="G7" s="1144"/>
      <c r="H7" s="281"/>
    </row>
    <row r="8" spans="1:8" s="261" customFormat="1" ht="12.75">
      <c r="A8" s="266" t="s">
        <v>125</v>
      </c>
      <c r="B8" s="295" t="s">
        <v>126</v>
      </c>
      <c r="C8" s="268" t="s">
        <v>477</v>
      </c>
      <c r="D8" s="268" t="s">
        <v>478</v>
      </c>
      <c r="E8" s="268" t="s">
        <v>491</v>
      </c>
      <c r="F8" s="268" t="s">
        <v>492</v>
      </c>
      <c r="G8" s="268" t="s">
        <v>402</v>
      </c>
      <c r="H8" s="268" t="s">
        <v>403</v>
      </c>
    </row>
    <row r="9" spans="1:8" s="261" customFormat="1" ht="12.75">
      <c r="A9" s="262">
        <v>3050</v>
      </c>
      <c r="B9" s="296" t="s">
        <v>210</v>
      </c>
      <c r="C9" s="270">
        <f>SUM(C17+C25+C34+C43+C52+C61)</f>
        <v>177800</v>
      </c>
      <c r="D9" s="270">
        <f>SUM(D17+D25+D34+D43+D52+D61)</f>
        <v>291366</v>
      </c>
      <c r="E9" s="270">
        <f>SUM(E17+E25+E34+E43+E52+E61)</f>
        <v>291366</v>
      </c>
      <c r="F9" s="270">
        <f>SUM(F17+F25+F34+F43+F52+F61)</f>
        <v>111549</v>
      </c>
      <c r="G9" s="968">
        <f>F9/E9</f>
        <v>0.38284837626902246</v>
      </c>
      <c r="H9" s="268"/>
    </row>
    <row r="10" spans="1:8" s="261" customFormat="1" ht="12.75">
      <c r="A10" s="299">
        <v>3052</v>
      </c>
      <c r="B10" s="488" t="s">
        <v>672</v>
      </c>
      <c r="C10" s="268"/>
      <c r="D10" s="268"/>
      <c r="E10" s="268"/>
      <c r="F10" s="268"/>
      <c r="G10" s="969"/>
      <c r="H10" s="268"/>
    </row>
    <row r="11" spans="1:8" s="261" customFormat="1" ht="12.75">
      <c r="A11" s="302"/>
      <c r="B11" s="303" t="s">
        <v>87</v>
      </c>
      <c r="C11" s="268"/>
      <c r="D11" s="268"/>
      <c r="E11" s="268"/>
      <c r="F11" s="268"/>
      <c r="G11" s="969"/>
      <c r="H11" s="268"/>
    </row>
    <row r="12" spans="1:8" s="261" customFormat="1" ht="12.75">
      <c r="A12" s="302"/>
      <c r="B12" s="305" t="s">
        <v>245</v>
      </c>
      <c r="C12" s="268"/>
      <c r="D12" s="268"/>
      <c r="E12" s="268"/>
      <c r="F12" s="268"/>
      <c r="G12" s="969"/>
      <c r="H12" s="576" t="s">
        <v>416</v>
      </c>
    </row>
    <row r="13" spans="1:8" s="261" customFormat="1" ht="12.75">
      <c r="A13" s="302"/>
      <c r="B13" s="306" t="s">
        <v>234</v>
      </c>
      <c r="C13" s="268"/>
      <c r="D13" s="967">
        <v>343</v>
      </c>
      <c r="E13" s="967">
        <v>343</v>
      </c>
      <c r="F13" s="967">
        <v>0</v>
      </c>
      <c r="G13" s="719">
        <f aca="true" t="shared" si="0" ref="G13:G73">F13/E13</f>
        <v>0</v>
      </c>
      <c r="H13" s="472" t="s">
        <v>438</v>
      </c>
    </row>
    <row r="14" spans="1:8" s="261" customFormat="1" ht="12.75">
      <c r="A14" s="302"/>
      <c r="B14" s="307" t="s">
        <v>92</v>
      </c>
      <c r="C14" s="268"/>
      <c r="D14" s="268"/>
      <c r="E14" s="268"/>
      <c r="F14" s="268"/>
      <c r="G14" s="719"/>
      <c r="H14" s="268"/>
    </row>
    <row r="15" spans="1:8" s="261" customFormat="1" ht="12.75">
      <c r="A15" s="302"/>
      <c r="B15" s="307" t="s">
        <v>241</v>
      </c>
      <c r="C15" s="268"/>
      <c r="D15" s="268"/>
      <c r="E15" s="268"/>
      <c r="F15" s="268"/>
      <c r="G15" s="719"/>
      <c r="H15" s="268"/>
    </row>
    <row r="16" spans="1:8" s="261" customFormat="1" ht="12.75" thickBot="1">
      <c r="A16" s="302"/>
      <c r="B16" s="308" t="s">
        <v>60</v>
      </c>
      <c r="C16" s="268"/>
      <c r="D16" s="268"/>
      <c r="E16" s="268"/>
      <c r="F16" s="268"/>
      <c r="G16" s="719"/>
      <c r="H16" s="65"/>
    </row>
    <row r="17" spans="1:8" s="261" customFormat="1" ht="12.75" thickBot="1">
      <c r="A17" s="262"/>
      <c r="B17" s="311" t="s">
        <v>100</v>
      </c>
      <c r="C17" s="787"/>
      <c r="D17" s="787">
        <f>SUM(D11:D16)</f>
        <v>343</v>
      </c>
      <c r="E17" s="787">
        <f>SUM(E11:E16)</f>
        <v>343</v>
      </c>
      <c r="F17" s="787">
        <f>SUM(F11:F16)</f>
        <v>0</v>
      </c>
      <c r="G17" s="707">
        <f t="shared" si="0"/>
        <v>0</v>
      </c>
      <c r="H17" s="319"/>
    </row>
    <row r="18" spans="1:8" ht="12.75">
      <c r="A18" s="299">
        <v>3054</v>
      </c>
      <c r="B18" s="488" t="s">
        <v>192</v>
      </c>
      <c r="C18" s="784"/>
      <c r="D18" s="784"/>
      <c r="E18" s="784"/>
      <c r="F18" s="784"/>
      <c r="G18" s="297"/>
      <c r="H18" s="301"/>
    </row>
    <row r="19" spans="1:8" ht="12.6" customHeight="1">
      <c r="A19" s="302"/>
      <c r="B19" s="303" t="s">
        <v>87</v>
      </c>
      <c r="C19" s="785"/>
      <c r="D19" s="785"/>
      <c r="E19" s="785"/>
      <c r="F19" s="785"/>
      <c r="G19" s="297"/>
      <c r="H19" s="472"/>
    </row>
    <row r="20" spans="1:8" ht="12.6" customHeight="1">
      <c r="A20" s="302"/>
      <c r="B20" s="305" t="s">
        <v>245</v>
      </c>
      <c r="C20" s="785"/>
      <c r="D20" s="785"/>
      <c r="E20" s="785"/>
      <c r="F20" s="785"/>
      <c r="G20" s="297"/>
      <c r="H20" s="576" t="s">
        <v>416</v>
      </c>
    </row>
    <row r="21" spans="1:8" ht="12.6" customHeight="1">
      <c r="A21" s="302"/>
      <c r="B21" s="306" t="s">
        <v>234</v>
      </c>
      <c r="C21" s="785">
        <f>5000+5000</f>
        <v>10000</v>
      </c>
      <c r="D21" s="785">
        <f>10000+44</f>
        <v>10044</v>
      </c>
      <c r="E21" s="785">
        <f>10000+44</f>
        <v>10044</v>
      </c>
      <c r="F21" s="785">
        <v>7808</v>
      </c>
      <c r="G21" s="708">
        <f t="shared" si="0"/>
        <v>0.7773795300677021</v>
      </c>
      <c r="H21" s="472" t="s">
        <v>438</v>
      </c>
    </row>
    <row r="22" spans="1:8" ht="12.6" customHeight="1">
      <c r="A22" s="302"/>
      <c r="B22" s="307" t="s">
        <v>92</v>
      </c>
      <c r="C22" s="785"/>
      <c r="D22" s="785"/>
      <c r="E22" s="785"/>
      <c r="F22" s="785"/>
      <c r="G22" s="297"/>
      <c r="H22" s="304"/>
    </row>
    <row r="23" spans="1:8" ht="12.6" customHeight="1">
      <c r="A23" s="302"/>
      <c r="B23" s="307" t="s">
        <v>241</v>
      </c>
      <c r="C23" s="784"/>
      <c r="D23" s="784"/>
      <c r="E23" s="784"/>
      <c r="F23" s="784"/>
      <c r="G23" s="297"/>
      <c r="H23" s="304"/>
    </row>
    <row r="24" spans="1:8" ht="12.6" customHeight="1" thickBot="1">
      <c r="A24" s="302"/>
      <c r="B24" s="308" t="s">
        <v>60</v>
      </c>
      <c r="C24" s="786"/>
      <c r="D24" s="786"/>
      <c r="E24" s="786"/>
      <c r="F24" s="786"/>
      <c r="G24" s="706"/>
      <c r="H24" s="309"/>
    </row>
    <row r="25" spans="1:8" ht="12.6" customHeight="1" thickBot="1">
      <c r="A25" s="310"/>
      <c r="B25" s="311" t="s">
        <v>100</v>
      </c>
      <c r="C25" s="787">
        <f aca="true" t="shared" si="1" ref="C25">SUM(C21:C24)</f>
        <v>10000</v>
      </c>
      <c r="D25" s="787">
        <f aca="true" t="shared" si="2" ref="D25">SUM(D21:D24)</f>
        <v>10044</v>
      </c>
      <c r="E25" s="787">
        <f aca="true" t="shared" si="3" ref="E25:F25">SUM(E21:E24)</f>
        <v>10044</v>
      </c>
      <c r="F25" s="787">
        <f t="shared" si="3"/>
        <v>7808</v>
      </c>
      <c r="G25" s="707">
        <f t="shared" si="0"/>
        <v>0.7773795300677021</v>
      </c>
      <c r="H25" s="312"/>
    </row>
    <row r="26" spans="1:8" ht="12.6" customHeight="1">
      <c r="A26" s="299">
        <v>3056</v>
      </c>
      <c r="B26" s="488" t="s">
        <v>405</v>
      </c>
      <c r="C26" s="784"/>
      <c r="D26" s="784"/>
      <c r="E26" s="784"/>
      <c r="F26" s="784"/>
      <c r="G26" s="297"/>
      <c r="H26" s="301"/>
    </row>
    <row r="27" spans="1:8" ht="12.6" customHeight="1">
      <c r="A27" s="302"/>
      <c r="B27" s="303" t="s">
        <v>87</v>
      </c>
      <c r="C27" s="785"/>
      <c r="D27" s="785"/>
      <c r="E27" s="785"/>
      <c r="F27" s="785"/>
      <c r="G27" s="297"/>
      <c r="H27" s="458" t="s">
        <v>419</v>
      </c>
    </row>
    <row r="28" spans="1:8" ht="12.6" customHeight="1">
      <c r="A28" s="302"/>
      <c r="B28" s="305" t="s">
        <v>245</v>
      </c>
      <c r="C28" s="785"/>
      <c r="D28" s="785"/>
      <c r="E28" s="785"/>
      <c r="F28" s="785"/>
      <c r="G28" s="297"/>
      <c r="H28" s="459" t="s">
        <v>420</v>
      </c>
    </row>
    <row r="29" spans="1:8" ht="12.6" customHeight="1">
      <c r="A29" s="302"/>
      <c r="B29" s="306" t="s">
        <v>234</v>
      </c>
      <c r="C29" s="785">
        <v>5000</v>
      </c>
      <c r="D29" s="785">
        <v>5000</v>
      </c>
      <c r="E29" s="785">
        <f>5000-305</f>
        <v>4695</v>
      </c>
      <c r="F29" s="785">
        <v>960</v>
      </c>
      <c r="G29" s="708">
        <f t="shared" si="0"/>
        <v>0.20447284345047922</v>
      </c>
      <c r="H29" s="472"/>
    </row>
    <row r="30" spans="1:8" ht="12.6" customHeight="1">
      <c r="A30" s="302"/>
      <c r="B30" s="307" t="s">
        <v>92</v>
      </c>
      <c r="C30" s="785"/>
      <c r="D30" s="785"/>
      <c r="E30" s="785"/>
      <c r="F30" s="785"/>
      <c r="G30" s="297"/>
      <c r="H30" s="304"/>
    </row>
    <row r="31" spans="1:8" ht="12.6" customHeight="1">
      <c r="A31" s="302"/>
      <c r="B31" s="307" t="s">
        <v>241</v>
      </c>
      <c r="C31" s="784"/>
      <c r="D31" s="784"/>
      <c r="E31" s="784"/>
      <c r="F31" s="784"/>
      <c r="G31" s="297"/>
      <c r="H31" s="472"/>
    </row>
    <row r="32" spans="1:8" ht="12.6" customHeight="1">
      <c r="A32" s="302"/>
      <c r="B32" s="307" t="s">
        <v>462</v>
      </c>
      <c r="C32" s="788"/>
      <c r="D32" s="788"/>
      <c r="E32" s="788"/>
      <c r="F32" s="788"/>
      <c r="G32" s="297"/>
      <c r="H32" s="473"/>
    </row>
    <row r="33" spans="1:8" ht="12.6" customHeight="1" thickBot="1">
      <c r="A33" s="302"/>
      <c r="B33" s="308" t="s">
        <v>206</v>
      </c>
      <c r="C33" s="789"/>
      <c r="D33" s="789"/>
      <c r="E33" s="789">
        <v>305</v>
      </c>
      <c r="F33" s="789">
        <v>305</v>
      </c>
      <c r="G33" s="711">
        <f t="shared" si="0"/>
        <v>1</v>
      </c>
      <c r="H33" s="309"/>
    </row>
    <row r="34" spans="1:8" ht="12.6" customHeight="1" thickBot="1">
      <c r="A34" s="310"/>
      <c r="B34" s="311" t="s">
        <v>100</v>
      </c>
      <c r="C34" s="787">
        <f aca="true" t="shared" si="4" ref="C34">SUM(C29:C33)</f>
        <v>5000</v>
      </c>
      <c r="D34" s="787">
        <f aca="true" t="shared" si="5" ref="D34">SUM(D29:D33)</f>
        <v>5000</v>
      </c>
      <c r="E34" s="787">
        <f aca="true" t="shared" si="6" ref="E34:F34">SUM(E29:E33)</f>
        <v>5000</v>
      </c>
      <c r="F34" s="787">
        <f t="shared" si="6"/>
        <v>1265</v>
      </c>
      <c r="G34" s="707">
        <f t="shared" si="0"/>
        <v>0.253</v>
      </c>
      <c r="H34" s="312"/>
    </row>
    <row r="35" spans="1:8" ht="12.6" customHeight="1">
      <c r="A35" s="299">
        <v>3057</v>
      </c>
      <c r="B35" s="488" t="s">
        <v>495</v>
      </c>
      <c r="C35" s="784"/>
      <c r="D35" s="784"/>
      <c r="E35" s="784"/>
      <c r="F35" s="784"/>
      <c r="G35" s="297"/>
      <c r="H35" s="301"/>
    </row>
    <row r="36" spans="1:8" ht="12.6" customHeight="1">
      <c r="A36" s="302"/>
      <c r="B36" s="303" t="s">
        <v>87</v>
      </c>
      <c r="C36" s="785"/>
      <c r="D36" s="785"/>
      <c r="E36" s="785"/>
      <c r="F36" s="785"/>
      <c r="G36" s="297"/>
      <c r="H36" s="458" t="s">
        <v>419</v>
      </c>
    </row>
    <row r="37" spans="1:8" ht="12.6" customHeight="1">
      <c r="A37" s="302"/>
      <c r="B37" s="305" t="s">
        <v>245</v>
      </c>
      <c r="C37" s="785"/>
      <c r="D37" s="785"/>
      <c r="E37" s="785"/>
      <c r="F37" s="785"/>
      <c r="G37" s="297"/>
      <c r="H37" s="459" t="s">
        <v>420</v>
      </c>
    </row>
    <row r="38" spans="1:8" ht="12.6" customHeight="1">
      <c r="A38" s="302"/>
      <c r="B38" s="306" t="s">
        <v>234</v>
      </c>
      <c r="C38" s="785">
        <v>100800</v>
      </c>
      <c r="D38" s="785">
        <f>100800+84000</f>
        <v>184800</v>
      </c>
      <c r="E38" s="785">
        <f>100800+84000</f>
        <v>184800</v>
      </c>
      <c r="F38" s="785">
        <v>82557</v>
      </c>
      <c r="G38" s="708">
        <f t="shared" si="0"/>
        <v>0.44673701298701296</v>
      </c>
      <c r="H38" s="472"/>
    </row>
    <row r="39" spans="1:8" ht="12.6" customHeight="1">
      <c r="A39" s="302"/>
      <c r="B39" s="307" t="s">
        <v>92</v>
      </c>
      <c r="C39" s="785"/>
      <c r="D39" s="785"/>
      <c r="E39" s="785"/>
      <c r="F39" s="785"/>
      <c r="G39" s="297"/>
      <c r="H39" s="304"/>
    </row>
    <row r="40" spans="1:8" ht="12.6" customHeight="1">
      <c r="A40" s="302"/>
      <c r="B40" s="307" t="s">
        <v>241</v>
      </c>
      <c r="C40" s="784"/>
      <c r="D40" s="784"/>
      <c r="E40" s="784"/>
      <c r="F40" s="784"/>
      <c r="G40" s="297"/>
      <c r="H40" s="472"/>
    </row>
    <row r="41" spans="1:8" ht="12.6" customHeight="1">
      <c r="A41" s="302"/>
      <c r="B41" s="307" t="s">
        <v>462</v>
      </c>
      <c r="C41" s="788"/>
      <c r="D41" s="788"/>
      <c r="E41" s="788"/>
      <c r="F41" s="788"/>
      <c r="G41" s="297"/>
      <c r="H41" s="473"/>
    </row>
    <row r="42" spans="1:8" ht="12.6" customHeight="1" thickBot="1">
      <c r="A42" s="302"/>
      <c r="B42" s="308" t="s">
        <v>204</v>
      </c>
      <c r="C42" s="789"/>
      <c r="D42" s="789"/>
      <c r="E42" s="789"/>
      <c r="F42" s="789"/>
      <c r="G42" s="706"/>
      <c r="H42" s="309"/>
    </row>
    <row r="43" spans="1:8" ht="12.6" customHeight="1" thickBot="1">
      <c r="A43" s="310"/>
      <c r="B43" s="311" t="s">
        <v>100</v>
      </c>
      <c r="C43" s="787">
        <f aca="true" t="shared" si="7" ref="C43">SUM(C38:C42)</f>
        <v>100800</v>
      </c>
      <c r="D43" s="787">
        <f aca="true" t="shared" si="8" ref="D43">SUM(D38:D42)</f>
        <v>184800</v>
      </c>
      <c r="E43" s="787">
        <f aca="true" t="shared" si="9" ref="E43:F43">SUM(E38:E42)</f>
        <v>184800</v>
      </c>
      <c r="F43" s="787">
        <f t="shared" si="9"/>
        <v>82557</v>
      </c>
      <c r="G43" s="707">
        <f t="shared" si="0"/>
        <v>0.44673701298701296</v>
      </c>
      <c r="H43" s="312"/>
    </row>
    <row r="44" spans="1:8" ht="12.6" customHeight="1">
      <c r="A44" s="299">
        <v>3058</v>
      </c>
      <c r="B44" s="488" t="s">
        <v>496</v>
      </c>
      <c r="C44" s="784"/>
      <c r="D44" s="784"/>
      <c r="E44" s="784"/>
      <c r="F44" s="784"/>
      <c r="G44" s="297"/>
      <c r="H44" s="301"/>
    </row>
    <row r="45" spans="1:8" ht="12.6" customHeight="1">
      <c r="A45" s="302"/>
      <c r="B45" s="303" t="s">
        <v>87</v>
      </c>
      <c r="C45" s="785"/>
      <c r="D45" s="785"/>
      <c r="E45" s="785"/>
      <c r="F45" s="785"/>
      <c r="G45" s="297"/>
      <c r="H45" s="458" t="s">
        <v>419</v>
      </c>
    </row>
    <row r="46" spans="1:8" ht="12.6" customHeight="1">
      <c r="A46" s="302"/>
      <c r="B46" s="305" t="s">
        <v>245</v>
      </c>
      <c r="C46" s="785"/>
      <c r="D46" s="785"/>
      <c r="E46" s="785"/>
      <c r="F46" s="785"/>
      <c r="G46" s="297"/>
      <c r="H46" s="459" t="s">
        <v>420</v>
      </c>
    </row>
    <row r="47" spans="1:8" ht="12.6" customHeight="1">
      <c r="A47" s="302"/>
      <c r="B47" s="306" t="s">
        <v>234</v>
      </c>
      <c r="C47" s="785">
        <v>12000</v>
      </c>
      <c r="D47" s="785">
        <f>12000+8899</f>
        <v>20899</v>
      </c>
      <c r="E47" s="785">
        <f>12000+8899</f>
        <v>20899</v>
      </c>
      <c r="F47" s="785">
        <v>8899</v>
      </c>
      <c r="G47" s="708">
        <f t="shared" si="0"/>
        <v>0.42580984736111777</v>
      </c>
      <c r="H47" s="472"/>
    </row>
    <row r="48" spans="1:8" ht="12.6" customHeight="1">
      <c r="A48" s="302"/>
      <c r="B48" s="307" t="s">
        <v>92</v>
      </c>
      <c r="C48" s="785"/>
      <c r="D48" s="785"/>
      <c r="E48" s="785"/>
      <c r="F48" s="785"/>
      <c r="G48" s="297"/>
      <c r="H48" s="304"/>
    </row>
    <row r="49" spans="1:8" ht="12.6" customHeight="1">
      <c r="A49" s="302"/>
      <c r="B49" s="307" t="s">
        <v>241</v>
      </c>
      <c r="C49" s="784"/>
      <c r="D49" s="784"/>
      <c r="E49" s="784"/>
      <c r="F49" s="784"/>
      <c r="G49" s="297"/>
      <c r="H49" s="472"/>
    </row>
    <row r="50" spans="1:8" ht="12.6" customHeight="1">
      <c r="A50" s="302"/>
      <c r="B50" s="307" t="s">
        <v>462</v>
      </c>
      <c r="C50" s="788"/>
      <c r="D50" s="788"/>
      <c r="E50" s="1037"/>
      <c r="F50" s="784"/>
      <c r="G50" s="297"/>
      <c r="H50" s="473"/>
    </row>
    <row r="51" spans="1:8" ht="12.6" customHeight="1" thickBot="1">
      <c r="A51" s="302"/>
      <c r="B51" s="308" t="s">
        <v>204</v>
      </c>
      <c r="C51" s="789"/>
      <c r="D51" s="789">
        <v>3086</v>
      </c>
      <c r="E51" s="803">
        <v>3086</v>
      </c>
      <c r="F51" s="803">
        <v>3086</v>
      </c>
      <c r="G51" s="708">
        <f t="shared" si="0"/>
        <v>1</v>
      </c>
      <c r="H51" s="309"/>
    </row>
    <row r="52" spans="1:8" ht="12.6" customHeight="1" thickBot="1">
      <c r="A52" s="310"/>
      <c r="B52" s="311" t="s">
        <v>100</v>
      </c>
      <c r="C52" s="787">
        <f aca="true" t="shared" si="10" ref="C52">SUM(C47:C51)</f>
        <v>12000</v>
      </c>
      <c r="D52" s="787">
        <f aca="true" t="shared" si="11" ref="D52">SUM(D47:D51)</f>
        <v>23985</v>
      </c>
      <c r="E52" s="787">
        <f aca="true" t="shared" si="12" ref="E52:F52">SUM(E47:E51)</f>
        <v>23985</v>
      </c>
      <c r="F52" s="787">
        <f t="shared" si="12"/>
        <v>11985</v>
      </c>
      <c r="G52" s="707">
        <f t="shared" si="0"/>
        <v>0.4996873045653533</v>
      </c>
      <c r="H52" s="312"/>
    </row>
    <row r="53" spans="1:8" ht="12.6" customHeight="1">
      <c r="A53" s="299">
        <v>3059</v>
      </c>
      <c r="B53" s="488" t="s">
        <v>557</v>
      </c>
      <c r="C53" s="784"/>
      <c r="D53" s="784"/>
      <c r="E53" s="784"/>
      <c r="F53" s="784"/>
      <c r="G53" s="297"/>
      <c r="H53" s="301"/>
    </row>
    <row r="54" spans="1:8" ht="12.6" customHeight="1">
      <c r="A54" s="302"/>
      <c r="B54" s="303" t="s">
        <v>87</v>
      </c>
      <c r="C54" s="785"/>
      <c r="D54" s="785"/>
      <c r="E54" s="785"/>
      <c r="F54" s="785"/>
      <c r="G54" s="297"/>
      <c r="H54" s="458" t="s">
        <v>419</v>
      </c>
    </row>
    <row r="55" spans="1:8" ht="12.6" customHeight="1">
      <c r="A55" s="302"/>
      <c r="B55" s="305" t="s">
        <v>245</v>
      </c>
      <c r="C55" s="785"/>
      <c r="D55" s="785"/>
      <c r="E55" s="785"/>
      <c r="F55" s="785"/>
      <c r="G55" s="297"/>
      <c r="H55" s="459" t="s">
        <v>420</v>
      </c>
    </row>
    <row r="56" spans="1:8" ht="12.6" customHeight="1">
      <c r="A56" s="302"/>
      <c r="B56" s="306" t="s">
        <v>234</v>
      </c>
      <c r="C56" s="785">
        <v>50000</v>
      </c>
      <c r="D56" s="785">
        <f>50000+5877</f>
        <v>55877</v>
      </c>
      <c r="E56" s="785">
        <f>50000+5877</f>
        <v>55877</v>
      </c>
      <c r="F56" s="785">
        <v>2276</v>
      </c>
      <c r="G56" s="708">
        <f t="shared" si="0"/>
        <v>0.04073232278039265</v>
      </c>
      <c r="H56" s="472"/>
    </row>
    <row r="57" spans="1:8" ht="12.6" customHeight="1">
      <c r="A57" s="302"/>
      <c r="B57" s="307" t="s">
        <v>92</v>
      </c>
      <c r="C57" s="785"/>
      <c r="D57" s="785"/>
      <c r="E57" s="785"/>
      <c r="F57" s="785"/>
      <c r="G57" s="297"/>
      <c r="H57" s="304"/>
    </row>
    <row r="58" spans="1:8" ht="12.6" customHeight="1">
      <c r="A58" s="302"/>
      <c r="B58" s="307" t="s">
        <v>241</v>
      </c>
      <c r="C58" s="784"/>
      <c r="D58" s="784"/>
      <c r="E58" s="784"/>
      <c r="F58" s="784"/>
      <c r="G58" s="297"/>
      <c r="H58" s="472"/>
    </row>
    <row r="59" spans="1:8" ht="12.6" customHeight="1">
      <c r="A59" s="302"/>
      <c r="B59" s="307" t="s">
        <v>462</v>
      </c>
      <c r="C59" s="788"/>
      <c r="D59" s="788"/>
      <c r="E59" s="788"/>
      <c r="F59" s="788"/>
      <c r="G59" s="297"/>
      <c r="H59" s="473"/>
    </row>
    <row r="60" spans="1:8" ht="12.6" customHeight="1" thickBot="1">
      <c r="A60" s="302"/>
      <c r="B60" s="308" t="s">
        <v>204</v>
      </c>
      <c r="C60" s="789"/>
      <c r="D60" s="789">
        <v>11317</v>
      </c>
      <c r="E60" s="789">
        <v>11317</v>
      </c>
      <c r="F60" s="789">
        <v>5658</v>
      </c>
      <c r="G60" s="711">
        <f t="shared" si="0"/>
        <v>0.49995581867986216</v>
      </c>
      <c r="H60" s="309"/>
    </row>
    <row r="61" spans="1:8" ht="12.6" customHeight="1" thickBot="1">
      <c r="A61" s="310"/>
      <c r="B61" s="311" t="s">
        <v>100</v>
      </c>
      <c r="C61" s="787">
        <f>SUM(C56:C60)</f>
        <v>50000</v>
      </c>
      <c r="D61" s="787">
        <f>SUM(D56:D60)</f>
        <v>67194</v>
      </c>
      <c r="E61" s="787">
        <f>SUM(E56:E60)</f>
        <v>67194</v>
      </c>
      <c r="F61" s="787">
        <f>SUM(F56:F60)</f>
        <v>7934</v>
      </c>
      <c r="G61" s="707">
        <f t="shared" si="0"/>
        <v>0.11807601869214514</v>
      </c>
      <c r="H61" s="312"/>
    </row>
    <row r="62" spans="1:8" ht="12.75">
      <c r="A62" s="299">
        <v>3060</v>
      </c>
      <c r="B62" s="313" t="s">
        <v>58</v>
      </c>
      <c r="C62" s="784">
        <f aca="true" t="shared" si="13" ref="C62">SUM(C70+C78)</f>
        <v>27000</v>
      </c>
      <c r="D62" s="784">
        <f aca="true" t="shared" si="14" ref="D62">SUM(D70+D78)</f>
        <v>27000</v>
      </c>
      <c r="E62" s="784">
        <f aca="true" t="shared" si="15" ref="E62:F62">SUM(E70+E78)</f>
        <v>27000</v>
      </c>
      <c r="F62" s="784">
        <f t="shared" si="15"/>
        <v>2372</v>
      </c>
      <c r="G62" s="745">
        <f t="shared" si="0"/>
        <v>0.08785185185185185</v>
      </c>
      <c r="H62" s="301"/>
    </row>
    <row r="63" spans="1:8" ht="12" customHeight="1">
      <c r="A63" s="299">
        <v>3061</v>
      </c>
      <c r="B63" s="314" t="s">
        <v>93</v>
      </c>
      <c r="C63" s="784"/>
      <c r="D63" s="784"/>
      <c r="E63" s="784"/>
      <c r="F63" s="784"/>
      <c r="G63" s="297"/>
      <c r="H63" s="474"/>
    </row>
    <row r="64" spans="1:8" ht="12" customHeight="1">
      <c r="A64" s="302"/>
      <c r="B64" s="303" t="s">
        <v>87</v>
      </c>
      <c r="C64" s="785"/>
      <c r="D64" s="785"/>
      <c r="E64" s="785"/>
      <c r="F64" s="785"/>
      <c r="G64" s="297"/>
      <c r="H64" s="315"/>
    </row>
    <row r="65" spans="1:8" ht="12" customHeight="1">
      <c r="A65" s="302"/>
      <c r="B65" s="305" t="s">
        <v>245</v>
      </c>
      <c r="C65" s="785"/>
      <c r="D65" s="785"/>
      <c r="E65" s="785"/>
      <c r="F65" s="785"/>
      <c r="G65" s="708"/>
      <c r="H65" s="576" t="s">
        <v>439</v>
      </c>
    </row>
    <row r="66" spans="1:8" ht="12" customHeight="1">
      <c r="A66" s="316"/>
      <c r="B66" s="306" t="s">
        <v>234</v>
      </c>
      <c r="C66" s="785">
        <v>2000</v>
      </c>
      <c r="D66" s="785">
        <v>2000</v>
      </c>
      <c r="E66" s="785">
        <v>2000</v>
      </c>
      <c r="F66" s="785">
        <v>335</v>
      </c>
      <c r="G66" s="708">
        <f t="shared" si="0"/>
        <v>0.1675</v>
      </c>
      <c r="H66" s="304"/>
    </row>
    <row r="67" spans="1:8" ht="12" customHeight="1">
      <c r="A67" s="316"/>
      <c r="B67" s="307" t="s">
        <v>92</v>
      </c>
      <c r="C67" s="785"/>
      <c r="D67" s="785"/>
      <c r="E67" s="785"/>
      <c r="F67" s="785"/>
      <c r="G67" s="297"/>
      <c r="H67" s="474" t="s">
        <v>456</v>
      </c>
    </row>
    <row r="68" spans="1:8" ht="12.75">
      <c r="A68" s="316"/>
      <c r="B68" s="307" t="s">
        <v>241</v>
      </c>
      <c r="C68" s="785"/>
      <c r="D68" s="785"/>
      <c r="E68" s="785"/>
      <c r="F68" s="785"/>
      <c r="G68" s="297"/>
      <c r="H68" s="474"/>
    </row>
    <row r="69" spans="1:8" ht="12.75" thickBot="1">
      <c r="A69" s="316" t="s">
        <v>230</v>
      </c>
      <c r="B69" s="308" t="s">
        <v>60</v>
      </c>
      <c r="C69" s="789"/>
      <c r="D69" s="789"/>
      <c r="E69" s="789"/>
      <c r="F69" s="789"/>
      <c r="G69" s="706"/>
      <c r="H69" s="317"/>
    </row>
    <row r="70" spans="1:8" ht="12.75" thickBot="1">
      <c r="A70" s="318"/>
      <c r="B70" s="311" t="s">
        <v>100</v>
      </c>
      <c r="C70" s="787">
        <f aca="true" t="shared" si="16" ref="C70">SUM(C64:C69)</f>
        <v>2000</v>
      </c>
      <c r="D70" s="787">
        <f aca="true" t="shared" si="17" ref="D70">SUM(D64:D69)</f>
        <v>2000</v>
      </c>
      <c r="E70" s="787">
        <f aca="true" t="shared" si="18" ref="E70:F70">SUM(E64:E69)</f>
        <v>2000</v>
      </c>
      <c r="F70" s="787">
        <f t="shared" si="18"/>
        <v>335</v>
      </c>
      <c r="G70" s="707">
        <f t="shared" si="0"/>
        <v>0.1675</v>
      </c>
      <c r="H70" s="319"/>
    </row>
    <row r="71" spans="1:8" ht="12.75">
      <c r="A71" s="320">
        <v>3071</v>
      </c>
      <c r="B71" s="300" t="s">
        <v>103</v>
      </c>
      <c r="C71" s="784"/>
      <c r="D71" s="784"/>
      <c r="E71" s="784"/>
      <c r="F71" s="784"/>
      <c r="G71" s="297"/>
      <c r="H71" s="458" t="s">
        <v>419</v>
      </c>
    </row>
    <row r="72" spans="1:8" ht="12" customHeight="1">
      <c r="A72" s="316"/>
      <c r="B72" s="303" t="s">
        <v>87</v>
      </c>
      <c r="C72" s="785"/>
      <c r="D72" s="785"/>
      <c r="E72" s="785">
        <v>520</v>
      </c>
      <c r="F72" s="785">
        <v>520</v>
      </c>
      <c r="G72" s="708">
        <f t="shared" si="0"/>
        <v>1</v>
      </c>
      <c r="H72" s="459" t="s">
        <v>420</v>
      </c>
    </row>
    <row r="73" spans="1:8" ht="12" customHeight="1">
      <c r="A73" s="302"/>
      <c r="B73" s="305" t="s">
        <v>245</v>
      </c>
      <c r="C73" s="785"/>
      <c r="D73" s="785"/>
      <c r="E73" s="785">
        <v>68</v>
      </c>
      <c r="F73" s="785">
        <v>61</v>
      </c>
      <c r="G73" s="708">
        <f t="shared" si="0"/>
        <v>0.8970588235294118</v>
      </c>
      <c r="H73" s="304"/>
    </row>
    <row r="74" spans="1:8" ht="12" customHeight="1">
      <c r="A74" s="302"/>
      <c r="B74" s="306" t="s">
        <v>234</v>
      </c>
      <c r="C74" s="785">
        <v>25000</v>
      </c>
      <c r="D74" s="785">
        <v>25000</v>
      </c>
      <c r="E74" s="785">
        <f>25000-588</f>
        <v>24412</v>
      </c>
      <c r="F74" s="785">
        <v>1456</v>
      </c>
      <c r="G74" s="708">
        <f aca="true" t="shared" si="19" ref="G74:G136">F74/E74</f>
        <v>0.05964279862362772</v>
      </c>
      <c r="H74" s="460"/>
    </row>
    <row r="75" spans="1:8" ht="12" customHeight="1">
      <c r="A75" s="302"/>
      <c r="B75" s="307" t="s">
        <v>92</v>
      </c>
      <c r="C75" s="785"/>
      <c r="D75" s="785"/>
      <c r="E75" s="785"/>
      <c r="F75" s="785"/>
      <c r="G75" s="297"/>
      <c r="H75" s="460"/>
    </row>
    <row r="76" spans="1:8" ht="12" customHeight="1">
      <c r="A76" s="302"/>
      <c r="B76" s="307" t="s">
        <v>241</v>
      </c>
      <c r="C76" s="785"/>
      <c r="D76" s="785"/>
      <c r="E76" s="785"/>
      <c r="F76" s="785"/>
      <c r="G76" s="297"/>
      <c r="H76" s="304"/>
    </row>
    <row r="77" spans="1:8" ht="12" customHeight="1" thickBot="1">
      <c r="A77" s="302"/>
      <c r="B77" s="308" t="s">
        <v>60</v>
      </c>
      <c r="C77" s="789"/>
      <c r="D77" s="789"/>
      <c r="E77" s="789"/>
      <c r="F77" s="789"/>
      <c r="G77" s="706"/>
      <c r="H77" s="356"/>
    </row>
    <row r="78" spans="1:8" ht="12" customHeight="1" thickBot="1">
      <c r="A78" s="325"/>
      <c r="B78" s="311" t="s">
        <v>100</v>
      </c>
      <c r="C78" s="787">
        <f aca="true" t="shared" si="20" ref="C78">SUM(C74:C77)</f>
        <v>25000</v>
      </c>
      <c r="D78" s="787">
        <f aca="true" t="shared" si="21" ref="D78">SUM(D74:D77)</f>
        <v>25000</v>
      </c>
      <c r="E78" s="787">
        <f>SUM(E72:E77)</f>
        <v>25000</v>
      </c>
      <c r="F78" s="787">
        <f>SUM(F72:F77)</f>
        <v>2037</v>
      </c>
      <c r="G78" s="707">
        <f t="shared" si="19"/>
        <v>0.08148</v>
      </c>
      <c r="H78" s="461"/>
    </row>
    <row r="79" spans="1:8" ht="12.75">
      <c r="A79" s="320">
        <v>3080</v>
      </c>
      <c r="B79" s="327" t="s">
        <v>61</v>
      </c>
      <c r="C79" s="784">
        <f aca="true" t="shared" si="22" ref="C79">SUM(C87)</f>
        <v>23000</v>
      </c>
      <c r="D79" s="784">
        <f aca="true" t="shared" si="23" ref="D79">SUM(D87)</f>
        <v>23602</v>
      </c>
      <c r="E79" s="784">
        <f aca="true" t="shared" si="24" ref="E79:F79">SUM(E87)</f>
        <v>23602</v>
      </c>
      <c r="F79" s="784">
        <f t="shared" si="24"/>
        <v>10869</v>
      </c>
      <c r="G79" s="745">
        <f t="shared" si="19"/>
        <v>0.4605118210321159</v>
      </c>
      <c r="H79" s="458"/>
    </row>
    <row r="80" spans="1:8" ht="12" customHeight="1">
      <c r="A80" s="320">
        <v>3081</v>
      </c>
      <c r="B80" s="314" t="s">
        <v>106</v>
      </c>
      <c r="C80" s="784"/>
      <c r="D80" s="784"/>
      <c r="E80" s="784"/>
      <c r="F80" s="784"/>
      <c r="G80" s="297"/>
      <c r="H80" s="475"/>
    </row>
    <row r="81" spans="1:8" ht="12" customHeight="1">
      <c r="A81" s="316"/>
      <c r="B81" s="303" t="s">
        <v>87</v>
      </c>
      <c r="C81" s="785"/>
      <c r="D81" s="785"/>
      <c r="E81" s="785"/>
      <c r="F81" s="785"/>
      <c r="G81" s="297"/>
      <c r="H81" s="472"/>
    </row>
    <row r="82" spans="1:8" ht="12" customHeight="1">
      <c r="A82" s="316"/>
      <c r="B82" s="305" t="s">
        <v>245</v>
      </c>
      <c r="C82" s="785"/>
      <c r="D82" s="785"/>
      <c r="E82" s="785"/>
      <c r="F82" s="785"/>
      <c r="G82" s="297"/>
      <c r="H82" s="473"/>
    </row>
    <row r="83" spans="1:8" ht="12" customHeight="1">
      <c r="A83" s="316"/>
      <c r="B83" s="306" t="s">
        <v>234</v>
      </c>
      <c r="C83" s="785">
        <v>10000</v>
      </c>
      <c r="D83" s="785">
        <v>10165</v>
      </c>
      <c r="E83" s="785">
        <v>10165</v>
      </c>
      <c r="F83" s="785">
        <v>4231</v>
      </c>
      <c r="G83" s="708">
        <f t="shared" si="19"/>
        <v>0.4162321692080669</v>
      </c>
      <c r="H83" s="472"/>
    </row>
    <row r="84" spans="1:8" ht="12" customHeight="1">
      <c r="A84" s="316"/>
      <c r="B84" s="306" t="s">
        <v>59</v>
      </c>
      <c r="C84" s="785">
        <v>13000</v>
      </c>
      <c r="D84" s="785">
        <v>13437</v>
      </c>
      <c r="E84" s="785">
        <v>13437</v>
      </c>
      <c r="F84" s="785">
        <v>6638</v>
      </c>
      <c r="G84" s="708">
        <f t="shared" si="19"/>
        <v>0.49400907940760586</v>
      </c>
      <c r="H84" s="473"/>
    </row>
    <row r="85" spans="1:8" ht="12" customHeight="1">
      <c r="A85" s="316"/>
      <c r="B85" s="307" t="s">
        <v>241</v>
      </c>
      <c r="C85" s="785"/>
      <c r="D85" s="785"/>
      <c r="E85" s="785"/>
      <c r="F85" s="785"/>
      <c r="G85" s="708"/>
      <c r="H85" s="459"/>
    </row>
    <row r="86" spans="1:8" ht="12" customHeight="1" thickBot="1">
      <c r="A86" s="302"/>
      <c r="B86" s="308" t="s">
        <v>60</v>
      </c>
      <c r="C86" s="795"/>
      <c r="D86" s="795"/>
      <c r="E86" s="795"/>
      <c r="F86" s="795"/>
      <c r="G86" s="710"/>
      <c r="H86" s="356"/>
    </row>
    <row r="87" spans="1:8" ht="12" customHeight="1" thickBot="1">
      <c r="A87" s="325"/>
      <c r="B87" s="311" t="s">
        <v>100</v>
      </c>
      <c r="C87" s="787">
        <f aca="true" t="shared" si="25" ref="C87">SUM(C81:C86)</f>
        <v>23000</v>
      </c>
      <c r="D87" s="787">
        <f aca="true" t="shared" si="26" ref="D87">SUM(D81:D86)</f>
        <v>23602</v>
      </c>
      <c r="E87" s="787">
        <f aca="true" t="shared" si="27" ref="E87:F87">SUM(E81:E86)</f>
        <v>23602</v>
      </c>
      <c r="F87" s="787">
        <f t="shared" si="27"/>
        <v>10869</v>
      </c>
      <c r="G87" s="707">
        <f t="shared" si="19"/>
        <v>0.4605118210321159</v>
      </c>
      <c r="H87" s="326"/>
    </row>
    <row r="88" spans="1:8" ht="12" customHeight="1" thickBot="1">
      <c r="A88" s="329">
        <v>3130</v>
      </c>
      <c r="B88" s="330" t="s">
        <v>302</v>
      </c>
      <c r="C88" s="787">
        <f>SUM(C89+C132)</f>
        <v>250401</v>
      </c>
      <c r="D88" s="787">
        <f>SUM(D89+D132)</f>
        <v>878220</v>
      </c>
      <c r="E88" s="787">
        <f>SUM(E89+E132)</f>
        <v>1181220</v>
      </c>
      <c r="F88" s="787">
        <f>SUM(F89+F132)</f>
        <v>502508</v>
      </c>
      <c r="G88" s="707">
        <f t="shared" si="19"/>
        <v>0.42541440205888825</v>
      </c>
      <c r="H88" s="326"/>
    </row>
    <row r="89" spans="1:8" ht="12" customHeight="1" thickBot="1">
      <c r="A89" s="320">
        <v>3110</v>
      </c>
      <c r="B89" s="330" t="s">
        <v>300</v>
      </c>
      <c r="C89" s="787">
        <f aca="true" t="shared" si="28" ref="C89">SUM(C97+C115+C123+C105+C131)</f>
        <v>221401</v>
      </c>
      <c r="D89" s="787">
        <f aca="true" t="shared" si="29" ref="D89">SUM(D97+D115+D123+D105+D131)</f>
        <v>826669</v>
      </c>
      <c r="E89" s="787">
        <f aca="true" t="shared" si="30" ref="E89:F89">SUM(E97+E115+E123+E105+E131)</f>
        <v>1126669</v>
      </c>
      <c r="F89" s="787">
        <f t="shared" si="30"/>
        <v>480584</v>
      </c>
      <c r="G89" s="707">
        <f t="shared" si="19"/>
        <v>0.4265529627601363</v>
      </c>
      <c r="H89" s="326"/>
    </row>
    <row r="90" spans="1:8" ht="12" customHeight="1">
      <c r="A90" s="331">
        <v>3111</v>
      </c>
      <c r="B90" s="332" t="s">
        <v>121</v>
      </c>
      <c r="C90" s="784"/>
      <c r="D90" s="784"/>
      <c r="E90" s="784"/>
      <c r="F90" s="784"/>
      <c r="G90" s="297"/>
      <c r="H90" s="268" t="s">
        <v>421</v>
      </c>
    </row>
    <row r="91" spans="1:8" ht="12" customHeight="1">
      <c r="A91" s="302"/>
      <c r="B91" s="303" t="s">
        <v>87</v>
      </c>
      <c r="C91" s="785"/>
      <c r="D91" s="785"/>
      <c r="E91" s="785"/>
      <c r="F91" s="785"/>
      <c r="G91" s="297"/>
      <c r="H91" s="322"/>
    </row>
    <row r="92" spans="1:8" ht="12" customHeight="1">
      <c r="A92" s="302"/>
      <c r="B92" s="305" t="s">
        <v>245</v>
      </c>
      <c r="C92" s="785"/>
      <c r="D92" s="785"/>
      <c r="E92" s="785"/>
      <c r="F92" s="785"/>
      <c r="G92" s="297"/>
      <c r="H92" s="322"/>
    </row>
    <row r="93" spans="1:8" ht="12" customHeight="1">
      <c r="A93" s="302"/>
      <c r="B93" s="306" t="s">
        <v>234</v>
      </c>
      <c r="C93" s="785"/>
      <c r="D93" s="785">
        <v>3742</v>
      </c>
      <c r="E93" s="785">
        <v>3742</v>
      </c>
      <c r="F93" s="785">
        <v>0</v>
      </c>
      <c r="G93" s="297">
        <f t="shared" si="19"/>
        <v>0</v>
      </c>
      <c r="H93" s="322"/>
    </row>
    <row r="94" spans="1:8" ht="12" customHeight="1">
      <c r="A94" s="302"/>
      <c r="B94" s="307" t="s">
        <v>92</v>
      </c>
      <c r="C94" s="785"/>
      <c r="D94" s="785"/>
      <c r="E94" s="785"/>
      <c r="F94" s="785"/>
      <c r="G94" s="297"/>
      <c r="H94" s="426"/>
    </row>
    <row r="95" spans="1:8" ht="12" customHeight="1">
      <c r="A95" s="302"/>
      <c r="B95" s="307" t="s">
        <v>241</v>
      </c>
      <c r="C95" s="785"/>
      <c r="D95" s="785"/>
      <c r="E95" s="785"/>
      <c r="F95" s="785"/>
      <c r="G95" s="297"/>
      <c r="H95" s="322"/>
    </row>
    <row r="96" spans="1:8" ht="12" customHeight="1" thickBot="1">
      <c r="A96" s="302"/>
      <c r="B96" s="308" t="s">
        <v>222</v>
      </c>
      <c r="C96" s="789">
        <v>100000</v>
      </c>
      <c r="D96" s="803">
        <f>100000+237061+300000</f>
        <v>637061</v>
      </c>
      <c r="E96" s="803">
        <f>637061+150000+150000</f>
        <v>937061</v>
      </c>
      <c r="F96" s="803">
        <v>389685</v>
      </c>
      <c r="G96" s="708">
        <f t="shared" si="19"/>
        <v>0.4158587327826043</v>
      </c>
      <c r="H96" s="322"/>
    </row>
    <row r="97" spans="1:8" ht="12" customHeight="1" thickBot="1">
      <c r="A97" s="325"/>
      <c r="B97" s="311" t="s">
        <v>100</v>
      </c>
      <c r="C97" s="787">
        <f aca="true" t="shared" si="31" ref="C97">SUM(C91:C96)</f>
        <v>100000</v>
      </c>
      <c r="D97" s="787">
        <f aca="true" t="shared" si="32" ref="D97">SUM(D91:D96)</f>
        <v>640803</v>
      </c>
      <c r="E97" s="787">
        <f aca="true" t="shared" si="33" ref="E97:F97">SUM(E91:E96)</f>
        <v>940803</v>
      </c>
      <c r="F97" s="787">
        <f t="shared" si="33"/>
        <v>389685</v>
      </c>
      <c r="G97" s="707">
        <f t="shared" si="19"/>
        <v>0.4142046740922382</v>
      </c>
      <c r="H97" s="326"/>
    </row>
    <row r="98" spans="1:8" ht="12" customHeight="1">
      <c r="A98" s="331">
        <v>3112</v>
      </c>
      <c r="B98" s="332" t="s">
        <v>335</v>
      </c>
      <c r="C98" s="784"/>
      <c r="D98" s="784"/>
      <c r="E98" s="784"/>
      <c r="F98" s="784"/>
      <c r="G98" s="297"/>
      <c r="H98" s="268"/>
    </row>
    <row r="99" spans="1:8" ht="12" customHeight="1">
      <c r="A99" s="302"/>
      <c r="B99" s="303" t="s">
        <v>87</v>
      </c>
      <c r="C99" s="785"/>
      <c r="D99" s="785"/>
      <c r="E99" s="785"/>
      <c r="F99" s="785"/>
      <c r="G99" s="297"/>
      <c r="H99" s="322"/>
    </row>
    <row r="100" spans="1:8" ht="12" customHeight="1">
      <c r="A100" s="302"/>
      <c r="B100" s="305" t="s">
        <v>245</v>
      </c>
      <c r="C100" s="785"/>
      <c r="D100" s="785"/>
      <c r="E100" s="785"/>
      <c r="F100" s="785"/>
      <c r="G100" s="297"/>
      <c r="H100" s="322"/>
    </row>
    <row r="101" spans="1:8" ht="12" customHeight="1">
      <c r="A101" s="302"/>
      <c r="B101" s="306" t="s">
        <v>234</v>
      </c>
      <c r="C101" s="785">
        <v>40000</v>
      </c>
      <c r="D101" s="785">
        <v>66039</v>
      </c>
      <c r="E101" s="785">
        <v>66039</v>
      </c>
      <c r="F101" s="785">
        <v>36557</v>
      </c>
      <c r="G101" s="708">
        <f t="shared" si="19"/>
        <v>0.5535668317206499</v>
      </c>
      <c r="H101" s="533" t="s">
        <v>444</v>
      </c>
    </row>
    <row r="102" spans="1:8" ht="12" customHeight="1">
      <c r="A102" s="302"/>
      <c r="B102" s="307" t="s">
        <v>92</v>
      </c>
      <c r="C102" s="785"/>
      <c r="D102" s="785"/>
      <c r="E102" s="785"/>
      <c r="F102" s="785"/>
      <c r="G102" s="297"/>
      <c r="H102" s="533" t="s">
        <v>453</v>
      </c>
    </row>
    <row r="103" spans="1:8" ht="12" customHeight="1">
      <c r="A103" s="302"/>
      <c r="B103" s="307" t="s">
        <v>241</v>
      </c>
      <c r="C103" s="785"/>
      <c r="D103" s="785"/>
      <c r="E103" s="785"/>
      <c r="F103" s="785"/>
      <c r="G103" s="297"/>
      <c r="H103" s="322"/>
    </row>
    <row r="104" spans="1:8" ht="12" customHeight="1" thickBot="1">
      <c r="A104" s="302"/>
      <c r="B104" s="308" t="s">
        <v>10</v>
      </c>
      <c r="C104" s="789"/>
      <c r="D104" s="803"/>
      <c r="E104" s="803"/>
      <c r="F104" s="803"/>
      <c r="G104" s="708"/>
      <c r="H104" s="322"/>
    </row>
    <row r="105" spans="1:8" ht="12" customHeight="1" thickBot="1">
      <c r="A105" s="325"/>
      <c r="B105" s="311" t="s">
        <v>100</v>
      </c>
      <c r="C105" s="787">
        <f aca="true" t="shared" si="34" ref="C105">SUM(C99:C104)</f>
        <v>40000</v>
      </c>
      <c r="D105" s="787">
        <f aca="true" t="shared" si="35" ref="D105">SUM(D99:D104)</f>
        <v>66039</v>
      </c>
      <c r="E105" s="787">
        <f aca="true" t="shared" si="36" ref="E105:F105">SUM(E99:E104)</f>
        <v>66039</v>
      </c>
      <c r="F105" s="787">
        <f t="shared" si="36"/>
        <v>36557</v>
      </c>
      <c r="G105" s="707">
        <f t="shared" si="19"/>
        <v>0.5535668317206499</v>
      </c>
      <c r="H105" s="326"/>
    </row>
    <row r="106" spans="1:8" ht="12" customHeight="1">
      <c r="A106" s="262">
        <v>3114</v>
      </c>
      <c r="B106" s="333" t="s">
        <v>95</v>
      </c>
      <c r="C106" s="270"/>
      <c r="D106" s="270"/>
      <c r="E106" s="270"/>
      <c r="F106" s="270"/>
      <c r="G106" s="297"/>
      <c r="H106" s="334"/>
    </row>
    <row r="107" spans="1:8" ht="12" customHeight="1">
      <c r="A107" s="209"/>
      <c r="B107" s="274" t="s">
        <v>87</v>
      </c>
      <c r="C107" s="214"/>
      <c r="D107" s="214"/>
      <c r="E107" s="214"/>
      <c r="F107" s="214"/>
      <c r="G107" s="297"/>
      <c r="H107" s="322"/>
    </row>
    <row r="108" spans="1:8" ht="12" customHeight="1">
      <c r="A108" s="209"/>
      <c r="B108" s="149" t="s">
        <v>245</v>
      </c>
      <c r="C108" s="214"/>
      <c r="D108" s="214"/>
      <c r="E108" s="214"/>
      <c r="F108" s="214"/>
      <c r="G108" s="708"/>
      <c r="H108" s="432"/>
    </row>
    <row r="109" spans="1:8" ht="12" customHeight="1">
      <c r="A109" s="209"/>
      <c r="B109" s="275" t="s">
        <v>234</v>
      </c>
      <c r="C109" s="214">
        <v>55000</v>
      </c>
      <c r="D109" s="214">
        <f>61158+7000</f>
        <v>68158</v>
      </c>
      <c r="E109" s="214">
        <f>61158+7000</f>
        <v>68158</v>
      </c>
      <c r="F109" s="214">
        <v>41985</v>
      </c>
      <c r="G109" s="708">
        <f t="shared" si="19"/>
        <v>0.6159951876522198</v>
      </c>
      <c r="H109" s="580" t="s">
        <v>450</v>
      </c>
    </row>
    <row r="110" spans="1:8" ht="12" customHeight="1">
      <c r="A110" s="209"/>
      <c r="B110" s="215" t="s">
        <v>92</v>
      </c>
      <c r="C110" s="214"/>
      <c r="D110" s="214"/>
      <c r="E110" s="214"/>
      <c r="F110" s="214"/>
      <c r="G110" s="708"/>
      <c r="H110" s="315"/>
    </row>
    <row r="111" spans="1:8" ht="12" customHeight="1">
      <c r="A111" s="209"/>
      <c r="B111" s="215" t="s">
        <v>241</v>
      </c>
      <c r="C111" s="214"/>
      <c r="D111" s="214"/>
      <c r="E111" s="214"/>
      <c r="F111" s="214"/>
      <c r="G111" s="708"/>
      <c r="H111" s="432"/>
    </row>
    <row r="112" spans="1:8" ht="12" customHeight="1">
      <c r="A112" s="209"/>
      <c r="B112" s="308" t="s">
        <v>206</v>
      </c>
      <c r="C112" s="214"/>
      <c r="D112" s="214">
        <v>20011</v>
      </c>
      <c r="E112" s="214">
        <v>20011</v>
      </c>
      <c r="F112" s="214">
        <v>0</v>
      </c>
      <c r="G112" s="708">
        <f t="shared" si="19"/>
        <v>0</v>
      </c>
      <c r="H112" s="323"/>
    </row>
    <row r="113" spans="1:8" ht="12" customHeight="1">
      <c r="A113" s="209"/>
      <c r="B113" s="519" t="s">
        <v>408</v>
      </c>
      <c r="C113" s="214"/>
      <c r="D113" s="214">
        <v>2286</v>
      </c>
      <c r="E113" s="214">
        <v>2286</v>
      </c>
      <c r="F113" s="214">
        <v>0</v>
      </c>
      <c r="G113" s="708">
        <f t="shared" si="19"/>
        <v>0</v>
      </c>
      <c r="H113" s="304"/>
    </row>
    <row r="114" spans="1:8" ht="12" customHeight="1" thickBot="1">
      <c r="A114" s="209"/>
      <c r="B114" s="489" t="s">
        <v>674</v>
      </c>
      <c r="C114" s="790"/>
      <c r="D114" s="765"/>
      <c r="E114" s="765"/>
      <c r="F114" s="765"/>
      <c r="G114" s="708"/>
      <c r="H114" s="490"/>
    </row>
    <row r="115" spans="1:8" ht="12" customHeight="1" thickBot="1">
      <c r="A115" s="281"/>
      <c r="B115" s="311" t="s">
        <v>100</v>
      </c>
      <c r="C115" s="791">
        <f aca="true" t="shared" si="37" ref="C115">SUM(C107:C114)</f>
        <v>55000</v>
      </c>
      <c r="D115" s="791">
        <f aca="true" t="shared" si="38" ref="D115">SUM(D107:D114)</f>
        <v>90455</v>
      </c>
      <c r="E115" s="791">
        <f aca="true" t="shared" si="39" ref="E115:F115">SUM(E107:E114)</f>
        <v>90455</v>
      </c>
      <c r="F115" s="791">
        <f t="shared" si="39"/>
        <v>41985</v>
      </c>
      <c r="G115" s="707">
        <f t="shared" si="19"/>
        <v>0.46415344646509316</v>
      </c>
      <c r="H115" s="326"/>
    </row>
    <row r="116" spans="1:8" ht="12" customHeight="1">
      <c r="A116" s="262">
        <v>3115</v>
      </c>
      <c r="B116" s="333" t="s">
        <v>430</v>
      </c>
      <c r="C116" s="270"/>
      <c r="D116" s="270"/>
      <c r="E116" s="270"/>
      <c r="F116" s="270"/>
      <c r="G116" s="297"/>
      <c r="H116" s="334"/>
    </row>
    <row r="117" spans="1:8" ht="12" customHeight="1">
      <c r="A117" s="209"/>
      <c r="B117" s="274" t="s">
        <v>87</v>
      </c>
      <c r="C117" s="214"/>
      <c r="D117" s="214"/>
      <c r="E117" s="214"/>
      <c r="F117" s="214"/>
      <c r="G117" s="297"/>
      <c r="H117" s="322"/>
    </row>
    <row r="118" spans="1:8" ht="12" customHeight="1">
      <c r="A118" s="209"/>
      <c r="B118" s="149" t="s">
        <v>245</v>
      </c>
      <c r="C118" s="214"/>
      <c r="D118" s="214"/>
      <c r="E118" s="214"/>
      <c r="F118" s="214"/>
      <c r="G118" s="709"/>
      <c r="H118" s="576" t="s">
        <v>416</v>
      </c>
    </row>
    <row r="119" spans="1:8" ht="12" customHeight="1">
      <c r="A119" s="209"/>
      <c r="B119" s="275" t="s">
        <v>234</v>
      </c>
      <c r="C119" s="214">
        <v>20000</v>
      </c>
      <c r="D119" s="214">
        <v>21857</v>
      </c>
      <c r="E119" s="214">
        <v>21857</v>
      </c>
      <c r="F119" s="214">
        <v>8587</v>
      </c>
      <c r="G119" s="708">
        <f t="shared" si="19"/>
        <v>0.3928718488356133</v>
      </c>
      <c r="H119" s="472" t="s">
        <v>438</v>
      </c>
    </row>
    <row r="120" spans="1:8" ht="12" customHeight="1">
      <c r="A120" s="209"/>
      <c r="B120" s="215" t="s">
        <v>92</v>
      </c>
      <c r="C120" s="214"/>
      <c r="D120" s="214"/>
      <c r="E120" s="214"/>
      <c r="F120" s="214"/>
      <c r="G120" s="708"/>
      <c r="H120" s="315"/>
    </row>
    <row r="121" spans="1:8" ht="12" customHeight="1">
      <c r="A121" s="209"/>
      <c r="B121" s="215" t="s">
        <v>241</v>
      </c>
      <c r="C121" s="214"/>
      <c r="D121" s="214"/>
      <c r="E121" s="214"/>
      <c r="F121" s="214"/>
      <c r="G121" s="708"/>
      <c r="H121" s="304"/>
    </row>
    <row r="122" spans="1:8" ht="12" customHeight="1" thickBot="1">
      <c r="A122" s="273"/>
      <c r="B122" s="348" t="s">
        <v>60</v>
      </c>
      <c r="C122" s="765"/>
      <c r="D122" s="765"/>
      <c r="E122" s="765"/>
      <c r="F122" s="765"/>
      <c r="G122" s="710"/>
      <c r="H122" s="323"/>
    </row>
    <row r="123" spans="1:8" ht="12.75" customHeight="1" thickBot="1">
      <c r="A123" s="281"/>
      <c r="B123" s="311" t="s">
        <v>100</v>
      </c>
      <c r="C123" s="791">
        <f aca="true" t="shared" si="40" ref="C123">SUM(C118:C122)</f>
        <v>20000</v>
      </c>
      <c r="D123" s="791">
        <f aca="true" t="shared" si="41" ref="D123">SUM(D118:D122)</f>
        <v>21857</v>
      </c>
      <c r="E123" s="791">
        <f aca="true" t="shared" si="42" ref="E123:F123">SUM(E118:E122)</f>
        <v>21857</v>
      </c>
      <c r="F123" s="791">
        <f t="shared" si="42"/>
        <v>8587</v>
      </c>
      <c r="G123" s="707">
        <f t="shared" si="19"/>
        <v>0.3928718488356133</v>
      </c>
      <c r="H123" s="326"/>
    </row>
    <row r="124" spans="1:8" ht="12" customHeight="1">
      <c r="A124" s="262">
        <v>3116</v>
      </c>
      <c r="B124" s="333" t="s">
        <v>404</v>
      </c>
      <c r="C124" s="270"/>
      <c r="D124" s="270"/>
      <c r="E124" s="270"/>
      <c r="F124" s="270"/>
      <c r="G124" s="297"/>
      <c r="H124" s="334"/>
    </row>
    <row r="125" spans="1:8" ht="12" customHeight="1">
      <c r="A125" s="209"/>
      <c r="B125" s="274" t="s">
        <v>87</v>
      </c>
      <c r="C125" s="214"/>
      <c r="D125" s="214"/>
      <c r="E125" s="214"/>
      <c r="F125" s="214"/>
      <c r="G125" s="297"/>
      <c r="H125" s="322"/>
    </row>
    <row r="126" spans="1:8" ht="12" customHeight="1">
      <c r="A126" s="209"/>
      <c r="B126" s="149" t="s">
        <v>245</v>
      </c>
      <c r="C126" s="214"/>
      <c r="D126" s="214"/>
      <c r="E126" s="214"/>
      <c r="F126" s="214"/>
      <c r="G126" s="709"/>
      <c r="H126" s="533" t="s">
        <v>445</v>
      </c>
    </row>
    <row r="127" spans="1:8" ht="12" customHeight="1">
      <c r="A127" s="209"/>
      <c r="B127" s="275" t="s">
        <v>234</v>
      </c>
      <c r="C127" s="214">
        <v>6401</v>
      </c>
      <c r="D127" s="214">
        <v>7515</v>
      </c>
      <c r="E127" s="214">
        <v>7515</v>
      </c>
      <c r="F127" s="214">
        <v>3770</v>
      </c>
      <c r="G127" s="708">
        <f t="shared" si="19"/>
        <v>0.5016633399866933</v>
      </c>
      <c r="H127" s="580" t="s">
        <v>450</v>
      </c>
    </row>
    <row r="128" spans="1:8" ht="12" customHeight="1">
      <c r="A128" s="209"/>
      <c r="B128" s="215" t="s">
        <v>92</v>
      </c>
      <c r="C128" s="214"/>
      <c r="D128" s="214"/>
      <c r="E128" s="214"/>
      <c r="F128" s="214"/>
      <c r="G128" s="708"/>
      <c r="H128" s="315"/>
    </row>
    <row r="129" spans="1:8" ht="12" customHeight="1">
      <c r="A129" s="209"/>
      <c r="B129" s="215" t="s">
        <v>241</v>
      </c>
      <c r="C129" s="214"/>
      <c r="D129" s="214"/>
      <c r="E129" s="214"/>
      <c r="F129" s="214"/>
      <c r="G129" s="708"/>
      <c r="H129" s="322"/>
    </row>
    <row r="130" spans="1:8" ht="12" customHeight="1" thickBot="1">
      <c r="A130" s="273"/>
      <c r="B130" s="348" t="s">
        <v>60</v>
      </c>
      <c r="C130" s="765"/>
      <c r="D130" s="765"/>
      <c r="E130" s="765"/>
      <c r="F130" s="765"/>
      <c r="G130" s="710"/>
      <c r="H130" s="323"/>
    </row>
    <row r="131" spans="1:8" ht="12" customHeight="1" thickBot="1">
      <c r="A131" s="281"/>
      <c r="B131" s="311" t="s">
        <v>100</v>
      </c>
      <c r="C131" s="791">
        <f aca="true" t="shared" si="43" ref="C131">SUM(C126:C130)</f>
        <v>6401</v>
      </c>
      <c r="D131" s="791">
        <f aca="true" t="shared" si="44" ref="D131">SUM(D126:D130)</f>
        <v>7515</v>
      </c>
      <c r="E131" s="791">
        <f aca="true" t="shared" si="45" ref="E131:F131">SUM(E126:E130)</f>
        <v>7515</v>
      </c>
      <c r="F131" s="791">
        <f t="shared" si="45"/>
        <v>3770</v>
      </c>
      <c r="G131" s="707">
        <f t="shared" si="19"/>
        <v>0.5016633399866933</v>
      </c>
      <c r="H131" s="326"/>
    </row>
    <row r="132" spans="1:8" ht="12" customHeight="1" thickBot="1">
      <c r="A132" s="335">
        <v>3120</v>
      </c>
      <c r="B132" s="330" t="s">
        <v>303</v>
      </c>
      <c r="C132" s="791">
        <f>SUM(C140+C148+C156+C164+C172)</f>
        <v>29000</v>
      </c>
      <c r="D132" s="791">
        <f>SUM(D140+D148+D156+D164+D172)</f>
        <v>51551</v>
      </c>
      <c r="E132" s="791">
        <f>SUM(E140+E148+E156+E164+E172)</f>
        <v>54551</v>
      </c>
      <c r="F132" s="791">
        <f>SUM(F140+F148+F156+F164+F172)</f>
        <v>21924</v>
      </c>
      <c r="G132" s="707">
        <f t="shared" si="19"/>
        <v>0.4018991402540742</v>
      </c>
      <c r="H132" s="326"/>
    </row>
    <row r="133" spans="1:8" ht="12" customHeight="1">
      <c r="A133" s="65">
        <v>3121</v>
      </c>
      <c r="B133" s="336" t="s">
        <v>144</v>
      </c>
      <c r="C133" s="270"/>
      <c r="D133" s="270"/>
      <c r="E133" s="270"/>
      <c r="F133" s="270"/>
      <c r="G133" s="297"/>
      <c r="H133" s="321"/>
    </row>
    <row r="134" spans="1:8" ht="12" customHeight="1">
      <c r="A134" s="65"/>
      <c r="B134" s="274" t="s">
        <v>87</v>
      </c>
      <c r="C134" s="270"/>
      <c r="D134" s="270"/>
      <c r="E134" s="270"/>
      <c r="F134" s="270"/>
      <c r="G134" s="297"/>
      <c r="H134" s="298"/>
    </row>
    <row r="135" spans="1:8" ht="12" customHeight="1">
      <c r="A135" s="65"/>
      <c r="B135" s="149" t="s">
        <v>245</v>
      </c>
      <c r="C135" s="270"/>
      <c r="D135" s="270"/>
      <c r="E135" s="270"/>
      <c r="F135" s="270"/>
      <c r="G135" s="297"/>
      <c r="H135" s="427" t="s">
        <v>441</v>
      </c>
    </row>
    <row r="136" spans="1:8" ht="12" customHeight="1">
      <c r="A136" s="262"/>
      <c r="B136" s="275" t="s">
        <v>234</v>
      </c>
      <c r="C136" s="792">
        <v>4000</v>
      </c>
      <c r="D136" s="792">
        <v>7663</v>
      </c>
      <c r="E136" s="792">
        <f>7663+3000</f>
        <v>10663</v>
      </c>
      <c r="F136" s="792">
        <v>8877</v>
      </c>
      <c r="G136" s="708">
        <f t="shared" si="19"/>
        <v>0.8325049235674763</v>
      </c>
      <c r="H136" s="427" t="s">
        <v>442</v>
      </c>
    </row>
    <row r="137" spans="1:8" ht="12" customHeight="1">
      <c r="A137" s="262"/>
      <c r="B137" s="215" t="s">
        <v>241</v>
      </c>
      <c r="C137" s="792"/>
      <c r="D137" s="792"/>
      <c r="E137" s="792"/>
      <c r="F137" s="792"/>
      <c r="G137" s="708"/>
      <c r="H137" s="337"/>
    </row>
    <row r="138" spans="1:8" ht="12" customHeight="1">
      <c r="A138" s="65"/>
      <c r="B138" s="215" t="s">
        <v>241</v>
      </c>
      <c r="C138" s="270"/>
      <c r="D138" s="270"/>
      <c r="E138" s="270"/>
      <c r="F138" s="270"/>
      <c r="G138" s="708"/>
      <c r="H138" s="304"/>
    </row>
    <row r="139" spans="1:8" ht="12" customHeight="1" thickBot="1">
      <c r="A139" s="65"/>
      <c r="B139" s="308" t="s">
        <v>60</v>
      </c>
      <c r="C139" s="793"/>
      <c r="D139" s="793"/>
      <c r="E139" s="793"/>
      <c r="F139" s="793"/>
      <c r="G139" s="710"/>
      <c r="H139" s="294"/>
    </row>
    <row r="140" spans="1:8" ht="12.6" customHeight="1" thickBot="1">
      <c r="A140" s="281"/>
      <c r="B140" s="311" t="s">
        <v>100</v>
      </c>
      <c r="C140" s="791">
        <f aca="true" t="shared" si="46" ref="C140">SUM(C136:C139)</f>
        <v>4000</v>
      </c>
      <c r="D140" s="791">
        <f aca="true" t="shared" si="47" ref="D140">SUM(D136:D139)</f>
        <v>7663</v>
      </c>
      <c r="E140" s="502">
        <f aca="true" t="shared" si="48" ref="E140:F140">SUM(E136:E139)</f>
        <v>10663</v>
      </c>
      <c r="F140" s="502">
        <f t="shared" si="48"/>
        <v>8877</v>
      </c>
      <c r="G140" s="707">
        <f aca="true" t="shared" si="49" ref="G140:G201">F140/E140</f>
        <v>0.8325049235674763</v>
      </c>
      <c r="H140" s="326"/>
    </row>
    <row r="141" spans="1:8" ht="12" customHeight="1">
      <c r="A141" s="262">
        <v>3122</v>
      </c>
      <c r="B141" s="333" t="s">
        <v>138</v>
      </c>
      <c r="C141" s="270"/>
      <c r="D141" s="270"/>
      <c r="E141" s="270"/>
      <c r="F141" s="270"/>
      <c r="G141" s="297"/>
      <c r="H141" s="338"/>
    </row>
    <row r="142" spans="1:8" ht="12" customHeight="1">
      <c r="A142" s="209"/>
      <c r="B142" s="274" t="s">
        <v>87</v>
      </c>
      <c r="C142" s="214"/>
      <c r="D142" s="214"/>
      <c r="E142" s="214"/>
      <c r="F142" s="214"/>
      <c r="G142" s="297"/>
      <c r="H142" s="322"/>
    </row>
    <row r="143" spans="1:8" ht="12" customHeight="1">
      <c r="A143" s="209"/>
      <c r="B143" s="149" t="s">
        <v>245</v>
      </c>
      <c r="C143" s="214"/>
      <c r="D143" s="214"/>
      <c r="E143" s="214"/>
      <c r="F143" s="214"/>
      <c r="G143" s="297"/>
      <c r="H143" s="322"/>
    </row>
    <row r="144" spans="1:8" ht="12" customHeight="1">
      <c r="A144" s="209"/>
      <c r="B144" s="275" t="s">
        <v>234</v>
      </c>
      <c r="C144" s="214">
        <v>3000</v>
      </c>
      <c r="D144" s="214">
        <v>3009</v>
      </c>
      <c r="E144" s="214">
        <v>3009</v>
      </c>
      <c r="F144" s="214">
        <v>1117</v>
      </c>
      <c r="G144" s="708">
        <f t="shared" si="49"/>
        <v>0.37121967431040215</v>
      </c>
      <c r="H144" s="315"/>
    </row>
    <row r="145" spans="1:8" ht="12" customHeight="1">
      <c r="A145" s="209"/>
      <c r="B145" s="215" t="s">
        <v>92</v>
      </c>
      <c r="C145" s="214"/>
      <c r="D145" s="214"/>
      <c r="E145" s="214"/>
      <c r="F145" s="214"/>
      <c r="G145" s="708"/>
      <c r="H145" s="322"/>
    </row>
    <row r="146" spans="1:8" ht="12" customHeight="1">
      <c r="A146" s="209"/>
      <c r="B146" s="215" t="s">
        <v>241</v>
      </c>
      <c r="C146" s="214"/>
      <c r="D146" s="214"/>
      <c r="E146" s="214"/>
      <c r="F146" s="214"/>
      <c r="G146" s="708"/>
      <c r="H146" s="304"/>
    </row>
    <row r="147" spans="1:8" ht="12" customHeight="1" thickBot="1">
      <c r="A147" s="209"/>
      <c r="B147" s="308" t="s">
        <v>60</v>
      </c>
      <c r="C147" s="790"/>
      <c r="D147" s="790"/>
      <c r="E147" s="790"/>
      <c r="F147" s="790"/>
      <c r="G147" s="710"/>
      <c r="H147" s="322"/>
    </row>
    <row r="148" spans="1:8" ht="12" customHeight="1" thickBot="1">
      <c r="A148" s="264"/>
      <c r="B148" s="311" t="s">
        <v>100</v>
      </c>
      <c r="C148" s="791">
        <f aca="true" t="shared" si="50" ref="C148">SUM(C142:C147)</f>
        <v>3000</v>
      </c>
      <c r="D148" s="791">
        <f aca="true" t="shared" si="51" ref="D148">SUM(D142:D147)</f>
        <v>3009</v>
      </c>
      <c r="E148" s="791">
        <f aca="true" t="shared" si="52" ref="E148:F148">SUM(E142:E147)</f>
        <v>3009</v>
      </c>
      <c r="F148" s="791">
        <f t="shared" si="52"/>
        <v>1117</v>
      </c>
      <c r="G148" s="707">
        <f t="shared" si="49"/>
        <v>0.37121967431040215</v>
      </c>
      <c r="H148" s="326"/>
    </row>
    <row r="149" spans="1:8" ht="12" customHeight="1">
      <c r="A149" s="262">
        <v>3123</v>
      </c>
      <c r="B149" s="171" t="s">
        <v>94</v>
      </c>
      <c r="C149" s="270"/>
      <c r="D149" s="270"/>
      <c r="E149" s="270"/>
      <c r="F149" s="270"/>
      <c r="G149" s="297"/>
      <c r="H149" s="268"/>
    </row>
    <row r="150" spans="1:8" ht="12" customHeight="1">
      <c r="A150" s="209"/>
      <c r="B150" s="274" t="s">
        <v>87</v>
      </c>
      <c r="C150" s="214"/>
      <c r="D150" s="214"/>
      <c r="E150" s="214"/>
      <c r="F150" s="214"/>
      <c r="G150" s="297"/>
      <c r="H150" s="322"/>
    </row>
    <row r="151" spans="1:8" ht="12" customHeight="1">
      <c r="A151" s="209"/>
      <c r="B151" s="149" t="s">
        <v>245</v>
      </c>
      <c r="C151" s="214"/>
      <c r="D151" s="214"/>
      <c r="E151" s="214"/>
      <c r="F151" s="214"/>
      <c r="G151" s="709"/>
      <c r="H151" s="426"/>
    </row>
    <row r="152" spans="1:8" ht="12" customHeight="1">
      <c r="A152" s="209"/>
      <c r="B152" s="275" t="s">
        <v>234</v>
      </c>
      <c r="C152" s="214">
        <f>5000+10000</f>
        <v>15000</v>
      </c>
      <c r="D152" s="214">
        <f>15000+11879</f>
        <v>26879</v>
      </c>
      <c r="E152" s="214">
        <f>15000+11879</f>
        <v>26879</v>
      </c>
      <c r="F152" s="214">
        <v>10956</v>
      </c>
      <c r="G152" s="708">
        <f t="shared" si="49"/>
        <v>0.4076044495702965</v>
      </c>
      <c r="H152" s="315"/>
    </row>
    <row r="153" spans="1:8" ht="12" customHeight="1">
      <c r="A153" s="209"/>
      <c r="B153" s="215" t="s">
        <v>92</v>
      </c>
      <c r="C153" s="214"/>
      <c r="D153" s="214"/>
      <c r="E153" s="214"/>
      <c r="F153" s="214"/>
      <c r="G153" s="708"/>
      <c r="H153" s="432"/>
    </row>
    <row r="154" spans="1:8" ht="12" customHeight="1">
      <c r="A154" s="209"/>
      <c r="B154" s="215" t="s">
        <v>241</v>
      </c>
      <c r="C154" s="214"/>
      <c r="D154" s="214"/>
      <c r="E154" s="214"/>
      <c r="F154" s="214"/>
      <c r="G154" s="708"/>
      <c r="H154" s="304"/>
    </row>
    <row r="155" spans="1:8" ht="12" customHeight="1" thickBot="1">
      <c r="A155" s="209"/>
      <c r="B155" s="308" t="s">
        <v>60</v>
      </c>
      <c r="C155" s="790"/>
      <c r="D155" s="790"/>
      <c r="E155" s="790"/>
      <c r="F155" s="790"/>
      <c r="G155" s="710"/>
      <c r="H155" s="322"/>
    </row>
    <row r="156" spans="1:8" ht="12" customHeight="1" thickBot="1">
      <c r="A156" s="264"/>
      <c r="B156" s="311" t="s">
        <v>100</v>
      </c>
      <c r="C156" s="791">
        <f aca="true" t="shared" si="53" ref="C156">SUM(C150:C155)</f>
        <v>15000</v>
      </c>
      <c r="D156" s="791">
        <f aca="true" t="shared" si="54" ref="D156">SUM(D150:D155)</f>
        <v>26879</v>
      </c>
      <c r="E156" s="791">
        <f aca="true" t="shared" si="55" ref="E156:F156">SUM(E150:E155)</f>
        <v>26879</v>
      </c>
      <c r="F156" s="791">
        <f t="shared" si="55"/>
        <v>10956</v>
      </c>
      <c r="G156" s="707">
        <f t="shared" si="49"/>
        <v>0.4076044495702965</v>
      </c>
      <c r="H156" s="326"/>
    </row>
    <row r="157" spans="1:8" ht="12" customHeight="1">
      <c r="A157" s="262">
        <v>3124</v>
      </c>
      <c r="B157" s="171" t="s">
        <v>97</v>
      </c>
      <c r="C157" s="270"/>
      <c r="D157" s="270"/>
      <c r="E157" s="270"/>
      <c r="F157" s="270"/>
      <c r="G157" s="297"/>
      <c r="H157" s="268" t="s">
        <v>421</v>
      </c>
    </row>
    <row r="158" spans="1:8" ht="12" customHeight="1">
      <c r="A158" s="209"/>
      <c r="B158" s="274" t="s">
        <v>87</v>
      </c>
      <c r="C158" s="214"/>
      <c r="D158" s="214"/>
      <c r="E158" s="214"/>
      <c r="F158" s="214"/>
      <c r="G158" s="297"/>
      <c r="H158" s="322"/>
    </row>
    <row r="159" spans="1:8" ht="12" customHeight="1">
      <c r="A159" s="209"/>
      <c r="B159" s="149" t="s">
        <v>245</v>
      </c>
      <c r="C159" s="214"/>
      <c r="D159" s="214"/>
      <c r="E159" s="214"/>
      <c r="F159" s="214"/>
      <c r="G159" s="709"/>
      <c r="H159" s="322"/>
    </row>
    <row r="160" spans="1:8" ht="12" customHeight="1">
      <c r="A160" s="209"/>
      <c r="B160" s="275" t="s">
        <v>234</v>
      </c>
      <c r="C160" s="214">
        <v>2000</v>
      </c>
      <c r="D160" s="214">
        <v>2000</v>
      </c>
      <c r="E160" s="214">
        <v>2000</v>
      </c>
      <c r="F160" s="214">
        <v>974</v>
      </c>
      <c r="G160" s="708">
        <f t="shared" si="49"/>
        <v>0.487</v>
      </c>
      <c r="H160" s="315"/>
    </row>
    <row r="161" spans="1:8" ht="12" customHeight="1">
      <c r="A161" s="209"/>
      <c r="B161" s="215" t="s">
        <v>92</v>
      </c>
      <c r="C161" s="214"/>
      <c r="D161" s="214"/>
      <c r="E161" s="214"/>
      <c r="F161" s="214"/>
      <c r="G161" s="708"/>
      <c r="H161" s="322"/>
    </row>
    <row r="162" spans="1:8" ht="12" customHeight="1">
      <c r="A162" s="209"/>
      <c r="B162" s="215" t="s">
        <v>241</v>
      </c>
      <c r="C162" s="214"/>
      <c r="D162" s="214"/>
      <c r="E162" s="214"/>
      <c r="F162" s="214"/>
      <c r="G162" s="708"/>
      <c r="H162" s="304"/>
    </row>
    <row r="163" spans="1:8" ht="12" customHeight="1" thickBot="1">
      <c r="A163" s="209"/>
      <c r="B163" s="308" t="s">
        <v>60</v>
      </c>
      <c r="C163" s="790"/>
      <c r="D163" s="790"/>
      <c r="E163" s="790"/>
      <c r="F163" s="790"/>
      <c r="G163" s="710"/>
      <c r="H163" s="322"/>
    </row>
    <row r="164" spans="1:8" ht="12" customHeight="1" thickBot="1">
      <c r="A164" s="264"/>
      <c r="B164" s="311" t="s">
        <v>100</v>
      </c>
      <c r="C164" s="791">
        <f aca="true" t="shared" si="56" ref="C164">SUM(C158:C163)</f>
        <v>2000</v>
      </c>
      <c r="D164" s="791">
        <f aca="true" t="shared" si="57" ref="D164">SUM(D158:D163)</f>
        <v>2000</v>
      </c>
      <c r="E164" s="791">
        <f aca="true" t="shared" si="58" ref="E164:F164">SUM(E158:E163)</f>
        <v>2000</v>
      </c>
      <c r="F164" s="791">
        <f t="shared" si="58"/>
        <v>974</v>
      </c>
      <c r="G164" s="707">
        <f t="shared" si="49"/>
        <v>0.487</v>
      </c>
      <c r="H164" s="326"/>
    </row>
    <row r="165" spans="1:8" ht="12" customHeight="1">
      <c r="A165" s="262">
        <v>3125</v>
      </c>
      <c r="B165" s="171" t="s">
        <v>660</v>
      </c>
      <c r="C165" s="270"/>
      <c r="D165" s="270"/>
      <c r="E165" s="270"/>
      <c r="F165" s="270"/>
      <c r="G165" s="297"/>
      <c r="H165" s="268"/>
    </row>
    <row r="166" spans="1:8" ht="12" customHeight="1">
      <c r="A166" s="209"/>
      <c r="B166" s="274" t="s">
        <v>87</v>
      </c>
      <c r="C166" s="214">
        <v>4425</v>
      </c>
      <c r="D166" s="214">
        <v>4425</v>
      </c>
      <c r="E166" s="214">
        <v>4425</v>
      </c>
      <c r="F166" s="214">
        <v>0</v>
      </c>
      <c r="G166" s="708">
        <f t="shared" si="49"/>
        <v>0</v>
      </c>
      <c r="H166" s="322"/>
    </row>
    <row r="167" spans="1:8" ht="12" customHeight="1">
      <c r="A167" s="209"/>
      <c r="B167" s="149" t="s">
        <v>245</v>
      </c>
      <c r="C167" s="214">
        <v>575</v>
      </c>
      <c r="D167" s="214">
        <v>575</v>
      </c>
      <c r="E167" s="214">
        <v>575</v>
      </c>
      <c r="F167" s="214">
        <v>0</v>
      </c>
      <c r="G167" s="709">
        <f t="shared" si="49"/>
        <v>0</v>
      </c>
      <c r="H167" s="322"/>
    </row>
    <row r="168" spans="1:8" ht="12" customHeight="1">
      <c r="A168" s="209"/>
      <c r="B168" s="275" t="s">
        <v>234</v>
      </c>
      <c r="C168" s="214"/>
      <c r="D168" s="214"/>
      <c r="E168" s="214"/>
      <c r="F168" s="214"/>
      <c r="G168" s="708"/>
      <c r="H168" s="315"/>
    </row>
    <row r="169" spans="1:8" ht="12" customHeight="1">
      <c r="A169" s="209"/>
      <c r="B169" s="215" t="s">
        <v>92</v>
      </c>
      <c r="C169" s="214"/>
      <c r="D169" s="214"/>
      <c r="E169" s="214"/>
      <c r="F169" s="214"/>
      <c r="G169" s="708"/>
      <c r="H169" s="322"/>
    </row>
    <row r="170" spans="1:8" ht="12" customHeight="1">
      <c r="A170" s="209"/>
      <c r="B170" s="215" t="s">
        <v>241</v>
      </c>
      <c r="C170" s="214"/>
      <c r="D170" s="214">
        <v>7000</v>
      </c>
      <c r="E170" s="214">
        <v>7000</v>
      </c>
      <c r="F170" s="214">
        <v>0</v>
      </c>
      <c r="G170" s="708">
        <f t="shared" si="49"/>
        <v>0</v>
      </c>
      <c r="H170" s="304"/>
    </row>
    <row r="171" spans="1:8" ht="12" customHeight="1" thickBot="1">
      <c r="A171" s="209"/>
      <c r="B171" s="308" t="s">
        <v>60</v>
      </c>
      <c r="C171" s="790"/>
      <c r="D171" s="790"/>
      <c r="E171" s="790"/>
      <c r="F171" s="790"/>
      <c r="G171" s="710"/>
      <c r="H171" s="322"/>
    </row>
    <row r="172" spans="1:8" ht="12" customHeight="1" thickBot="1">
      <c r="A172" s="264"/>
      <c r="B172" s="311" t="s">
        <v>100</v>
      </c>
      <c r="C172" s="791">
        <f>C166+C167+C168+C169+C170+C171</f>
        <v>5000</v>
      </c>
      <c r="D172" s="791">
        <f>D166+D167+D168+D169+D170+D171</f>
        <v>12000</v>
      </c>
      <c r="E172" s="791">
        <f>E166+E167+E168+E169+E170+E171</f>
        <v>12000</v>
      </c>
      <c r="F172" s="791">
        <f>F166+F167+F168+F169+F170+F171</f>
        <v>0</v>
      </c>
      <c r="G172" s="707">
        <f t="shared" si="49"/>
        <v>0</v>
      </c>
      <c r="H172" s="326"/>
    </row>
    <row r="173" spans="1:8" ht="12" customHeight="1" thickBot="1">
      <c r="A173" s="262">
        <v>3140</v>
      </c>
      <c r="B173" s="171" t="s">
        <v>98</v>
      </c>
      <c r="C173" s="791">
        <f>SUM(C181+C190+C198+C206+C215+C224)</f>
        <v>59654</v>
      </c>
      <c r="D173" s="791">
        <f>SUM(D181+D190+D198+D206+D215+D224)+D233</f>
        <v>63763</v>
      </c>
      <c r="E173" s="791">
        <f>SUM(E181+E190+E198+E206+E215+E224)+E233</f>
        <v>68763</v>
      </c>
      <c r="F173" s="791">
        <f>SUM(F181+F190+F198+F206+F215+F224)+F233</f>
        <v>14497</v>
      </c>
      <c r="G173" s="707">
        <f t="shared" si="49"/>
        <v>0.21082558934310602</v>
      </c>
      <c r="H173" s="962"/>
    </row>
    <row r="174" spans="1:8" ht="12" customHeight="1">
      <c r="A174" s="262">
        <v>3141</v>
      </c>
      <c r="B174" s="171" t="s">
        <v>497</v>
      </c>
      <c r="C174" s="270"/>
      <c r="D174" s="270"/>
      <c r="E174" s="270"/>
      <c r="F174" s="270"/>
      <c r="G174" s="297"/>
      <c r="H174" s="322"/>
    </row>
    <row r="175" spans="1:8" ht="12" customHeight="1">
      <c r="A175" s="209"/>
      <c r="B175" s="274" t="s">
        <v>87</v>
      </c>
      <c r="C175" s="214"/>
      <c r="D175" s="214"/>
      <c r="E175" s="214"/>
      <c r="F175" s="214"/>
      <c r="G175" s="297"/>
      <c r="H175" s="525" t="s">
        <v>556</v>
      </c>
    </row>
    <row r="176" spans="1:8" ht="12" customHeight="1">
      <c r="A176" s="209"/>
      <c r="B176" s="149" t="s">
        <v>245</v>
      </c>
      <c r="C176" s="214"/>
      <c r="D176" s="214"/>
      <c r="E176" s="214"/>
      <c r="F176" s="214"/>
      <c r="G176" s="297"/>
      <c r="H176" s="426"/>
    </row>
    <row r="177" spans="1:8" ht="12" customHeight="1">
      <c r="A177" s="209"/>
      <c r="B177" s="275" t="s">
        <v>234</v>
      </c>
      <c r="C177" s="214">
        <v>10000</v>
      </c>
      <c r="D177" s="214">
        <f>10000+2500</f>
        <v>12500</v>
      </c>
      <c r="E177" s="214">
        <f>10000+2500</f>
        <v>12500</v>
      </c>
      <c r="F177" s="214">
        <v>0</v>
      </c>
      <c r="G177" s="708">
        <f t="shared" si="49"/>
        <v>0</v>
      </c>
      <c r="H177" s="426"/>
    </row>
    <row r="178" spans="1:8" ht="12" customHeight="1">
      <c r="A178" s="209"/>
      <c r="B178" s="215" t="s">
        <v>92</v>
      </c>
      <c r="C178" s="214">
        <v>2500</v>
      </c>
      <c r="D178" s="214">
        <v>2500</v>
      </c>
      <c r="E178" s="214">
        <v>2500</v>
      </c>
      <c r="F178" s="214">
        <v>858</v>
      </c>
      <c r="G178" s="708">
        <f t="shared" si="49"/>
        <v>0.3432</v>
      </c>
      <c r="H178" s="426"/>
    </row>
    <row r="179" spans="1:8" ht="12" customHeight="1">
      <c r="A179" s="209"/>
      <c r="B179" s="215" t="s">
        <v>241</v>
      </c>
      <c r="C179" s="792"/>
      <c r="D179" s="792"/>
      <c r="E179" s="792"/>
      <c r="F179" s="792"/>
      <c r="G179" s="708"/>
      <c r="H179" s="426"/>
    </row>
    <row r="180" spans="1:8" ht="12" customHeight="1" thickBot="1">
      <c r="A180" s="209"/>
      <c r="B180" s="308" t="s">
        <v>60</v>
      </c>
      <c r="C180" s="790"/>
      <c r="D180" s="790"/>
      <c r="E180" s="790"/>
      <c r="F180" s="790"/>
      <c r="G180" s="710"/>
      <c r="H180" s="428"/>
    </row>
    <row r="181" spans="1:8" ht="12" customHeight="1" thickBot="1">
      <c r="A181" s="264"/>
      <c r="B181" s="311" t="s">
        <v>100</v>
      </c>
      <c r="C181" s="791">
        <f aca="true" t="shared" si="59" ref="C181">SUM(C175:C180)</f>
        <v>12500</v>
      </c>
      <c r="D181" s="791">
        <f aca="true" t="shared" si="60" ref="D181">SUM(D175:D180)</f>
        <v>15000</v>
      </c>
      <c r="E181" s="791">
        <f aca="true" t="shared" si="61" ref="E181:F181">SUM(E175:E180)</f>
        <v>15000</v>
      </c>
      <c r="F181" s="791">
        <f t="shared" si="61"/>
        <v>858</v>
      </c>
      <c r="G181" s="707">
        <f t="shared" si="49"/>
        <v>0.0572</v>
      </c>
      <c r="H181" s="326"/>
    </row>
    <row r="182" spans="1:8" ht="12" customHeight="1">
      <c r="A182" s="262">
        <v>3142</v>
      </c>
      <c r="B182" s="280" t="s">
        <v>15</v>
      </c>
      <c r="C182" s="270"/>
      <c r="D182" s="270"/>
      <c r="E182" s="270"/>
      <c r="F182" s="270"/>
      <c r="G182" s="297"/>
      <c r="H182" s="321"/>
    </row>
    <row r="183" spans="1:8" ht="12" customHeight="1">
      <c r="A183" s="262"/>
      <c r="B183" s="274" t="s">
        <v>87</v>
      </c>
      <c r="C183" s="214">
        <v>2700</v>
      </c>
      <c r="D183" s="214">
        <v>2700</v>
      </c>
      <c r="E183" s="214">
        <v>2700</v>
      </c>
      <c r="F183" s="214">
        <v>1253</v>
      </c>
      <c r="G183" s="708">
        <f t="shared" si="49"/>
        <v>0.4640740740740741</v>
      </c>
      <c r="H183" s="427"/>
    </row>
    <row r="184" spans="1:8" ht="12" customHeight="1">
      <c r="A184" s="262"/>
      <c r="B184" s="149" t="s">
        <v>245</v>
      </c>
      <c r="C184" s="214">
        <v>800</v>
      </c>
      <c r="D184" s="214">
        <v>1239</v>
      </c>
      <c r="E184" s="214">
        <v>1239</v>
      </c>
      <c r="F184" s="214">
        <v>878</v>
      </c>
      <c r="G184" s="708">
        <f t="shared" si="49"/>
        <v>0.70863599677159</v>
      </c>
      <c r="H184" s="578" t="s">
        <v>556</v>
      </c>
    </row>
    <row r="185" spans="1:8" ht="12" customHeight="1">
      <c r="A185" s="262"/>
      <c r="B185" s="275" t="s">
        <v>234</v>
      </c>
      <c r="C185" s="792">
        <v>1500</v>
      </c>
      <c r="D185" s="792">
        <v>1664</v>
      </c>
      <c r="E185" s="792">
        <f>1664+3000</f>
        <v>4664</v>
      </c>
      <c r="F185" s="792">
        <v>440</v>
      </c>
      <c r="G185" s="708">
        <f t="shared" si="49"/>
        <v>0.09433962264150944</v>
      </c>
      <c r="H185" s="426"/>
    </row>
    <row r="186" spans="1:8" ht="12" customHeight="1">
      <c r="A186" s="262"/>
      <c r="B186" s="215" t="s">
        <v>92</v>
      </c>
      <c r="C186" s="792"/>
      <c r="D186" s="792"/>
      <c r="E186" s="792"/>
      <c r="F186" s="792"/>
      <c r="G186" s="708"/>
      <c r="H186" s="322"/>
    </row>
    <row r="187" spans="1:8" ht="12" customHeight="1">
      <c r="A187" s="262"/>
      <c r="B187" s="215" t="s">
        <v>241</v>
      </c>
      <c r="C187" s="792">
        <v>1000</v>
      </c>
      <c r="D187" s="792">
        <v>1000</v>
      </c>
      <c r="E187" s="792">
        <v>1000</v>
      </c>
      <c r="F187" s="792"/>
      <c r="G187" s="708">
        <f t="shared" si="49"/>
        <v>0</v>
      </c>
      <c r="H187" s="337"/>
    </row>
    <row r="188" spans="1:8" ht="12" customHeight="1">
      <c r="A188" s="262"/>
      <c r="B188" s="215" t="s">
        <v>206</v>
      </c>
      <c r="C188" s="792"/>
      <c r="D188" s="792"/>
      <c r="E188" s="792"/>
      <c r="F188" s="792"/>
      <c r="G188" s="708"/>
      <c r="H188" s="337"/>
    </row>
    <row r="189" spans="1:8" ht="12.75" thickBot="1">
      <c r="A189" s="262"/>
      <c r="B189" s="308" t="s">
        <v>222</v>
      </c>
      <c r="C189" s="794"/>
      <c r="D189" s="794"/>
      <c r="E189" s="794"/>
      <c r="F189" s="794"/>
      <c r="G189" s="710"/>
      <c r="H189" s="339"/>
    </row>
    <row r="190" spans="1:8" ht="12" customHeight="1" thickBot="1">
      <c r="A190" s="264"/>
      <c r="B190" s="311" t="s">
        <v>100</v>
      </c>
      <c r="C190" s="791">
        <f aca="true" t="shared" si="62" ref="C190">SUM(C183:C189)</f>
        <v>6000</v>
      </c>
      <c r="D190" s="791">
        <f aca="true" t="shared" si="63" ref="D190">SUM(D183:D189)</f>
        <v>6603</v>
      </c>
      <c r="E190" s="502">
        <f aca="true" t="shared" si="64" ref="E190:F190">SUM(E183:E189)</f>
        <v>9603</v>
      </c>
      <c r="F190" s="502">
        <f t="shared" si="64"/>
        <v>2571</v>
      </c>
      <c r="G190" s="707">
        <f t="shared" si="49"/>
        <v>0.267728834739144</v>
      </c>
      <c r="H190" s="326"/>
    </row>
    <row r="191" spans="1:8" ht="12" customHeight="1">
      <c r="A191" s="278">
        <v>3143</v>
      </c>
      <c r="B191" s="333" t="s">
        <v>537</v>
      </c>
      <c r="C191" s="270"/>
      <c r="D191" s="270"/>
      <c r="E191" s="270"/>
      <c r="F191" s="270"/>
      <c r="G191" s="297"/>
      <c r="H191" s="295" t="s">
        <v>538</v>
      </c>
    </row>
    <row r="192" spans="1:8" ht="12" customHeight="1">
      <c r="A192" s="209"/>
      <c r="B192" s="274" t="s">
        <v>87</v>
      </c>
      <c r="C192" s="214"/>
      <c r="D192" s="214"/>
      <c r="E192" s="214"/>
      <c r="F192" s="214"/>
      <c r="G192" s="708"/>
      <c r="H192" s="533"/>
    </row>
    <row r="193" spans="1:8" ht="12" customHeight="1">
      <c r="A193" s="209"/>
      <c r="B193" s="149" t="s">
        <v>245</v>
      </c>
      <c r="C193" s="214"/>
      <c r="D193" s="214">
        <v>92</v>
      </c>
      <c r="E193" s="214">
        <v>92</v>
      </c>
      <c r="F193" s="214">
        <v>92</v>
      </c>
      <c r="G193" s="708">
        <f t="shared" si="49"/>
        <v>1</v>
      </c>
      <c r="H193" s="427"/>
    </row>
    <row r="194" spans="1:8" ht="12" customHeight="1">
      <c r="A194" s="209"/>
      <c r="B194" s="275" t="s">
        <v>234</v>
      </c>
      <c r="C194" s="792"/>
      <c r="D194" s="792">
        <v>254</v>
      </c>
      <c r="E194" s="792">
        <v>254</v>
      </c>
      <c r="F194" s="792">
        <v>254</v>
      </c>
      <c r="G194" s="708">
        <f t="shared" si="49"/>
        <v>1</v>
      </c>
      <c r="H194" s="427"/>
    </row>
    <row r="195" spans="1:8" ht="12" customHeight="1">
      <c r="A195" s="209"/>
      <c r="B195" s="215" t="s">
        <v>92</v>
      </c>
      <c r="C195" s="792"/>
      <c r="D195" s="792"/>
      <c r="E195" s="792"/>
      <c r="F195" s="792"/>
      <c r="G195" s="708"/>
      <c r="H195" s="426"/>
    </row>
    <row r="196" spans="1:8" ht="12" customHeight="1">
      <c r="A196" s="209"/>
      <c r="B196" s="215" t="s">
        <v>241</v>
      </c>
      <c r="C196" s="214">
        <v>5000</v>
      </c>
      <c r="D196" s="214">
        <v>5000</v>
      </c>
      <c r="E196" s="214">
        <v>5000</v>
      </c>
      <c r="F196" s="214"/>
      <c r="G196" s="708">
        <f t="shared" si="49"/>
        <v>0</v>
      </c>
      <c r="H196" s="322"/>
    </row>
    <row r="197" spans="1:8" ht="12" customHeight="1" thickBot="1">
      <c r="A197" s="209"/>
      <c r="B197" s="308" t="s">
        <v>222</v>
      </c>
      <c r="C197" s="790"/>
      <c r="D197" s="790"/>
      <c r="E197" s="790"/>
      <c r="F197" s="790"/>
      <c r="G197" s="710"/>
      <c r="H197" s="298"/>
    </row>
    <row r="198" spans="1:8" ht="12" customHeight="1" thickBot="1">
      <c r="A198" s="264"/>
      <c r="B198" s="311" t="s">
        <v>100</v>
      </c>
      <c r="C198" s="791">
        <f aca="true" t="shared" si="65" ref="C198">SUM(C192:C197)</f>
        <v>5000</v>
      </c>
      <c r="D198" s="791">
        <f aca="true" t="shared" si="66" ref="D198">SUM(D192:D197)</f>
        <v>5346</v>
      </c>
      <c r="E198" s="791">
        <f aca="true" t="shared" si="67" ref="E198:F198">SUM(E192:E197)</f>
        <v>5346</v>
      </c>
      <c r="F198" s="791">
        <f t="shared" si="67"/>
        <v>346</v>
      </c>
      <c r="G198" s="707">
        <f t="shared" si="49"/>
        <v>0.06472128694350916</v>
      </c>
      <c r="H198" s="326"/>
    </row>
    <row r="199" spans="1:8" ht="12" customHeight="1">
      <c r="A199" s="320">
        <v>3145</v>
      </c>
      <c r="B199" s="300" t="s">
        <v>316</v>
      </c>
      <c r="C199" s="784"/>
      <c r="D199" s="784"/>
      <c r="E199" s="784"/>
      <c r="F199" s="784"/>
      <c r="G199" s="297"/>
      <c r="H199" s="341"/>
    </row>
    <row r="200" spans="1:8" ht="12" customHeight="1">
      <c r="A200" s="316"/>
      <c r="B200" s="303" t="s">
        <v>87</v>
      </c>
      <c r="C200" s="785">
        <v>560</v>
      </c>
      <c r="D200" s="785">
        <v>560</v>
      </c>
      <c r="E200" s="785">
        <v>560</v>
      </c>
      <c r="F200" s="785">
        <v>0</v>
      </c>
      <c r="G200" s="708">
        <f t="shared" si="49"/>
        <v>0</v>
      </c>
      <c r="H200" s="341"/>
    </row>
    <row r="201" spans="1:8" ht="12" customHeight="1">
      <c r="A201" s="316"/>
      <c r="B201" s="305" t="s">
        <v>245</v>
      </c>
      <c r="C201" s="785">
        <v>340</v>
      </c>
      <c r="D201" s="785">
        <v>340</v>
      </c>
      <c r="E201" s="785">
        <v>340</v>
      </c>
      <c r="F201" s="785">
        <v>0</v>
      </c>
      <c r="G201" s="708">
        <f t="shared" si="49"/>
        <v>0</v>
      </c>
      <c r="H201" s="578" t="s">
        <v>447</v>
      </c>
    </row>
    <row r="202" spans="1:8" ht="12" customHeight="1">
      <c r="A202" s="316"/>
      <c r="B202" s="306" t="s">
        <v>234</v>
      </c>
      <c r="C202" s="785">
        <f>2100+3000</f>
        <v>5100</v>
      </c>
      <c r="D202" s="785">
        <f>5677</f>
        <v>5677</v>
      </c>
      <c r="E202" s="785">
        <f>5677</f>
        <v>5677</v>
      </c>
      <c r="F202" s="785">
        <v>747</v>
      </c>
      <c r="G202" s="708">
        <f aca="true" t="shared" si="68" ref="G202:G265">F202/E202</f>
        <v>0.13158358287828079</v>
      </c>
      <c r="H202" s="341"/>
    </row>
    <row r="203" spans="1:8" ht="12" customHeight="1">
      <c r="A203" s="316"/>
      <c r="B203" s="307" t="s">
        <v>92</v>
      </c>
      <c r="C203" s="785"/>
      <c r="D203" s="785"/>
      <c r="E203" s="785"/>
      <c r="F203" s="785"/>
      <c r="G203" s="708"/>
      <c r="H203" s="342"/>
    </row>
    <row r="204" spans="1:8" ht="12" customHeight="1">
      <c r="A204" s="316"/>
      <c r="B204" s="307" t="s">
        <v>241</v>
      </c>
      <c r="C204" s="785"/>
      <c r="D204" s="785"/>
      <c r="E204" s="785"/>
      <c r="F204" s="785"/>
      <c r="G204" s="708"/>
      <c r="H204" s="341"/>
    </row>
    <row r="205" spans="1:8" ht="12" customHeight="1" thickBot="1">
      <c r="A205" s="316"/>
      <c r="B205" s="308" t="s">
        <v>60</v>
      </c>
      <c r="C205" s="795"/>
      <c r="D205" s="803"/>
      <c r="E205" s="803"/>
      <c r="F205" s="803"/>
      <c r="G205" s="708"/>
      <c r="H205" s="343"/>
    </row>
    <row r="206" spans="1:8" ht="12" customHeight="1" thickBot="1">
      <c r="A206" s="318"/>
      <c r="B206" s="311" t="s">
        <v>100</v>
      </c>
      <c r="C206" s="787">
        <f>SUM(C200:C205)</f>
        <v>6000</v>
      </c>
      <c r="D206" s="787">
        <f>SUM(D200:D205)</f>
        <v>6577</v>
      </c>
      <c r="E206" s="787">
        <f>SUM(E200:E205)</f>
        <v>6577</v>
      </c>
      <c r="F206" s="787">
        <f>SUM(F200:F205)</f>
        <v>747</v>
      </c>
      <c r="G206" s="707">
        <f t="shared" si="68"/>
        <v>0.11357761897521666</v>
      </c>
      <c r="H206" s="344"/>
    </row>
    <row r="207" spans="1:8" ht="12" customHeight="1">
      <c r="A207" s="320">
        <v>3146</v>
      </c>
      <c r="B207" s="300" t="s">
        <v>517</v>
      </c>
      <c r="C207" s="784"/>
      <c r="D207" s="784"/>
      <c r="E207" s="784"/>
      <c r="F207" s="784"/>
      <c r="G207" s="714"/>
      <c r="H207" s="425" t="s">
        <v>422</v>
      </c>
    </row>
    <row r="208" spans="1:8" ht="12" customHeight="1">
      <c r="A208" s="316"/>
      <c r="B208" s="303" t="s">
        <v>87</v>
      </c>
      <c r="C208" s="785">
        <v>1400</v>
      </c>
      <c r="D208" s="785">
        <v>1400</v>
      </c>
      <c r="E208" s="785">
        <f>1400+391</f>
        <v>1791</v>
      </c>
      <c r="F208" s="785">
        <v>1790</v>
      </c>
      <c r="G208" s="708">
        <f t="shared" si="68"/>
        <v>0.9994416527079844</v>
      </c>
      <c r="H208" s="425" t="s">
        <v>423</v>
      </c>
    </row>
    <row r="209" spans="1:8" ht="12" customHeight="1">
      <c r="A209" s="316"/>
      <c r="B209" s="305" t="s">
        <v>245</v>
      </c>
      <c r="C209" s="785">
        <v>500</v>
      </c>
      <c r="D209" s="785">
        <v>500</v>
      </c>
      <c r="E209" s="785">
        <f>500+152</f>
        <v>652</v>
      </c>
      <c r="F209" s="785">
        <v>640</v>
      </c>
      <c r="G209" s="708">
        <f t="shared" si="68"/>
        <v>0.9815950920245399</v>
      </c>
      <c r="H209" s="341"/>
    </row>
    <row r="210" spans="1:8" ht="12" customHeight="1">
      <c r="A210" s="316"/>
      <c r="B210" s="306" t="s">
        <v>234</v>
      </c>
      <c r="C210" s="785">
        <v>1400</v>
      </c>
      <c r="D210" s="785">
        <v>1400</v>
      </c>
      <c r="E210" s="785">
        <f>1400-787</f>
        <v>613</v>
      </c>
      <c r="F210" s="785">
        <v>391</v>
      </c>
      <c r="G210" s="708">
        <f t="shared" si="68"/>
        <v>0.6378466557911908</v>
      </c>
      <c r="H210" s="427"/>
    </row>
    <row r="211" spans="1:8" ht="12" customHeight="1">
      <c r="A211" s="316"/>
      <c r="B211" s="307" t="s">
        <v>92</v>
      </c>
      <c r="C211" s="785"/>
      <c r="D211" s="785"/>
      <c r="E211" s="785"/>
      <c r="F211" s="785"/>
      <c r="G211" s="708"/>
      <c r="H211" s="341"/>
    </row>
    <row r="212" spans="1:8" ht="12" customHeight="1">
      <c r="A212" s="316"/>
      <c r="B212" s="307" t="s">
        <v>241</v>
      </c>
      <c r="C212" s="785">
        <v>1700</v>
      </c>
      <c r="D212" s="785">
        <v>2177</v>
      </c>
      <c r="E212" s="785">
        <v>2177</v>
      </c>
      <c r="F212" s="785">
        <v>1341</v>
      </c>
      <c r="G212" s="708">
        <f t="shared" si="68"/>
        <v>0.6159853008727607</v>
      </c>
      <c r="H212" s="341"/>
    </row>
    <row r="213" spans="1:8" ht="12" customHeight="1">
      <c r="A213" s="316"/>
      <c r="B213" s="308" t="s">
        <v>206</v>
      </c>
      <c r="C213" s="785"/>
      <c r="D213" s="785"/>
      <c r="E213" s="785">
        <v>244</v>
      </c>
      <c r="F213" s="785">
        <v>244</v>
      </c>
      <c r="G213" s="708">
        <f t="shared" si="68"/>
        <v>1</v>
      </c>
      <c r="H213" s="351"/>
    </row>
    <row r="214" spans="1:8" ht="12" customHeight="1" thickBot="1">
      <c r="A214" s="316"/>
      <c r="B214" s="308" t="s">
        <v>222</v>
      </c>
      <c r="C214" s="795"/>
      <c r="D214" s="795"/>
      <c r="E214" s="795"/>
      <c r="F214" s="795"/>
      <c r="G214" s="710"/>
      <c r="H214" s="343"/>
    </row>
    <row r="215" spans="1:8" ht="12" customHeight="1" thickBot="1">
      <c r="A215" s="318"/>
      <c r="B215" s="311" t="s">
        <v>100</v>
      </c>
      <c r="C215" s="787">
        <f aca="true" t="shared" si="69" ref="C215">SUM(C208:C214)</f>
        <v>5000</v>
      </c>
      <c r="D215" s="787">
        <f aca="true" t="shared" si="70" ref="D215">SUM(D208:D214)</f>
        <v>5477</v>
      </c>
      <c r="E215" s="787">
        <f aca="true" t="shared" si="71" ref="E215:F215">SUM(E208:E214)</f>
        <v>5477</v>
      </c>
      <c r="F215" s="787">
        <f t="shared" si="71"/>
        <v>4406</v>
      </c>
      <c r="G215" s="707">
        <f t="shared" si="68"/>
        <v>0.8044549936096403</v>
      </c>
      <c r="H215" s="344"/>
    </row>
    <row r="216" spans="1:8" ht="12" customHeight="1">
      <c r="A216" s="320">
        <v>3147</v>
      </c>
      <c r="B216" s="300" t="s">
        <v>546</v>
      </c>
      <c r="C216" s="784"/>
      <c r="D216" s="784"/>
      <c r="E216" s="784"/>
      <c r="F216" s="784"/>
      <c r="G216" s="297"/>
      <c r="H216" s="425"/>
    </row>
    <row r="217" spans="1:8" ht="12" customHeight="1">
      <c r="A217" s="316"/>
      <c r="B217" s="303" t="s">
        <v>87</v>
      </c>
      <c r="C217" s="785"/>
      <c r="D217" s="785"/>
      <c r="E217" s="785"/>
      <c r="F217" s="785"/>
      <c r="G217" s="297"/>
      <c r="H217" s="341"/>
    </row>
    <row r="218" spans="1:8" ht="12" customHeight="1">
      <c r="A218" s="316"/>
      <c r="B218" s="305" t="s">
        <v>245</v>
      </c>
      <c r="C218" s="785"/>
      <c r="D218" s="785"/>
      <c r="E218" s="785"/>
      <c r="F218" s="785"/>
      <c r="G218" s="709"/>
      <c r="H218" s="341"/>
    </row>
    <row r="219" spans="1:8" ht="12" customHeight="1">
      <c r="A219" s="316"/>
      <c r="B219" s="306" t="s">
        <v>234</v>
      </c>
      <c r="C219" s="785">
        <v>25154</v>
      </c>
      <c r="D219" s="785">
        <f>25154+10760-12154</f>
        <v>23760</v>
      </c>
      <c r="E219" s="785">
        <f>23760+2000</f>
        <v>25760</v>
      </c>
      <c r="F219" s="785">
        <v>5569</v>
      </c>
      <c r="G219" s="708">
        <f t="shared" si="68"/>
        <v>0.21618788819875775</v>
      </c>
      <c r="H219" s="427"/>
    </row>
    <row r="220" spans="1:8" ht="12" customHeight="1">
      <c r="A220" s="316"/>
      <c r="B220" s="307" t="s">
        <v>92</v>
      </c>
      <c r="C220" s="785"/>
      <c r="D220" s="785"/>
      <c r="E220" s="785"/>
      <c r="F220" s="785"/>
      <c r="G220" s="708"/>
      <c r="H220" s="425" t="s">
        <v>448</v>
      </c>
    </row>
    <row r="221" spans="1:8" ht="12" customHeight="1">
      <c r="A221" s="316"/>
      <c r="B221" s="307" t="s">
        <v>241</v>
      </c>
      <c r="C221" s="785"/>
      <c r="D221" s="785"/>
      <c r="E221" s="785"/>
      <c r="F221" s="785"/>
      <c r="G221" s="708"/>
      <c r="H221" s="341"/>
    </row>
    <row r="222" spans="1:8" ht="12" customHeight="1">
      <c r="A222" s="316"/>
      <c r="B222" s="308" t="s">
        <v>206</v>
      </c>
      <c r="C222" s="785"/>
      <c r="D222" s="785"/>
      <c r="E222" s="785"/>
      <c r="F222" s="785"/>
      <c r="G222" s="708"/>
      <c r="H222" s="430"/>
    </row>
    <row r="223" spans="1:8" ht="12" customHeight="1" thickBot="1">
      <c r="A223" s="316"/>
      <c r="B223" s="308" t="s">
        <v>222</v>
      </c>
      <c r="C223" s="795"/>
      <c r="D223" s="795"/>
      <c r="E223" s="795"/>
      <c r="F223" s="795"/>
      <c r="G223" s="710"/>
      <c r="H223" s="796"/>
    </row>
    <row r="224" spans="1:8" ht="12" customHeight="1" thickBot="1">
      <c r="A224" s="318"/>
      <c r="B224" s="311" t="s">
        <v>100</v>
      </c>
      <c r="C224" s="787">
        <f aca="true" t="shared" si="72" ref="C224">SUM(C217:C223)</f>
        <v>25154</v>
      </c>
      <c r="D224" s="787">
        <f aca="true" t="shared" si="73" ref="D224">SUM(D217:D223)</f>
        <v>23760</v>
      </c>
      <c r="E224" s="1038">
        <f aca="true" t="shared" si="74" ref="E224:F224">SUM(E217:E223)</f>
        <v>25760</v>
      </c>
      <c r="F224" s="1038">
        <f t="shared" si="74"/>
        <v>5569</v>
      </c>
      <c r="G224" s="707">
        <f t="shared" si="68"/>
        <v>0.21618788819875775</v>
      </c>
      <c r="H224" s="344"/>
    </row>
    <row r="225" spans="1:8" ht="12" customHeight="1">
      <c r="A225" s="320">
        <v>3148</v>
      </c>
      <c r="B225" s="300" t="s">
        <v>720</v>
      </c>
      <c r="C225" s="784"/>
      <c r="D225" s="784"/>
      <c r="E225" s="784"/>
      <c r="F225" s="784"/>
      <c r="G225" s="297"/>
      <c r="H225" s="425"/>
    </row>
    <row r="226" spans="1:8" ht="12" customHeight="1">
      <c r="A226" s="316"/>
      <c r="B226" s="303" t="s">
        <v>87</v>
      </c>
      <c r="C226" s="785"/>
      <c r="D226" s="785"/>
      <c r="E226" s="785"/>
      <c r="F226" s="785"/>
      <c r="G226" s="297"/>
      <c r="H226" s="341"/>
    </row>
    <row r="227" spans="1:8" ht="12" customHeight="1">
      <c r="A227" s="316"/>
      <c r="B227" s="305" t="s">
        <v>245</v>
      </c>
      <c r="C227" s="785"/>
      <c r="D227" s="785"/>
      <c r="E227" s="785"/>
      <c r="F227" s="785"/>
      <c r="G227" s="709"/>
      <c r="H227" s="341"/>
    </row>
    <row r="228" spans="1:8" ht="12" customHeight="1">
      <c r="A228" s="316"/>
      <c r="B228" s="306" t="s">
        <v>234</v>
      </c>
      <c r="C228" s="785"/>
      <c r="D228" s="785">
        <v>1000</v>
      </c>
      <c r="E228" s="785">
        <v>1000</v>
      </c>
      <c r="F228" s="785">
        <v>0</v>
      </c>
      <c r="G228" s="708">
        <f t="shared" si="68"/>
        <v>0</v>
      </c>
      <c r="H228" s="427"/>
    </row>
    <row r="229" spans="1:8" ht="12" customHeight="1">
      <c r="A229" s="316"/>
      <c r="B229" s="307" t="s">
        <v>92</v>
      </c>
      <c r="C229" s="785"/>
      <c r="D229" s="785"/>
      <c r="E229" s="785"/>
      <c r="F229" s="785"/>
      <c r="G229" s="708"/>
      <c r="H229" s="425"/>
    </row>
    <row r="230" spans="1:8" ht="12" customHeight="1">
      <c r="A230" s="316"/>
      <c r="B230" s="307" t="s">
        <v>241</v>
      </c>
      <c r="C230" s="785"/>
      <c r="D230" s="785"/>
      <c r="E230" s="785"/>
      <c r="F230" s="785"/>
      <c r="G230" s="708"/>
      <c r="H230" s="341"/>
    </row>
    <row r="231" spans="1:8" ht="12" customHeight="1">
      <c r="A231" s="316"/>
      <c r="B231" s="308" t="s">
        <v>206</v>
      </c>
      <c r="C231" s="785"/>
      <c r="D231" s="785"/>
      <c r="E231" s="785"/>
      <c r="F231" s="785"/>
      <c r="G231" s="708"/>
      <c r="H231" s="430"/>
    </row>
    <row r="232" spans="1:8" ht="12" customHeight="1" thickBot="1">
      <c r="A232" s="316"/>
      <c r="B232" s="1016" t="s">
        <v>222</v>
      </c>
      <c r="C232" s="795"/>
      <c r="D232" s="795"/>
      <c r="E232" s="795"/>
      <c r="F232" s="795"/>
      <c r="G232" s="710"/>
      <c r="H232" s="796"/>
    </row>
    <row r="233" spans="1:8" ht="12" customHeight="1" thickBot="1">
      <c r="A233" s="320"/>
      <c r="B233" s="1019" t="s">
        <v>100</v>
      </c>
      <c r="C233" s="784"/>
      <c r="D233" s="784">
        <f>SUM(D226:D232)</f>
        <v>1000</v>
      </c>
      <c r="E233" s="784">
        <f>SUM(E226:E232)</f>
        <v>1000</v>
      </c>
      <c r="F233" s="784">
        <f>SUM(F226:F232)</f>
        <v>0</v>
      </c>
      <c r="G233" s="297">
        <f t="shared" si="68"/>
        <v>0</v>
      </c>
      <c r="H233" s="425"/>
    </row>
    <row r="234" spans="1:8" ht="12.75" thickBot="1">
      <c r="A234" s="335"/>
      <c r="B234" s="345" t="s">
        <v>31</v>
      </c>
      <c r="C234" s="791">
        <f>SUM(C261+C279+C297+C325+C305+C314+C336+C253+C345+C242+C269+C353)</f>
        <v>3425017</v>
      </c>
      <c r="D234" s="791">
        <f>SUM(D261+D279+D297+D325+D305+D314+D336+D253+D345+D242+D269+D353)</f>
        <v>3711423</v>
      </c>
      <c r="E234" s="791">
        <f>SUM(E261+E279+E297+E325+E305+E314+E336+E253+E345+E242+E269+E353)</f>
        <v>3712605</v>
      </c>
      <c r="F234" s="791">
        <f>SUM(F261+F279+F297+F325+F305+F314+F336+F253+F345+F242+F269+F353)</f>
        <v>2512806</v>
      </c>
      <c r="G234" s="707">
        <f t="shared" si="68"/>
        <v>0.6768309583163304</v>
      </c>
      <c r="H234" s="326"/>
    </row>
    <row r="235" spans="1:8" ht="12.75">
      <c r="A235" s="262">
        <v>3200</v>
      </c>
      <c r="B235" s="346" t="s">
        <v>336</v>
      </c>
      <c r="C235" s="270"/>
      <c r="D235" s="270"/>
      <c r="E235" s="270"/>
      <c r="F235" s="270"/>
      <c r="G235" s="297"/>
      <c r="H235" s="295"/>
    </row>
    <row r="236" spans="1:8" ht="12.75">
      <c r="A236" s="273"/>
      <c r="B236" s="274" t="s">
        <v>87</v>
      </c>
      <c r="C236" s="214">
        <f>193347+29970</f>
        <v>223317</v>
      </c>
      <c r="D236" s="214">
        <f>193347+29970</f>
        <v>223317</v>
      </c>
      <c r="E236" s="214">
        <f>193347+29970</f>
        <v>223317</v>
      </c>
      <c r="F236" s="214">
        <v>168756</v>
      </c>
      <c r="G236" s="708">
        <f t="shared" si="68"/>
        <v>0.7556791466838619</v>
      </c>
      <c r="H236" s="64"/>
    </row>
    <row r="237" spans="1:8" ht="12.75">
      <c r="A237" s="273"/>
      <c r="B237" s="149" t="s">
        <v>245</v>
      </c>
      <c r="C237" s="214">
        <f>19142+2645</f>
        <v>21787</v>
      </c>
      <c r="D237" s="214">
        <f>21787+16</f>
        <v>21803</v>
      </c>
      <c r="E237" s="214">
        <f>21787+16</f>
        <v>21803</v>
      </c>
      <c r="F237" s="214">
        <v>15947</v>
      </c>
      <c r="G237" s="708">
        <f t="shared" si="68"/>
        <v>0.7314131082878503</v>
      </c>
      <c r="H237" s="427"/>
    </row>
    <row r="238" spans="1:8" ht="12.75">
      <c r="A238" s="209"/>
      <c r="B238" s="275" t="s">
        <v>234</v>
      </c>
      <c r="C238" s="214">
        <f>175-48</f>
        <v>127</v>
      </c>
      <c r="D238" s="214">
        <f>175-48</f>
        <v>127</v>
      </c>
      <c r="E238" s="214">
        <f>175-48</f>
        <v>127</v>
      </c>
      <c r="F238" s="214">
        <v>95</v>
      </c>
      <c r="G238" s="708">
        <f t="shared" si="68"/>
        <v>0.7480314960629921</v>
      </c>
      <c r="H238" s="427"/>
    </row>
    <row r="239" spans="1:8" ht="12.75">
      <c r="A239" s="209"/>
      <c r="B239" s="215" t="s">
        <v>92</v>
      </c>
      <c r="C239" s="214"/>
      <c r="D239" s="214"/>
      <c r="E239" s="214"/>
      <c r="F239" s="214"/>
      <c r="G239" s="708"/>
      <c r="H239" s="427"/>
    </row>
    <row r="240" spans="1:8" ht="12.75">
      <c r="A240" s="273"/>
      <c r="B240" s="215" t="s">
        <v>241</v>
      </c>
      <c r="C240" s="214"/>
      <c r="D240" s="214"/>
      <c r="E240" s="214"/>
      <c r="F240" s="214"/>
      <c r="G240" s="708"/>
      <c r="H240" s="429"/>
    </row>
    <row r="241" spans="1:8" ht="12.75" thickBot="1">
      <c r="A241" s="209"/>
      <c r="B241" s="308" t="s">
        <v>60</v>
      </c>
      <c r="C241" s="790"/>
      <c r="D241" s="790"/>
      <c r="E241" s="790"/>
      <c r="F241" s="790"/>
      <c r="G241" s="710"/>
      <c r="H241" s="324"/>
    </row>
    <row r="242" spans="1:8" ht="12.75" thickBot="1">
      <c r="A242" s="65"/>
      <c r="B242" s="311" t="s">
        <v>100</v>
      </c>
      <c r="C242" s="791">
        <f>SUM(C236:C241)</f>
        <v>245231</v>
      </c>
      <c r="D242" s="791">
        <f>SUM(D236:D241)</f>
        <v>245247</v>
      </c>
      <c r="E242" s="791">
        <f>SUM(E236:E241)</f>
        <v>245247</v>
      </c>
      <c r="F242" s="791">
        <f>SUM(F236:F241)</f>
        <v>184798</v>
      </c>
      <c r="G242" s="707">
        <f t="shared" si="68"/>
        <v>0.7535178819720527</v>
      </c>
      <c r="H242" s="326"/>
    </row>
    <row r="243" spans="1:8" ht="12.75">
      <c r="A243" s="65"/>
      <c r="B243" s="728" t="s">
        <v>564</v>
      </c>
      <c r="C243" s="883">
        <v>49109</v>
      </c>
      <c r="D243" s="964">
        <v>49109</v>
      </c>
      <c r="E243" s="964">
        <v>49109</v>
      </c>
      <c r="F243" s="964"/>
      <c r="G243" s="708">
        <f t="shared" si="68"/>
        <v>0</v>
      </c>
      <c r="H243" s="295"/>
    </row>
    <row r="244" spans="1:8" ht="12.75">
      <c r="A244" s="262"/>
      <c r="B244" s="729" t="s">
        <v>565</v>
      </c>
      <c r="C244" s="928">
        <v>116765</v>
      </c>
      <c r="D244" s="964">
        <f>116765+16</f>
        <v>116781</v>
      </c>
      <c r="E244" s="964">
        <f>116765+16</f>
        <v>116781</v>
      </c>
      <c r="F244" s="964"/>
      <c r="G244" s="708">
        <f t="shared" si="68"/>
        <v>0</v>
      </c>
      <c r="H244" s="298"/>
    </row>
    <row r="245" spans="1:8" ht="12.75" thickBot="1">
      <c r="A245" s="281"/>
      <c r="B245" s="730" t="s">
        <v>566</v>
      </c>
      <c r="C245" s="929">
        <v>79357</v>
      </c>
      <c r="D245" s="929">
        <v>79357</v>
      </c>
      <c r="E245" s="929">
        <v>79357</v>
      </c>
      <c r="F245" s="929"/>
      <c r="G245" s="711">
        <f t="shared" si="68"/>
        <v>0</v>
      </c>
      <c r="H245" s="613"/>
    </row>
    <row r="246" spans="1:8" ht="12.75">
      <c r="A246" s="262">
        <v>3201</v>
      </c>
      <c r="B246" s="330" t="s">
        <v>296</v>
      </c>
      <c r="C246" s="270"/>
      <c r="D246" s="270"/>
      <c r="E246" s="270"/>
      <c r="F246" s="270"/>
      <c r="G246" s="297"/>
      <c r="H246" s="295"/>
    </row>
    <row r="247" spans="1:8" ht="12.75">
      <c r="A247" s="262"/>
      <c r="B247" s="275" t="s">
        <v>87</v>
      </c>
      <c r="C247" s="792">
        <v>12500</v>
      </c>
      <c r="D247" s="792">
        <f>12500+3850</f>
        <v>16350</v>
      </c>
      <c r="E247" s="792">
        <f>16350</f>
        <v>16350</v>
      </c>
      <c r="F247" s="792">
        <v>17298</v>
      </c>
      <c r="G247" s="708">
        <f t="shared" si="68"/>
        <v>1.0579816513761469</v>
      </c>
      <c r="H247" s="427"/>
    </row>
    <row r="248" spans="1:8" ht="12.75">
      <c r="A248" s="262"/>
      <c r="B248" s="149" t="s">
        <v>245</v>
      </c>
      <c r="C248" s="792">
        <v>2000</v>
      </c>
      <c r="D248" s="792">
        <f>2000+765</f>
        <v>2765</v>
      </c>
      <c r="E248" s="792">
        <f>2765+728</f>
        <v>3493</v>
      </c>
      <c r="F248" s="792">
        <v>1711</v>
      </c>
      <c r="G248" s="708">
        <f t="shared" si="68"/>
        <v>0.4898368164901231</v>
      </c>
      <c r="H248" s="427"/>
    </row>
    <row r="249" spans="1:8" ht="12.75">
      <c r="A249" s="262"/>
      <c r="B249" s="275" t="s">
        <v>234</v>
      </c>
      <c r="C249" s="792">
        <v>55500</v>
      </c>
      <c r="D249" s="792">
        <f>55500+15557+7000</f>
        <v>78057</v>
      </c>
      <c r="E249" s="792">
        <f>78057-915</f>
        <v>77142</v>
      </c>
      <c r="F249" s="792">
        <v>41269</v>
      </c>
      <c r="G249" s="708"/>
      <c r="H249" s="427"/>
    </row>
    <row r="250" spans="1:8" ht="12.75">
      <c r="A250" s="262"/>
      <c r="B250" s="347" t="s">
        <v>92</v>
      </c>
      <c r="C250" s="792"/>
      <c r="D250" s="792"/>
      <c r="E250" s="792"/>
      <c r="F250" s="792"/>
      <c r="G250" s="708"/>
      <c r="H250" s="427"/>
    </row>
    <row r="251" spans="1:8" ht="12.75">
      <c r="A251" s="262"/>
      <c r="B251" s="347" t="s">
        <v>241</v>
      </c>
      <c r="C251" s="792"/>
      <c r="D251" s="792"/>
      <c r="E251" s="792"/>
      <c r="F251" s="792"/>
      <c r="G251" s="708"/>
      <c r="H251" s="427"/>
    </row>
    <row r="252" spans="1:8" ht="12.75" thickBot="1">
      <c r="A252" s="262"/>
      <c r="B252" s="308" t="s">
        <v>206</v>
      </c>
      <c r="C252" s="794"/>
      <c r="D252" s="770">
        <v>5331</v>
      </c>
      <c r="E252" s="770">
        <f>5331+187</f>
        <v>5518</v>
      </c>
      <c r="F252" s="770">
        <v>187</v>
      </c>
      <c r="G252" s="708">
        <f t="shared" si="68"/>
        <v>0.03388909025009061</v>
      </c>
      <c r="H252" s="298"/>
    </row>
    <row r="253" spans="1:8" ht="12.75" thickBot="1">
      <c r="A253" s="281"/>
      <c r="B253" s="311" t="s">
        <v>100</v>
      </c>
      <c r="C253" s="791">
        <f>SUM(C247:C252)</f>
        <v>70000</v>
      </c>
      <c r="D253" s="791">
        <f>SUM(D247:D252)</f>
        <v>102503</v>
      </c>
      <c r="E253" s="791">
        <f>SUM(E247:E252)</f>
        <v>102503</v>
      </c>
      <c r="F253" s="791">
        <f>SUM(F247:F252)</f>
        <v>60465</v>
      </c>
      <c r="G253" s="707">
        <f t="shared" si="68"/>
        <v>0.5898851740924655</v>
      </c>
      <c r="H253" s="326"/>
    </row>
    <row r="254" spans="1:8" ht="12.75">
      <c r="A254" s="65">
        <v>3202</v>
      </c>
      <c r="B254" s="280" t="s">
        <v>518</v>
      </c>
      <c r="C254" s="270"/>
      <c r="D254" s="270"/>
      <c r="E254" s="270"/>
      <c r="F254" s="270"/>
      <c r="G254" s="297"/>
      <c r="H254" s="425" t="s">
        <v>417</v>
      </c>
    </row>
    <row r="255" spans="1:8" ht="12.75">
      <c r="A255" s="65"/>
      <c r="B255" s="274" t="s">
        <v>87</v>
      </c>
      <c r="C255" s="792">
        <v>1500</v>
      </c>
      <c r="D255" s="792">
        <v>1500</v>
      </c>
      <c r="E255" s="792">
        <v>1500</v>
      </c>
      <c r="F255" s="792">
        <v>8</v>
      </c>
      <c r="G255" s="708">
        <f t="shared" si="68"/>
        <v>0.005333333333333333</v>
      </c>
      <c r="H255" s="298" t="s">
        <v>418</v>
      </c>
    </row>
    <row r="256" spans="1:8" ht="12.75">
      <c r="A256" s="65"/>
      <c r="B256" s="149" t="s">
        <v>245</v>
      </c>
      <c r="C256" s="792">
        <v>700</v>
      </c>
      <c r="D256" s="792">
        <v>700</v>
      </c>
      <c r="E256" s="792">
        <v>700</v>
      </c>
      <c r="F256" s="792">
        <v>0</v>
      </c>
      <c r="G256" s="708">
        <f t="shared" si="68"/>
        <v>0</v>
      </c>
      <c r="H256" s="337"/>
    </row>
    <row r="257" spans="1:8" ht="12.75">
      <c r="A257" s="65"/>
      <c r="B257" s="275" t="s">
        <v>234</v>
      </c>
      <c r="C257" s="792">
        <v>1800</v>
      </c>
      <c r="D257" s="792">
        <v>1800</v>
      </c>
      <c r="E257" s="792">
        <f>1800-500</f>
        <v>1300</v>
      </c>
      <c r="F257" s="792">
        <v>189</v>
      </c>
      <c r="G257" s="708">
        <f t="shared" si="68"/>
        <v>0.1453846153846154</v>
      </c>
      <c r="H257" s="578" t="s">
        <v>447</v>
      </c>
    </row>
    <row r="258" spans="1:8" ht="12.75">
      <c r="A258" s="65"/>
      <c r="B258" s="215" t="s">
        <v>92</v>
      </c>
      <c r="C258" s="792"/>
      <c r="D258" s="792"/>
      <c r="E258" s="792"/>
      <c r="F258" s="792"/>
      <c r="G258" s="708"/>
      <c r="H258" s="337"/>
    </row>
    <row r="259" spans="1:8" ht="12.75">
      <c r="A259" s="65"/>
      <c r="B259" s="215" t="s">
        <v>241</v>
      </c>
      <c r="C259" s="792">
        <v>1000</v>
      </c>
      <c r="D259" s="792">
        <v>1000</v>
      </c>
      <c r="E259" s="792">
        <f>1000+500</f>
        <v>1500</v>
      </c>
      <c r="F259" s="792">
        <v>1500</v>
      </c>
      <c r="G259" s="708">
        <f t="shared" si="68"/>
        <v>1</v>
      </c>
      <c r="H259" s="337"/>
    </row>
    <row r="260" spans="1:8" ht="12.75" thickBot="1">
      <c r="A260" s="65"/>
      <c r="B260" s="308" t="s">
        <v>222</v>
      </c>
      <c r="C260" s="794"/>
      <c r="D260" s="794"/>
      <c r="E260" s="794"/>
      <c r="F260" s="794"/>
      <c r="G260" s="710"/>
      <c r="H260" s="324"/>
    </row>
    <row r="261" spans="1:8" ht="12.75" thickBot="1">
      <c r="A261" s="281"/>
      <c r="B261" s="311" t="s">
        <v>100</v>
      </c>
      <c r="C261" s="791">
        <f aca="true" t="shared" si="75" ref="C261">SUM(C255:C260)</f>
        <v>5000</v>
      </c>
      <c r="D261" s="791">
        <f aca="true" t="shared" si="76" ref="D261">SUM(D255:D260)</f>
        <v>5000</v>
      </c>
      <c r="E261" s="791">
        <f aca="true" t="shared" si="77" ref="E261:F261">SUM(E255:E260)</f>
        <v>5000</v>
      </c>
      <c r="F261" s="791">
        <f t="shared" si="77"/>
        <v>1697</v>
      </c>
      <c r="G261" s="707">
        <f t="shared" si="68"/>
        <v>0.3394</v>
      </c>
      <c r="H261" s="326"/>
    </row>
    <row r="262" spans="1:8" ht="12" customHeight="1">
      <c r="A262" s="65">
        <v>3204</v>
      </c>
      <c r="B262" s="333" t="s">
        <v>319</v>
      </c>
      <c r="C262" s="270"/>
      <c r="D262" s="270"/>
      <c r="E262" s="270"/>
      <c r="F262" s="270"/>
      <c r="G262" s="297"/>
      <c r="H262" s="321"/>
    </row>
    <row r="263" spans="1:8" ht="12" customHeight="1">
      <c r="A263" s="273"/>
      <c r="B263" s="274" t="s">
        <v>87</v>
      </c>
      <c r="C263" s="214"/>
      <c r="D263" s="214"/>
      <c r="E263" s="214"/>
      <c r="F263" s="214"/>
      <c r="G263" s="297"/>
      <c r="H263" s="298"/>
    </row>
    <row r="264" spans="1:8" ht="12" customHeight="1">
      <c r="A264" s="273"/>
      <c r="B264" s="149" t="s">
        <v>245</v>
      </c>
      <c r="C264" s="214"/>
      <c r="D264" s="214"/>
      <c r="E264" s="214"/>
      <c r="F264" s="214"/>
      <c r="G264" s="297"/>
      <c r="H264" s="576" t="s">
        <v>416</v>
      </c>
    </row>
    <row r="265" spans="1:8" ht="12" customHeight="1">
      <c r="A265" s="273"/>
      <c r="B265" s="275" t="s">
        <v>234</v>
      </c>
      <c r="C265" s="214">
        <v>18000</v>
      </c>
      <c r="D265" s="214">
        <v>19074</v>
      </c>
      <c r="E265" s="214">
        <v>19074</v>
      </c>
      <c r="F265" s="214">
        <v>10045</v>
      </c>
      <c r="G265" s="708">
        <f t="shared" si="68"/>
        <v>0.5266331131383034</v>
      </c>
      <c r="H265" s="472" t="s">
        <v>438</v>
      </c>
    </row>
    <row r="266" spans="1:8" ht="12" customHeight="1">
      <c r="A266" s="273"/>
      <c r="B266" s="215" t="s">
        <v>241</v>
      </c>
      <c r="C266" s="214"/>
      <c r="D266" s="214"/>
      <c r="E266" s="214"/>
      <c r="F266" s="214"/>
      <c r="G266" s="297"/>
      <c r="H266" s="340"/>
    </row>
    <row r="267" spans="1:8" ht="12" customHeight="1">
      <c r="A267" s="273"/>
      <c r="B267" s="215" t="s">
        <v>92</v>
      </c>
      <c r="C267" s="214"/>
      <c r="D267" s="214"/>
      <c r="E267" s="214"/>
      <c r="F267" s="214"/>
      <c r="G267" s="297"/>
      <c r="H267" s="427"/>
    </row>
    <row r="268" spans="1:8" ht="12" customHeight="1" thickBot="1">
      <c r="A268" s="273"/>
      <c r="B268" s="308" t="s">
        <v>206</v>
      </c>
      <c r="C268" s="790"/>
      <c r="D268" s="790"/>
      <c r="E268" s="790"/>
      <c r="F268" s="790"/>
      <c r="G268" s="713"/>
      <c r="H268" s="797"/>
    </row>
    <row r="269" spans="1:8" ht="12" customHeight="1" thickBot="1">
      <c r="A269" s="281"/>
      <c r="B269" s="311" t="s">
        <v>100</v>
      </c>
      <c r="C269" s="791">
        <f aca="true" t="shared" si="78" ref="C269">SUM(C263:C268)</f>
        <v>18000</v>
      </c>
      <c r="D269" s="791">
        <f aca="true" t="shared" si="79" ref="D269">SUM(D263:D268)</f>
        <v>19074</v>
      </c>
      <c r="E269" s="791">
        <f aca="true" t="shared" si="80" ref="E269:F269">SUM(E263:E268)</f>
        <v>19074</v>
      </c>
      <c r="F269" s="791">
        <f t="shared" si="80"/>
        <v>10045</v>
      </c>
      <c r="G269" s="707">
        <f aca="true" t="shared" si="81" ref="G269:G328">F269/E269</f>
        <v>0.5266331131383034</v>
      </c>
      <c r="H269" s="326"/>
    </row>
    <row r="270" spans="1:8" ht="12" customHeight="1">
      <c r="A270" s="65">
        <v>3205</v>
      </c>
      <c r="B270" s="333" t="s">
        <v>297</v>
      </c>
      <c r="C270" s="270"/>
      <c r="D270" s="270"/>
      <c r="E270" s="270"/>
      <c r="F270" s="270"/>
      <c r="G270" s="297"/>
      <c r="H270" s="321" t="s">
        <v>415</v>
      </c>
    </row>
    <row r="271" spans="1:8" ht="12" customHeight="1">
      <c r="A271" s="273"/>
      <c r="B271" s="274" t="s">
        <v>87</v>
      </c>
      <c r="C271" s="214">
        <v>4000</v>
      </c>
      <c r="D271" s="214">
        <v>4230</v>
      </c>
      <c r="E271" s="214">
        <v>4230</v>
      </c>
      <c r="F271" s="214">
        <v>1072</v>
      </c>
      <c r="G271" s="708">
        <f t="shared" si="81"/>
        <v>0.25342789598108745</v>
      </c>
      <c r="H271" s="298" t="s">
        <v>122</v>
      </c>
    </row>
    <row r="272" spans="1:8" ht="12" customHeight="1">
      <c r="A272" s="273"/>
      <c r="B272" s="149" t="s">
        <v>245</v>
      </c>
      <c r="C272" s="214">
        <v>1000</v>
      </c>
      <c r="D272" s="214">
        <v>1060</v>
      </c>
      <c r="E272" s="214">
        <v>1060</v>
      </c>
      <c r="F272" s="214">
        <v>114</v>
      </c>
      <c r="G272" s="708">
        <f t="shared" si="81"/>
        <v>0.10754716981132076</v>
      </c>
      <c r="H272" s="322"/>
    </row>
    <row r="273" spans="1:8" ht="12" customHeight="1">
      <c r="A273" s="209"/>
      <c r="B273" s="275" t="s">
        <v>234</v>
      </c>
      <c r="C273" s="214">
        <v>9500</v>
      </c>
      <c r="D273" s="214">
        <f>9500+12335</f>
        <v>21835</v>
      </c>
      <c r="E273" s="214">
        <f>21835+1182+11100</f>
        <v>34117</v>
      </c>
      <c r="F273" s="214">
        <v>16298</v>
      </c>
      <c r="G273" s="708">
        <f t="shared" si="81"/>
        <v>0.47770905999941377</v>
      </c>
      <c r="H273" s="426"/>
    </row>
    <row r="274" spans="1:8" ht="12" customHeight="1">
      <c r="A274" s="209"/>
      <c r="B274" s="215" t="s">
        <v>92</v>
      </c>
      <c r="C274" s="214"/>
      <c r="D274" s="214"/>
      <c r="E274" s="214"/>
      <c r="F274" s="214"/>
      <c r="G274" s="708"/>
      <c r="H274" s="426"/>
    </row>
    <row r="275" spans="1:8" ht="12" customHeight="1">
      <c r="A275" s="209"/>
      <c r="B275" s="215" t="s">
        <v>241</v>
      </c>
      <c r="C275" s="214">
        <v>10000</v>
      </c>
      <c r="D275" s="214">
        <v>17469</v>
      </c>
      <c r="E275" s="214">
        <v>17469</v>
      </c>
      <c r="F275" s="214">
        <v>6518</v>
      </c>
      <c r="G275" s="708">
        <f t="shared" si="81"/>
        <v>0.3731180949109852</v>
      </c>
      <c r="H275" s="323"/>
    </row>
    <row r="276" spans="1:8" ht="12" customHeight="1">
      <c r="A276" s="209"/>
      <c r="B276" s="215" t="s">
        <v>92</v>
      </c>
      <c r="C276" s="214"/>
      <c r="D276" s="214"/>
      <c r="E276" s="214"/>
      <c r="F276" s="214"/>
      <c r="G276" s="708"/>
      <c r="H276" s="323"/>
    </row>
    <row r="277" spans="1:8" ht="12" customHeight="1">
      <c r="A277" s="209"/>
      <c r="B277" s="215" t="s">
        <v>10</v>
      </c>
      <c r="C277" s="214"/>
      <c r="D277" s="214"/>
      <c r="E277" s="214">
        <v>292</v>
      </c>
      <c r="F277" s="214">
        <v>0</v>
      </c>
      <c r="G277" s="708">
        <f t="shared" si="81"/>
        <v>0</v>
      </c>
      <c r="H277" s="323"/>
    </row>
    <row r="278" spans="1:8" ht="12" customHeight="1" thickBot="1">
      <c r="A278" s="209"/>
      <c r="B278" s="308" t="s">
        <v>222</v>
      </c>
      <c r="C278" s="790">
        <v>40000</v>
      </c>
      <c r="D278" s="765">
        <v>44199</v>
      </c>
      <c r="E278" s="765">
        <f>44199-11392</f>
        <v>32807</v>
      </c>
      <c r="F278" s="765">
        <v>2413</v>
      </c>
      <c r="G278" s="708">
        <f t="shared" si="81"/>
        <v>0.07355137623068247</v>
      </c>
      <c r="H278" s="532"/>
    </row>
    <row r="279" spans="1:8" ht="12" customHeight="1" thickBot="1">
      <c r="A279" s="281"/>
      <c r="B279" s="311" t="s">
        <v>100</v>
      </c>
      <c r="C279" s="791">
        <f>SUM(C271:C278)</f>
        <v>64500</v>
      </c>
      <c r="D279" s="791">
        <f>SUM(D271:D278)</f>
        <v>88793</v>
      </c>
      <c r="E279" s="791">
        <f>SUM(E271:E278)</f>
        <v>89975</v>
      </c>
      <c r="F279" s="791">
        <f>SUM(F271:F278)</f>
        <v>26415</v>
      </c>
      <c r="G279" s="707">
        <f t="shared" si="81"/>
        <v>0.2935815504306752</v>
      </c>
      <c r="H279" s="349"/>
    </row>
    <row r="280" spans="1:8" ht="12" customHeight="1">
      <c r="A280" s="65">
        <v>3206</v>
      </c>
      <c r="B280" s="333" t="s">
        <v>548</v>
      </c>
      <c r="C280" s="270"/>
      <c r="D280" s="270"/>
      <c r="E280" s="270"/>
      <c r="F280" s="270"/>
      <c r="G280" s="297"/>
      <c r="H280" s="321"/>
    </row>
    <row r="281" spans="1:8" ht="12" customHeight="1">
      <c r="A281" s="273"/>
      <c r="B281" s="274" t="s">
        <v>87</v>
      </c>
      <c r="C281" s="214"/>
      <c r="D281" s="214"/>
      <c r="E281" s="214">
        <v>30</v>
      </c>
      <c r="F281" s="214">
        <v>30</v>
      </c>
      <c r="G281" s="708">
        <f t="shared" si="81"/>
        <v>1</v>
      </c>
      <c r="H281" s="298"/>
    </row>
    <row r="282" spans="1:8" ht="12" customHeight="1">
      <c r="A282" s="273"/>
      <c r="B282" s="149" t="s">
        <v>245</v>
      </c>
      <c r="C282" s="214"/>
      <c r="D282" s="214"/>
      <c r="E282" s="214">
        <v>4</v>
      </c>
      <c r="F282" s="214">
        <v>3</v>
      </c>
      <c r="G282" s="708">
        <f t="shared" si="81"/>
        <v>0.75</v>
      </c>
      <c r="H282" s="322"/>
    </row>
    <row r="283" spans="1:8" ht="12" customHeight="1">
      <c r="A283" s="209"/>
      <c r="B283" s="275" t="s">
        <v>234</v>
      </c>
      <c r="C283" s="214"/>
      <c r="D283" s="214"/>
      <c r="E283" s="214">
        <v>9</v>
      </c>
      <c r="F283" s="214">
        <v>9</v>
      </c>
      <c r="G283" s="708">
        <f t="shared" si="81"/>
        <v>1</v>
      </c>
      <c r="H283" s="426"/>
    </row>
    <row r="284" spans="1:8" ht="12" customHeight="1">
      <c r="A284" s="209"/>
      <c r="B284" s="215" t="s">
        <v>92</v>
      </c>
      <c r="C284" s="214"/>
      <c r="D284" s="214"/>
      <c r="E284" s="214"/>
      <c r="F284" s="214"/>
      <c r="G284" s="708"/>
      <c r="H284" s="426"/>
    </row>
    <row r="285" spans="1:8" ht="12" customHeight="1">
      <c r="A285" s="209"/>
      <c r="B285" s="215" t="s">
        <v>241</v>
      </c>
      <c r="C285" s="214"/>
      <c r="D285" s="214"/>
      <c r="E285" s="214"/>
      <c r="F285" s="214"/>
      <c r="G285" s="708"/>
      <c r="H285" s="323"/>
    </row>
    <row r="286" spans="1:8" ht="12" customHeight="1">
      <c r="A286" s="209"/>
      <c r="B286" s="215" t="s">
        <v>92</v>
      </c>
      <c r="C286" s="214"/>
      <c r="D286" s="214"/>
      <c r="E286" s="214"/>
      <c r="F286" s="214"/>
      <c r="G286" s="708"/>
      <c r="H286" s="323"/>
    </row>
    <row r="287" spans="1:8" ht="12" customHeight="1">
      <c r="A287" s="209"/>
      <c r="B287" s="215" t="s">
        <v>10</v>
      </c>
      <c r="C287" s="214">
        <v>5000</v>
      </c>
      <c r="D287" s="214">
        <v>5000</v>
      </c>
      <c r="E287" s="214">
        <f>5000-43</f>
        <v>4957</v>
      </c>
      <c r="F287" s="214">
        <v>0</v>
      </c>
      <c r="G287" s="708">
        <f t="shared" si="81"/>
        <v>0</v>
      </c>
      <c r="H287" s="323"/>
    </row>
    <row r="288" spans="1:8" ht="12" customHeight="1" thickBot="1">
      <c r="A288" s="209"/>
      <c r="B288" s="308" t="s">
        <v>222</v>
      </c>
      <c r="C288" s="790">
        <v>5000</v>
      </c>
      <c r="D288" s="765">
        <v>5000</v>
      </c>
      <c r="E288" s="765">
        <v>5000</v>
      </c>
      <c r="F288" s="765">
        <v>0</v>
      </c>
      <c r="G288" s="708">
        <f t="shared" si="81"/>
        <v>0</v>
      </c>
      <c r="H288" s="532"/>
    </row>
    <row r="289" spans="1:8" ht="12" customHeight="1" thickBot="1">
      <c r="A289" s="281"/>
      <c r="B289" s="311" t="s">
        <v>100</v>
      </c>
      <c r="C289" s="793">
        <f aca="true" t="shared" si="82" ref="C289">SUM(C281:C288)</f>
        <v>10000</v>
      </c>
      <c r="D289" s="791">
        <f aca="true" t="shared" si="83" ref="D289">SUM(D281:D288)</f>
        <v>10000</v>
      </c>
      <c r="E289" s="791">
        <f aca="true" t="shared" si="84" ref="E289:F289">SUM(E281:E288)</f>
        <v>10000</v>
      </c>
      <c r="F289" s="791">
        <f t="shared" si="84"/>
        <v>42</v>
      </c>
      <c r="G289" s="707">
        <f t="shared" si="81"/>
        <v>0.0042</v>
      </c>
      <c r="H289" s="349"/>
    </row>
    <row r="290" spans="1:8" ht="12" customHeight="1">
      <c r="A290" s="262">
        <v>3207</v>
      </c>
      <c r="B290" s="333" t="s">
        <v>238</v>
      </c>
      <c r="C290" s="270"/>
      <c r="D290" s="270"/>
      <c r="E290" s="270"/>
      <c r="F290" s="270"/>
      <c r="G290" s="297"/>
      <c r="H290" s="322"/>
    </row>
    <row r="291" spans="1:8" ht="12" customHeight="1">
      <c r="A291" s="209"/>
      <c r="B291" s="274" t="s">
        <v>87</v>
      </c>
      <c r="C291" s="214"/>
      <c r="D291" s="214"/>
      <c r="E291" s="214"/>
      <c r="F291" s="214"/>
      <c r="G291" s="297"/>
      <c r="H291" s="322"/>
    </row>
    <row r="292" spans="1:8" ht="12" customHeight="1">
      <c r="A292" s="209"/>
      <c r="B292" s="149" t="s">
        <v>245</v>
      </c>
      <c r="C292" s="214"/>
      <c r="D292" s="214"/>
      <c r="E292" s="214"/>
      <c r="F292" s="214"/>
      <c r="G292" s="297"/>
      <c r="H292" s="315"/>
    </row>
    <row r="293" spans="1:8" ht="12" customHeight="1">
      <c r="A293" s="209"/>
      <c r="B293" s="275" t="s">
        <v>234</v>
      </c>
      <c r="C293" s="214">
        <v>37760</v>
      </c>
      <c r="D293" s="214">
        <f>37760+4928</f>
        <v>42688</v>
      </c>
      <c r="E293" s="214">
        <f>37760+4928</f>
        <v>42688</v>
      </c>
      <c r="F293" s="214">
        <v>27552</v>
      </c>
      <c r="G293" s="708">
        <f t="shared" si="81"/>
        <v>0.6454272863568216</v>
      </c>
      <c r="H293" s="426"/>
    </row>
    <row r="294" spans="1:8" ht="12" customHeight="1">
      <c r="A294" s="209"/>
      <c r="B294" s="215" t="s">
        <v>92</v>
      </c>
      <c r="C294" s="214"/>
      <c r="D294" s="214"/>
      <c r="E294" s="214"/>
      <c r="F294" s="214"/>
      <c r="G294" s="297"/>
      <c r="H294" s="426"/>
    </row>
    <row r="295" spans="1:8" ht="12" customHeight="1">
      <c r="A295" s="209"/>
      <c r="B295" s="215" t="s">
        <v>241</v>
      </c>
      <c r="C295" s="214"/>
      <c r="D295" s="214"/>
      <c r="E295" s="214"/>
      <c r="F295" s="214"/>
      <c r="G295" s="297"/>
      <c r="H295" s="322"/>
    </row>
    <row r="296" spans="1:8" ht="12" customHeight="1" thickBot="1">
      <c r="A296" s="209"/>
      <c r="B296" s="308" t="s">
        <v>60</v>
      </c>
      <c r="C296" s="790"/>
      <c r="D296" s="790"/>
      <c r="E296" s="790"/>
      <c r="F296" s="790"/>
      <c r="G296" s="706"/>
      <c r="H296" s="294"/>
    </row>
    <row r="297" spans="1:8" ht="12.75" thickBot="1">
      <c r="A297" s="264"/>
      <c r="B297" s="311" t="s">
        <v>100</v>
      </c>
      <c r="C297" s="791">
        <f aca="true" t="shared" si="85" ref="C297">SUM(C291:C296)</f>
        <v>37760</v>
      </c>
      <c r="D297" s="791">
        <f aca="true" t="shared" si="86" ref="D297">SUM(D291:D296)</f>
        <v>42688</v>
      </c>
      <c r="E297" s="791">
        <f aca="true" t="shared" si="87" ref="E297:F297">SUM(E291:E296)</f>
        <v>42688</v>
      </c>
      <c r="F297" s="791">
        <f t="shared" si="87"/>
        <v>27552</v>
      </c>
      <c r="G297" s="707">
        <f t="shared" si="81"/>
        <v>0.6454272863568216</v>
      </c>
      <c r="H297" s="326"/>
    </row>
    <row r="298" spans="1:8" ht="12.75">
      <c r="A298" s="262">
        <v>3208</v>
      </c>
      <c r="B298" s="333" t="s">
        <v>147</v>
      </c>
      <c r="C298" s="270"/>
      <c r="D298" s="270"/>
      <c r="E298" s="270"/>
      <c r="F298" s="270"/>
      <c r="G298" s="297"/>
      <c r="H298" s="322"/>
    </row>
    <row r="299" spans="1:8" ht="12.75">
      <c r="A299" s="209"/>
      <c r="B299" s="274" t="s">
        <v>87</v>
      </c>
      <c r="C299" s="214"/>
      <c r="D299" s="214"/>
      <c r="E299" s="214"/>
      <c r="F299" s="214"/>
      <c r="G299" s="709"/>
      <c r="H299" s="322"/>
    </row>
    <row r="300" spans="1:8" ht="12.75">
      <c r="A300" s="209"/>
      <c r="B300" s="149" t="s">
        <v>245</v>
      </c>
      <c r="C300" s="214"/>
      <c r="D300" s="214"/>
      <c r="E300" s="214"/>
      <c r="F300" s="214"/>
      <c r="G300" s="708"/>
      <c r="H300" s="426"/>
    </row>
    <row r="301" spans="1:8" ht="12.75">
      <c r="A301" s="209"/>
      <c r="B301" s="275" t="s">
        <v>234</v>
      </c>
      <c r="C301" s="214">
        <v>18000</v>
      </c>
      <c r="D301" s="214">
        <v>19857</v>
      </c>
      <c r="E301" s="214">
        <v>19857</v>
      </c>
      <c r="F301" s="214">
        <v>9855</v>
      </c>
      <c r="G301" s="708">
        <f t="shared" si="81"/>
        <v>0.4962985345218311</v>
      </c>
      <c r="H301" s="426"/>
    </row>
    <row r="302" spans="1:8" ht="12.75">
      <c r="A302" s="209"/>
      <c r="B302" s="215" t="s">
        <v>92</v>
      </c>
      <c r="C302" s="214"/>
      <c r="D302" s="214"/>
      <c r="E302" s="214"/>
      <c r="F302" s="214"/>
      <c r="G302" s="708"/>
      <c r="H302" s="322"/>
    </row>
    <row r="303" spans="1:8" ht="12.75">
      <c r="A303" s="209"/>
      <c r="B303" s="215" t="s">
        <v>241</v>
      </c>
      <c r="C303" s="214"/>
      <c r="D303" s="214"/>
      <c r="E303" s="214"/>
      <c r="F303" s="214"/>
      <c r="G303" s="708"/>
      <c r="H303" s="322"/>
    </row>
    <row r="304" spans="1:8" ht="12.6" customHeight="1" thickBot="1">
      <c r="A304" s="209"/>
      <c r="B304" s="308" t="s">
        <v>60</v>
      </c>
      <c r="C304" s="790"/>
      <c r="D304" s="790"/>
      <c r="E304" s="790"/>
      <c r="F304" s="790"/>
      <c r="G304" s="710"/>
      <c r="H304" s="294"/>
    </row>
    <row r="305" spans="1:8" ht="12.6" customHeight="1" thickBot="1">
      <c r="A305" s="264"/>
      <c r="B305" s="311" t="s">
        <v>100</v>
      </c>
      <c r="C305" s="791">
        <f aca="true" t="shared" si="88" ref="C305">SUM(C299:C304)</f>
        <v>18000</v>
      </c>
      <c r="D305" s="791">
        <f aca="true" t="shared" si="89" ref="D305">SUM(D299:D304)</f>
        <v>19857</v>
      </c>
      <c r="E305" s="791">
        <f aca="true" t="shared" si="90" ref="E305:F305">SUM(E299:E304)</f>
        <v>19857</v>
      </c>
      <c r="F305" s="791">
        <f t="shared" si="90"/>
        <v>9855</v>
      </c>
      <c r="G305" s="707">
        <f t="shared" si="81"/>
        <v>0.4962985345218311</v>
      </c>
      <c r="H305" s="326"/>
    </row>
    <row r="306" spans="1:8" ht="12.6" customHeight="1">
      <c r="A306" s="65">
        <v>3209</v>
      </c>
      <c r="B306" s="283" t="s">
        <v>51</v>
      </c>
      <c r="C306" s="270"/>
      <c r="D306" s="270"/>
      <c r="E306" s="270"/>
      <c r="F306" s="270"/>
      <c r="G306" s="297"/>
      <c r="H306" s="321"/>
    </row>
    <row r="307" spans="1:8" ht="12.6" customHeight="1">
      <c r="A307" s="65"/>
      <c r="B307" s="275" t="s">
        <v>87</v>
      </c>
      <c r="C307" s="792"/>
      <c r="D307" s="792"/>
      <c r="E307" s="792"/>
      <c r="F307" s="792">
        <v>3761</v>
      </c>
      <c r="G307" s="708"/>
      <c r="H307" s="298"/>
    </row>
    <row r="308" spans="1:8" ht="12.6" customHeight="1">
      <c r="A308" s="65"/>
      <c r="B308" s="149" t="s">
        <v>245</v>
      </c>
      <c r="C308" s="792"/>
      <c r="D308" s="792"/>
      <c r="E308" s="792"/>
      <c r="F308" s="792">
        <v>0</v>
      </c>
      <c r="G308" s="708"/>
      <c r="H308" s="426"/>
    </row>
    <row r="309" spans="1:8" ht="12.6" customHeight="1">
      <c r="A309" s="65"/>
      <c r="B309" s="275" t="s">
        <v>234</v>
      </c>
      <c r="C309" s="792">
        <v>5000</v>
      </c>
      <c r="D309" s="792">
        <v>5000</v>
      </c>
      <c r="E309" s="792">
        <v>5000</v>
      </c>
      <c r="F309" s="792"/>
      <c r="G309" s="708">
        <f t="shared" si="81"/>
        <v>0</v>
      </c>
      <c r="H309" s="426"/>
    </row>
    <row r="310" spans="1:8" ht="12.75">
      <c r="A310" s="65"/>
      <c r="B310" s="347" t="s">
        <v>92</v>
      </c>
      <c r="C310" s="792"/>
      <c r="D310" s="792"/>
      <c r="E310" s="792"/>
      <c r="F310" s="792"/>
      <c r="G310" s="708"/>
      <c r="H310" s="337"/>
    </row>
    <row r="311" spans="1:8" ht="12.75">
      <c r="A311" s="65"/>
      <c r="B311" s="347" t="s">
        <v>241</v>
      </c>
      <c r="C311" s="792"/>
      <c r="D311" s="792">
        <v>100</v>
      </c>
      <c r="E311" s="792">
        <v>100</v>
      </c>
      <c r="F311" s="792"/>
      <c r="G311" s="708">
        <f t="shared" si="81"/>
        <v>0</v>
      </c>
      <c r="H311" s="298"/>
    </row>
    <row r="312" spans="1:8" ht="12.75">
      <c r="A312" s="65"/>
      <c r="B312" s="308" t="s">
        <v>206</v>
      </c>
      <c r="C312" s="792"/>
      <c r="D312" s="792"/>
      <c r="E312" s="792"/>
      <c r="F312" s="792"/>
      <c r="G312" s="708"/>
      <c r="H312" s="298"/>
    </row>
    <row r="313" spans="1:8" ht="12.75" thickBot="1">
      <c r="A313" s="65"/>
      <c r="B313" s="489" t="s">
        <v>222</v>
      </c>
      <c r="C313" s="794"/>
      <c r="D313" s="794"/>
      <c r="E313" s="794"/>
      <c r="F313" s="794"/>
      <c r="G313" s="710"/>
      <c r="H313" s="339"/>
    </row>
    <row r="314" spans="1:8" ht="12.6" customHeight="1" thickBot="1">
      <c r="A314" s="281"/>
      <c r="B314" s="311" t="s">
        <v>100</v>
      </c>
      <c r="C314" s="791">
        <f aca="true" t="shared" si="91" ref="C314">SUM(C307:C313)</f>
        <v>5000</v>
      </c>
      <c r="D314" s="791">
        <f aca="true" t="shared" si="92" ref="D314">SUM(D307:D313)</f>
        <v>5100</v>
      </c>
      <c r="E314" s="791">
        <f aca="true" t="shared" si="93" ref="E314:F314">SUM(E307:E313)</f>
        <v>5100</v>
      </c>
      <c r="F314" s="791">
        <f t="shared" si="93"/>
        <v>3761</v>
      </c>
      <c r="G314" s="707">
        <f t="shared" si="81"/>
        <v>0.7374509803921568</v>
      </c>
      <c r="H314" s="326"/>
    </row>
    <row r="315" spans="1:8" ht="12.75">
      <c r="A315" s="262"/>
      <c r="B315" s="280" t="s">
        <v>64</v>
      </c>
      <c r="C315" s="270">
        <f>SUM(C325+C336+C345+C353+C363)</f>
        <v>3151748</v>
      </c>
      <c r="D315" s="270">
        <f>SUM(D325+D336+D345+D353+D363)</f>
        <v>3387891</v>
      </c>
      <c r="E315" s="270">
        <f>SUM(E325+E336+E345+E353+E363)</f>
        <v>3387891</v>
      </c>
      <c r="F315" s="270">
        <f>SUM(F325+F336+F345+F353+F363)</f>
        <v>2324145</v>
      </c>
      <c r="G315" s="745">
        <f t="shared" si="81"/>
        <v>0.6860152820737149</v>
      </c>
      <c r="H315" s="295"/>
    </row>
    <row r="316" spans="1:8" ht="12.75">
      <c r="A316" s="262">
        <v>3211</v>
      </c>
      <c r="B316" s="334" t="s">
        <v>475</v>
      </c>
      <c r="C316" s="270"/>
      <c r="D316" s="270"/>
      <c r="E316" s="270"/>
      <c r="F316" s="270"/>
      <c r="G316" s="297"/>
      <c r="H316" s="321"/>
    </row>
    <row r="317" spans="1:8" ht="12.75">
      <c r="A317" s="262"/>
      <c r="B317" s="275" t="s">
        <v>87</v>
      </c>
      <c r="C317" s="270"/>
      <c r="D317" s="270"/>
      <c r="E317" s="270"/>
      <c r="F317" s="270"/>
      <c r="G317" s="297"/>
      <c r="H317" s="298"/>
    </row>
    <row r="318" spans="1:8" ht="12.75">
      <c r="A318" s="262"/>
      <c r="B318" s="149" t="s">
        <v>245</v>
      </c>
      <c r="C318" s="270"/>
      <c r="D318" s="270"/>
      <c r="E318" s="270"/>
      <c r="F318" s="270"/>
      <c r="G318" s="709"/>
      <c r="H318" s="525"/>
    </row>
    <row r="319" spans="1:8" ht="12.75">
      <c r="A319" s="262"/>
      <c r="B319" s="275" t="s">
        <v>234</v>
      </c>
      <c r="C319" s="792">
        <v>927900</v>
      </c>
      <c r="D319" s="792">
        <f>927900+67687+10500</f>
        <v>1006087</v>
      </c>
      <c r="E319" s="792">
        <f>927900+67687+10500</f>
        <v>1006087</v>
      </c>
      <c r="F319" s="792">
        <v>696487</v>
      </c>
      <c r="G319" s="708">
        <f t="shared" si="81"/>
        <v>0.6922731334367703</v>
      </c>
      <c r="H319" s="525" t="s">
        <v>476</v>
      </c>
    </row>
    <row r="320" spans="1:8" ht="12.75">
      <c r="A320" s="262"/>
      <c r="B320" s="732" t="s">
        <v>667</v>
      </c>
      <c r="C320" s="792"/>
      <c r="D320" s="792"/>
      <c r="E320" s="792"/>
      <c r="F320" s="792"/>
      <c r="G320" s="708"/>
      <c r="H320" s="731"/>
    </row>
    <row r="321" spans="1:8" ht="12.75">
      <c r="A321" s="262"/>
      <c r="B321" s="732" t="s">
        <v>668</v>
      </c>
      <c r="C321" s="792"/>
      <c r="D321" s="792"/>
      <c r="E321" s="792"/>
      <c r="F321" s="792"/>
      <c r="G321" s="708"/>
      <c r="H321" s="731"/>
    </row>
    <row r="322" spans="1:8" ht="12.75">
      <c r="A322" s="262"/>
      <c r="B322" s="347" t="s">
        <v>92</v>
      </c>
      <c r="C322" s="792"/>
      <c r="D322" s="792"/>
      <c r="E322" s="792"/>
      <c r="F322" s="792"/>
      <c r="G322" s="708"/>
      <c r="H322" s="580"/>
    </row>
    <row r="323" spans="1:8" ht="12.75">
      <c r="A323" s="262"/>
      <c r="B323" s="347" t="s">
        <v>241</v>
      </c>
      <c r="C323" s="270"/>
      <c r="D323" s="270"/>
      <c r="E323" s="270"/>
      <c r="F323" s="270"/>
      <c r="G323" s="708"/>
      <c r="H323" s="427"/>
    </row>
    <row r="324" spans="1:8" ht="12.75" thickBot="1">
      <c r="A324" s="65"/>
      <c r="B324" s="308" t="s">
        <v>60</v>
      </c>
      <c r="C324" s="793"/>
      <c r="D324" s="793"/>
      <c r="E324" s="793"/>
      <c r="F324" s="793"/>
      <c r="G324" s="710"/>
      <c r="H324" s="427"/>
    </row>
    <row r="325" spans="1:8" ht="12.75" thickBot="1">
      <c r="A325" s="65"/>
      <c r="B325" s="311" t="s">
        <v>100</v>
      </c>
      <c r="C325" s="791">
        <f aca="true" t="shared" si="94" ref="C325">SUM(C319:C324)</f>
        <v>927900</v>
      </c>
      <c r="D325" s="791">
        <f aca="true" t="shared" si="95" ref="D325">SUM(D319:D324)</f>
        <v>1006087</v>
      </c>
      <c r="E325" s="791">
        <f aca="true" t="shared" si="96" ref="E325:F325">SUM(E319:E324)</f>
        <v>1006087</v>
      </c>
      <c r="F325" s="791">
        <f t="shared" si="96"/>
        <v>696487</v>
      </c>
      <c r="G325" s="707">
        <f t="shared" si="81"/>
        <v>0.6922731334367703</v>
      </c>
      <c r="H325" s="326"/>
    </row>
    <row r="326" spans="1:8" ht="12.75">
      <c r="A326" s="65"/>
      <c r="B326" s="995" t="s">
        <v>561</v>
      </c>
      <c r="C326" s="996">
        <v>889800</v>
      </c>
      <c r="D326" s="997">
        <f>889800+10500</f>
        <v>900300</v>
      </c>
      <c r="E326" s="997">
        <f>889800+10500</f>
        <v>900300</v>
      </c>
      <c r="F326" s="964"/>
      <c r="G326" s="708">
        <f t="shared" si="81"/>
        <v>0</v>
      </c>
      <c r="H326" s="295"/>
    </row>
    <row r="327" spans="1:8" ht="12.75" thickBot="1">
      <c r="A327" s="65"/>
      <c r="B327" s="998" t="s">
        <v>562</v>
      </c>
      <c r="C327" s="999">
        <v>38100</v>
      </c>
      <c r="D327" s="774">
        <v>38100</v>
      </c>
      <c r="E327" s="774">
        <v>38100</v>
      </c>
      <c r="F327" s="1093"/>
      <c r="G327" s="708">
        <f t="shared" si="81"/>
        <v>0</v>
      </c>
      <c r="H327" s="339"/>
    </row>
    <row r="328" spans="1:8" ht="12.75" thickBot="1">
      <c r="A328" s="281"/>
      <c r="B328" s="311" t="s">
        <v>501</v>
      </c>
      <c r="C328" s="791">
        <f>SUM(C325)</f>
        <v>927900</v>
      </c>
      <c r="D328" s="791">
        <f>SUM(D325)</f>
        <v>1006087</v>
      </c>
      <c r="E328" s="791">
        <f>SUM(E325)</f>
        <v>1006087</v>
      </c>
      <c r="F328" s="791">
        <f>SUM(F325)</f>
        <v>696487</v>
      </c>
      <c r="G328" s="707">
        <f t="shared" si="81"/>
        <v>0.6922731334367703</v>
      </c>
      <c r="H328" s="326"/>
    </row>
    <row r="329" spans="1:8" ht="12.75">
      <c r="A329" s="262">
        <v>3212</v>
      </c>
      <c r="B329" s="334" t="s">
        <v>337</v>
      </c>
      <c r="C329" s="270"/>
      <c r="D329" s="270"/>
      <c r="E329" s="270"/>
      <c r="F329" s="270"/>
      <c r="G329" s="297"/>
      <c r="H329" s="321"/>
    </row>
    <row r="330" spans="1:8" ht="12.75">
      <c r="A330" s="262"/>
      <c r="B330" s="275" t="s">
        <v>87</v>
      </c>
      <c r="C330" s="792"/>
      <c r="D330" s="792"/>
      <c r="E330" s="792"/>
      <c r="F330" s="792"/>
      <c r="G330" s="709"/>
      <c r="H330" s="298"/>
    </row>
    <row r="331" spans="1:8" ht="12.75">
      <c r="A331" s="262"/>
      <c r="B331" s="149" t="s">
        <v>245</v>
      </c>
      <c r="C331" s="792"/>
      <c r="D331" s="792"/>
      <c r="E331" s="792"/>
      <c r="F331" s="792"/>
      <c r="G331" s="708"/>
      <c r="H331" s="427" t="s">
        <v>441</v>
      </c>
    </row>
    <row r="332" spans="1:8" ht="12.75">
      <c r="A332" s="262"/>
      <c r="B332" s="275" t="s">
        <v>234</v>
      </c>
      <c r="C332" s="792">
        <v>1128626</v>
      </c>
      <c r="D332" s="792">
        <f>1128626+90686+16800</f>
        <v>1236112</v>
      </c>
      <c r="E332" s="792">
        <f>1128626+90686+16800</f>
        <v>1236112</v>
      </c>
      <c r="F332" s="792">
        <v>861245</v>
      </c>
      <c r="G332" s="708">
        <f aca="true" t="shared" si="97" ref="G332:G392">F332/E332</f>
        <v>0.6967370270655087</v>
      </c>
      <c r="H332" s="427" t="s">
        <v>442</v>
      </c>
    </row>
    <row r="333" spans="1:8" ht="12.75">
      <c r="A333" s="262"/>
      <c r="B333" s="347" t="s">
        <v>92</v>
      </c>
      <c r="C333" s="792"/>
      <c r="D333" s="792"/>
      <c r="E333" s="792"/>
      <c r="F333" s="792"/>
      <c r="G333" s="708"/>
      <c r="H333" s="580" t="s">
        <v>450</v>
      </c>
    </row>
    <row r="334" spans="1:8" ht="12.75">
      <c r="A334" s="262"/>
      <c r="B334" s="347" t="s">
        <v>241</v>
      </c>
      <c r="C334" s="270"/>
      <c r="D334" s="270"/>
      <c r="E334" s="270"/>
      <c r="F334" s="270"/>
      <c r="G334" s="708"/>
      <c r="H334" s="337"/>
    </row>
    <row r="335" spans="1:8" ht="12.75" thickBot="1">
      <c r="A335" s="262"/>
      <c r="B335" s="308" t="s">
        <v>60</v>
      </c>
      <c r="C335" s="793"/>
      <c r="D335" s="793"/>
      <c r="E335" s="793"/>
      <c r="F335" s="793"/>
      <c r="G335" s="710"/>
      <c r="H335" s="324"/>
    </row>
    <row r="336" spans="1:8" ht="12.75" thickBot="1">
      <c r="A336" s="65"/>
      <c r="B336" s="311" t="s">
        <v>100</v>
      </c>
      <c r="C336" s="791">
        <f aca="true" t="shared" si="98" ref="C336">SUM(C330:C335)</f>
        <v>1128626</v>
      </c>
      <c r="D336" s="791">
        <f aca="true" t="shared" si="99" ref="D336">SUM(D330:D335)</f>
        <v>1236112</v>
      </c>
      <c r="E336" s="791">
        <f aca="true" t="shared" si="100" ref="E336:F336">SUM(E330:E335)</f>
        <v>1236112</v>
      </c>
      <c r="F336" s="791">
        <f t="shared" si="100"/>
        <v>861245</v>
      </c>
      <c r="G336" s="707">
        <f t="shared" si="97"/>
        <v>0.6967370270655087</v>
      </c>
      <c r="H336" s="326"/>
    </row>
    <row r="337" spans="1:8" ht="12.75" thickBot="1">
      <c r="A337" s="281"/>
      <c r="B337" s="727" t="s">
        <v>563</v>
      </c>
      <c r="C337" s="999">
        <v>918291</v>
      </c>
      <c r="D337" s="999">
        <f>918291+16800</f>
        <v>935091</v>
      </c>
      <c r="E337" s="999">
        <f>918291+16800</f>
        <v>935091</v>
      </c>
      <c r="F337" s="1094"/>
      <c r="G337" s="1000">
        <f t="shared" si="97"/>
        <v>0</v>
      </c>
      <c r="H337" s="339"/>
    </row>
    <row r="338" spans="1:8" ht="12.75">
      <c r="A338" s="262">
        <v>3213</v>
      </c>
      <c r="B338" s="284" t="s">
        <v>493</v>
      </c>
      <c r="C338" s="270"/>
      <c r="D338" s="270"/>
      <c r="E338" s="270"/>
      <c r="F338" s="270"/>
      <c r="G338" s="297"/>
      <c r="H338" s="321"/>
    </row>
    <row r="339" spans="1:8" ht="12.75">
      <c r="A339" s="262"/>
      <c r="B339" s="275" t="s">
        <v>87</v>
      </c>
      <c r="C339" s="270"/>
      <c r="D339" s="270"/>
      <c r="E339" s="270"/>
      <c r="F339" s="270"/>
      <c r="G339" s="297"/>
      <c r="H339" s="298"/>
    </row>
    <row r="340" spans="1:8" ht="12.75">
      <c r="A340" s="262"/>
      <c r="B340" s="149" t="s">
        <v>245</v>
      </c>
      <c r="C340" s="270"/>
      <c r="D340" s="270"/>
      <c r="E340" s="270"/>
      <c r="F340" s="270"/>
      <c r="G340" s="709"/>
      <c r="H340" s="427"/>
    </row>
    <row r="341" spans="1:8" ht="12.75">
      <c r="A341" s="262"/>
      <c r="B341" s="275" t="s">
        <v>234</v>
      </c>
      <c r="C341" s="792">
        <f>520000+70000</f>
        <v>590000</v>
      </c>
      <c r="D341" s="792">
        <f>590634</f>
        <v>590634</v>
      </c>
      <c r="E341" s="792">
        <f>590634</f>
        <v>590634</v>
      </c>
      <c r="F341" s="792">
        <v>409336</v>
      </c>
      <c r="G341" s="708">
        <f t="shared" si="97"/>
        <v>0.6930451006884127</v>
      </c>
      <c r="H341" s="337"/>
    </row>
    <row r="342" spans="1:8" ht="12.75">
      <c r="A342" s="262"/>
      <c r="B342" s="347" t="s">
        <v>92</v>
      </c>
      <c r="C342" s="792"/>
      <c r="D342" s="792"/>
      <c r="E342" s="792"/>
      <c r="F342" s="792"/>
      <c r="G342" s="708"/>
      <c r="H342" s="337"/>
    </row>
    <row r="343" spans="1:8" ht="12.75">
      <c r="A343" s="262"/>
      <c r="B343" s="347" t="s">
        <v>241</v>
      </c>
      <c r="C343" s="270"/>
      <c r="D343" s="270"/>
      <c r="E343" s="270"/>
      <c r="F343" s="270"/>
      <c r="G343" s="708"/>
      <c r="H343" s="298"/>
    </row>
    <row r="344" spans="1:8" ht="12.75" thickBot="1">
      <c r="A344" s="262"/>
      <c r="B344" s="308" t="s">
        <v>60</v>
      </c>
      <c r="C344" s="793"/>
      <c r="D344" s="793"/>
      <c r="E344" s="793"/>
      <c r="F344" s="793"/>
      <c r="G344" s="710"/>
      <c r="H344" s="324"/>
    </row>
    <row r="345" spans="1:8" ht="12.75" thickBot="1">
      <c r="A345" s="281"/>
      <c r="B345" s="311" t="s">
        <v>100</v>
      </c>
      <c r="C345" s="791">
        <f aca="true" t="shared" si="101" ref="C345">SUM(C341:C344)</f>
        <v>590000</v>
      </c>
      <c r="D345" s="791">
        <f aca="true" t="shared" si="102" ref="D345">SUM(D341:D344)</f>
        <v>590634</v>
      </c>
      <c r="E345" s="791">
        <f aca="true" t="shared" si="103" ref="E345:F345">SUM(E341:E344)</f>
        <v>590634</v>
      </c>
      <c r="F345" s="791">
        <f t="shared" si="103"/>
        <v>409336</v>
      </c>
      <c r="G345" s="707">
        <f t="shared" si="97"/>
        <v>0.6930451006884127</v>
      </c>
      <c r="H345" s="339"/>
    </row>
    <row r="346" spans="1:8" ht="12.75">
      <c r="A346" s="299">
        <v>3216</v>
      </c>
      <c r="B346" s="330" t="s">
        <v>22</v>
      </c>
      <c r="C346" s="784"/>
      <c r="D346" s="784"/>
      <c r="E346" s="784"/>
      <c r="F346" s="784"/>
      <c r="G346" s="297"/>
      <c r="H346" s="350"/>
    </row>
    <row r="347" spans="1:8" ht="12.75">
      <c r="A347" s="299"/>
      <c r="B347" s="306" t="s">
        <v>87</v>
      </c>
      <c r="C347" s="784"/>
      <c r="D347" s="784"/>
      <c r="E347" s="784"/>
      <c r="F347" s="784"/>
      <c r="G347" s="297"/>
      <c r="H347" s="351"/>
    </row>
    <row r="348" spans="1:8" ht="12.75">
      <c r="A348" s="299"/>
      <c r="B348" s="305" t="s">
        <v>245</v>
      </c>
      <c r="C348" s="784"/>
      <c r="D348" s="784"/>
      <c r="E348" s="784"/>
      <c r="F348" s="784"/>
      <c r="G348" s="709"/>
      <c r="H348" s="576" t="s">
        <v>416</v>
      </c>
    </row>
    <row r="349" spans="1:8" ht="12.75">
      <c r="A349" s="299"/>
      <c r="B349" s="306" t="s">
        <v>234</v>
      </c>
      <c r="C349" s="785">
        <f>273000+42000</f>
        <v>315000</v>
      </c>
      <c r="D349" s="785">
        <f>315000+35328</f>
        <v>350328</v>
      </c>
      <c r="E349" s="785">
        <f>315000+35328</f>
        <v>350328</v>
      </c>
      <c r="F349" s="785">
        <v>221150</v>
      </c>
      <c r="G349" s="708">
        <f t="shared" si="97"/>
        <v>0.631265556849581</v>
      </c>
      <c r="H349" s="472" t="s">
        <v>438</v>
      </c>
    </row>
    <row r="350" spans="1:8" ht="12.75">
      <c r="A350" s="299"/>
      <c r="B350" s="353" t="s">
        <v>92</v>
      </c>
      <c r="C350" s="785"/>
      <c r="D350" s="785"/>
      <c r="E350" s="785"/>
      <c r="F350" s="785"/>
      <c r="G350" s="708"/>
      <c r="H350" s="430"/>
    </row>
    <row r="351" spans="1:8" ht="12.75">
      <c r="A351" s="299"/>
      <c r="B351" s="347" t="s">
        <v>241</v>
      </c>
      <c r="C351" s="785"/>
      <c r="D351" s="785"/>
      <c r="E351" s="785"/>
      <c r="F351" s="785"/>
      <c r="G351" s="708"/>
      <c r="H351" s="580" t="s">
        <v>450</v>
      </c>
    </row>
    <row r="352" spans="1:8" ht="12.75" thickBot="1">
      <c r="A352" s="299"/>
      <c r="B352" s="308" t="s">
        <v>206</v>
      </c>
      <c r="C352" s="795"/>
      <c r="D352" s="795"/>
      <c r="E352" s="795"/>
      <c r="F352" s="795"/>
      <c r="G352" s="710"/>
      <c r="H352" s="354"/>
    </row>
    <row r="353" spans="1:8" ht="12.75" thickBot="1">
      <c r="A353" s="320"/>
      <c r="B353" s="311" t="s">
        <v>100</v>
      </c>
      <c r="C353" s="798">
        <f>SUM(C349:C352)</f>
        <v>315000</v>
      </c>
      <c r="D353" s="798">
        <f>SUM(D349:D352)</f>
        <v>350328</v>
      </c>
      <c r="E353" s="798">
        <f>SUM(E349:E352)</f>
        <v>350328</v>
      </c>
      <c r="F353" s="798">
        <f>SUM(F349:F352)</f>
        <v>221150</v>
      </c>
      <c r="G353" s="707">
        <f t="shared" si="97"/>
        <v>0.631265556849581</v>
      </c>
      <c r="H353" s="344"/>
    </row>
    <row r="354" spans="1:8" ht="12.75">
      <c r="A354" s="320"/>
      <c r="B354" s="728" t="s">
        <v>573</v>
      </c>
      <c r="C354" s="1001">
        <v>280000</v>
      </c>
      <c r="D354" s="1001">
        <f>280000+16268+18907</f>
        <v>315175</v>
      </c>
      <c r="E354" s="1001">
        <f>280000+16268+18907</f>
        <v>315175</v>
      </c>
      <c r="F354" s="1006"/>
      <c r="G354" s="708">
        <f t="shared" si="97"/>
        <v>0</v>
      </c>
      <c r="H354" s="1002"/>
    </row>
    <row r="355" spans="1:8" ht="12.75" thickBot="1">
      <c r="A355" s="318"/>
      <c r="B355" s="730" t="s">
        <v>574</v>
      </c>
      <c r="C355" s="1003">
        <v>35000</v>
      </c>
      <c r="D355" s="1003">
        <f>35000+153</f>
        <v>35153</v>
      </c>
      <c r="E355" s="1003">
        <f>35000+153</f>
        <v>35153</v>
      </c>
      <c r="F355" s="1095"/>
      <c r="G355" s="711">
        <f t="shared" si="97"/>
        <v>0</v>
      </c>
      <c r="H355" s="351"/>
    </row>
    <row r="356" spans="1:8" ht="12.75">
      <c r="A356" s="299">
        <v>3217</v>
      </c>
      <c r="B356" s="330" t="s">
        <v>681</v>
      </c>
      <c r="C356" s="784"/>
      <c r="D356" s="784"/>
      <c r="E356" s="784"/>
      <c r="F356" s="784"/>
      <c r="G356" s="297"/>
      <c r="H356" s="350"/>
    </row>
    <row r="357" spans="1:8" ht="12.75">
      <c r="A357" s="299"/>
      <c r="B357" s="306" t="s">
        <v>87</v>
      </c>
      <c r="C357" s="784"/>
      <c r="D357" s="784"/>
      <c r="E357" s="784"/>
      <c r="F357" s="784"/>
      <c r="G357" s="297"/>
      <c r="H357" s="351"/>
    </row>
    <row r="358" spans="1:8" ht="12.75">
      <c r="A358" s="299"/>
      <c r="B358" s="305" t="s">
        <v>245</v>
      </c>
      <c r="C358" s="784"/>
      <c r="D358" s="784"/>
      <c r="E358" s="784"/>
      <c r="F358" s="784"/>
      <c r="G358" s="709"/>
      <c r="H358" s="576" t="s">
        <v>416</v>
      </c>
    </row>
    <row r="359" spans="1:8" ht="12.75">
      <c r="A359" s="299"/>
      <c r="B359" s="306" t="s">
        <v>234</v>
      </c>
      <c r="C359" s="785">
        <f>145464+7500+37258</f>
        <v>190222</v>
      </c>
      <c r="D359" s="785">
        <f>190222+9685+4823</f>
        <v>204730</v>
      </c>
      <c r="E359" s="785">
        <f>190222+9685+4823</f>
        <v>204730</v>
      </c>
      <c r="F359" s="785">
        <v>135927</v>
      </c>
      <c r="G359" s="708">
        <f t="shared" si="97"/>
        <v>0.6639329849069506</v>
      </c>
      <c r="H359" s="472" t="s">
        <v>438</v>
      </c>
    </row>
    <row r="360" spans="1:8" ht="12.75">
      <c r="A360" s="299"/>
      <c r="B360" s="353" t="s">
        <v>92</v>
      </c>
      <c r="C360" s="785"/>
      <c r="D360" s="785"/>
      <c r="E360" s="785"/>
      <c r="F360" s="785"/>
      <c r="G360" s="708"/>
      <c r="H360" s="430"/>
    </row>
    <row r="361" spans="1:8" ht="12.75">
      <c r="A361" s="299"/>
      <c r="B361" s="347" t="s">
        <v>241</v>
      </c>
      <c r="C361" s="785"/>
      <c r="D361" s="785"/>
      <c r="E361" s="785"/>
      <c r="F361" s="785"/>
      <c r="G361" s="708"/>
      <c r="H361" s="580" t="s">
        <v>450</v>
      </c>
    </row>
    <row r="362" spans="1:8" ht="12.75" thickBot="1">
      <c r="A362" s="299"/>
      <c r="B362" s="308" t="s">
        <v>206</v>
      </c>
      <c r="C362" s="795"/>
      <c r="D362" s="795"/>
      <c r="E362" s="795"/>
      <c r="F362" s="795"/>
      <c r="G362" s="710"/>
      <c r="H362" s="354"/>
    </row>
    <row r="363" spans="1:8" ht="12.75" thickBot="1">
      <c r="A363" s="320"/>
      <c r="B363" s="311" t="s">
        <v>100</v>
      </c>
      <c r="C363" s="798">
        <f aca="true" t="shared" si="104" ref="C363">SUM(C359:C362)</f>
        <v>190222</v>
      </c>
      <c r="D363" s="798">
        <f aca="true" t="shared" si="105" ref="D363">SUM(D359:D362)</f>
        <v>204730</v>
      </c>
      <c r="E363" s="798">
        <f aca="true" t="shared" si="106" ref="E363:F363">SUM(E359:E362)</f>
        <v>204730</v>
      </c>
      <c r="F363" s="798">
        <f t="shared" si="106"/>
        <v>135927</v>
      </c>
      <c r="G363" s="707">
        <f t="shared" si="97"/>
        <v>0.6639329849069506</v>
      </c>
      <c r="H363" s="344"/>
    </row>
    <row r="364" spans="1:8" ht="12.75">
      <c r="A364" s="320"/>
      <c r="B364" s="1005" t="s">
        <v>567</v>
      </c>
      <c r="C364" s="1006">
        <v>72720</v>
      </c>
      <c r="D364" s="1006">
        <v>72720</v>
      </c>
      <c r="E364" s="1006">
        <v>72720</v>
      </c>
      <c r="F364" s="1006"/>
      <c r="G364" s="1007">
        <f t="shared" si="97"/>
        <v>0</v>
      </c>
      <c r="H364" s="1008"/>
    </row>
    <row r="365" spans="1:8" ht="12.75">
      <c r="A365" s="299"/>
      <c r="B365" s="1009" t="s">
        <v>568</v>
      </c>
      <c r="C365" s="1010">
        <v>36576</v>
      </c>
      <c r="D365" s="1006">
        <v>36576</v>
      </c>
      <c r="E365" s="1006">
        <v>36576</v>
      </c>
      <c r="F365" s="1006"/>
      <c r="G365" s="1007">
        <f t="shared" si="97"/>
        <v>0</v>
      </c>
      <c r="H365" s="1011"/>
    </row>
    <row r="366" spans="1:8" ht="12.75">
      <c r="A366" s="299"/>
      <c r="B366" s="1009" t="s">
        <v>569</v>
      </c>
      <c r="C366" s="1010">
        <v>50494</v>
      </c>
      <c r="D366" s="1006">
        <v>50494</v>
      </c>
      <c r="E366" s="1006">
        <v>50494</v>
      </c>
      <c r="F366" s="1006"/>
      <c r="G366" s="1007">
        <f t="shared" si="97"/>
        <v>0</v>
      </c>
      <c r="H366" s="1011"/>
    </row>
    <row r="367" spans="1:8" ht="12.75">
      <c r="A367" s="299"/>
      <c r="B367" s="1009" t="s">
        <v>570</v>
      </c>
      <c r="C367" s="1010">
        <v>13922</v>
      </c>
      <c r="D367" s="1006">
        <v>13922</v>
      </c>
      <c r="E367" s="1006">
        <v>13922</v>
      </c>
      <c r="F367" s="1006"/>
      <c r="G367" s="1007">
        <f t="shared" si="97"/>
        <v>0</v>
      </c>
      <c r="H367" s="1011"/>
    </row>
    <row r="368" spans="1:8" ht="12.75">
      <c r="A368" s="299"/>
      <c r="B368" s="729" t="s">
        <v>571</v>
      </c>
      <c r="C368" s="1004">
        <v>7000</v>
      </c>
      <c r="D368" s="1001">
        <v>7000</v>
      </c>
      <c r="E368" s="1001">
        <v>7000</v>
      </c>
      <c r="F368" s="1006"/>
      <c r="G368" s="708">
        <f t="shared" si="97"/>
        <v>0</v>
      </c>
      <c r="H368" s="351"/>
    </row>
    <row r="369" spans="1:8" ht="12.75" thickBot="1">
      <c r="A369" s="318"/>
      <c r="B369" s="729" t="s">
        <v>665</v>
      </c>
      <c r="C369" s="1004">
        <v>9510</v>
      </c>
      <c r="D369" s="1001">
        <v>9510</v>
      </c>
      <c r="E369" s="1001">
        <v>9510</v>
      </c>
      <c r="F369" s="1006"/>
      <c r="G369" s="708">
        <f t="shared" si="97"/>
        <v>0</v>
      </c>
      <c r="H369" s="351"/>
    </row>
    <row r="370" spans="1:8" ht="12.75" thickBot="1">
      <c r="A370" s="262">
        <v>3220</v>
      </c>
      <c r="B370" s="277" t="s">
        <v>304</v>
      </c>
      <c r="C370" s="791">
        <f>SUM(C388+C379+C397+C424)+C406+C415</f>
        <v>40720</v>
      </c>
      <c r="D370" s="791">
        <f>SUM(D388+D379+D397+D424)+D406+D415</f>
        <v>64120</v>
      </c>
      <c r="E370" s="791">
        <f>SUM(E388+E379+E397+E424)+E406+E415</f>
        <v>64120</v>
      </c>
      <c r="F370" s="791">
        <f>SUM(F388+F379+F397+F424)+F406+F415</f>
        <v>4591</v>
      </c>
      <c r="G370" s="707">
        <f t="shared" si="97"/>
        <v>0.07160012476606363</v>
      </c>
      <c r="H370" s="326"/>
    </row>
    <row r="371" spans="1:8" ht="12.75">
      <c r="A371" s="262">
        <v>3221</v>
      </c>
      <c r="B371" s="283" t="s">
        <v>488</v>
      </c>
      <c r="C371" s="270"/>
      <c r="D371" s="270"/>
      <c r="E371" s="270"/>
      <c r="F371" s="270"/>
      <c r="G371" s="297"/>
      <c r="H371" s="295"/>
    </row>
    <row r="372" spans="1:8" ht="12.75">
      <c r="A372" s="262"/>
      <c r="B372" s="274" t="s">
        <v>87</v>
      </c>
      <c r="C372" s="792"/>
      <c r="D372" s="792">
        <v>1</v>
      </c>
      <c r="E372" s="792">
        <v>1</v>
      </c>
      <c r="F372" s="792">
        <v>0</v>
      </c>
      <c r="G372" s="708">
        <f t="shared" si="97"/>
        <v>0</v>
      </c>
      <c r="H372" s="321"/>
    </row>
    <row r="373" spans="1:8" ht="12.75">
      <c r="A373" s="262"/>
      <c r="B373" s="149" t="s">
        <v>245</v>
      </c>
      <c r="C373" s="792"/>
      <c r="D373" s="792">
        <v>1</v>
      </c>
      <c r="E373" s="792">
        <v>1</v>
      </c>
      <c r="F373" s="792">
        <v>0</v>
      </c>
      <c r="G373" s="708">
        <f t="shared" si="97"/>
        <v>0</v>
      </c>
      <c r="H373" s="426"/>
    </row>
    <row r="374" spans="1:8" ht="12.75">
      <c r="A374" s="262"/>
      <c r="B374" s="275" t="s">
        <v>234</v>
      </c>
      <c r="C374" s="792"/>
      <c r="D374" s="792">
        <v>99</v>
      </c>
      <c r="E374" s="792">
        <v>99</v>
      </c>
      <c r="F374" s="792">
        <v>0</v>
      </c>
      <c r="G374" s="708">
        <f t="shared" si="97"/>
        <v>0</v>
      </c>
      <c r="H374" s="337"/>
    </row>
    <row r="375" spans="1:8" ht="12.75">
      <c r="A375" s="262"/>
      <c r="B375" s="215" t="s">
        <v>92</v>
      </c>
      <c r="C375" s="792"/>
      <c r="D375" s="792"/>
      <c r="E375" s="792"/>
      <c r="F375" s="792"/>
      <c r="G375" s="708"/>
      <c r="H375" s="337"/>
    </row>
    <row r="376" spans="1:8" ht="12.75">
      <c r="A376" s="262"/>
      <c r="B376" s="215" t="s">
        <v>241</v>
      </c>
      <c r="C376" s="270"/>
      <c r="D376" s="270"/>
      <c r="E376" s="270"/>
      <c r="F376" s="270"/>
      <c r="G376" s="708"/>
      <c r="H376" s="298"/>
    </row>
    <row r="377" spans="1:8" ht="12.75">
      <c r="A377" s="262"/>
      <c r="B377" s="215" t="s">
        <v>486</v>
      </c>
      <c r="C377" s="792"/>
      <c r="D377" s="792"/>
      <c r="E377" s="792"/>
      <c r="F377" s="792"/>
      <c r="G377" s="708"/>
      <c r="H377" s="613"/>
    </row>
    <row r="378" spans="1:8" ht="12.75" thickBot="1">
      <c r="A378" s="262"/>
      <c r="B378" s="308" t="s">
        <v>222</v>
      </c>
      <c r="C378" s="794"/>
      <c r="D378" s="794"/>
      <c r="E378" s="794"/>
      <c r="F378" s="794"/>
      <c r="G378" s="710"/>
      <c r="H378" s="324"/>
    </row>
    <row r="379" spans="1:8" ht="12.75" thickBot="1">
      <c r="A379" s="281"/>
      <c r="B379" s="311" t="s">
        <v>100</v>
      </c>
      <c r="C379" s="791">
        <f aca="true" t="shared" si="107" ref="C379">SUM(C372:C378)</f>
        <v>0</v>
      </c>
      <c r="D379" s="791">
        <f aca="true" t="shared" si="108" ref="D379">SUM(D372:D378)</f>
        <v>101</v>
      </c>
      <c r="E379" s="791">
        <f aca="true" t="shared" si="109" ref="E379:F379">SUM(E372:E378)</f>
        <v>101</v>
      </c>
      <c r="F379" s="791">
        <f t="shared" si="109"/>
        <v>0</v>
      </c>
      <c r="G379" s="707">
        <f t="shared" si="97"/>
        <v>0</v>
      </c>
      <c r="H379" s="326"/>
    </row>
    <row r="380" spans="1:8" ht="12.75">
      <c r="A380" s="262">
        <v>3223</v>
      </c>
      <c r="B380" s="283" t="s">
        <v>54</v>
      </c>
      <c r="C380" s="270"/>
      <c r="D380" s="270"/>
      <c r="E380" s="270"/>
      <c r="F380" s="270"/>
      <c r="G380" s="297"/>
      <c r="H380" s="295"/>
    </row>
    <row r="381" spans="1:8" ht="12.75">
      <c r="A381" s="262"/>
      <c r="B381" s="274" t="s">
        <v>87</v>
      </c>
      <c r="C381" s="792"/>
      <c r="D381" s="792">
        <v>826</v>
      </c>
      <c r="E381" s="792">
        <v>826</v>
      </c>
      <c r="F381" s="792">
        <v>32</v>
      </c>
      <c r="G381" s="708">
        <f t="shared" si="97"/>
        <v>0.0387409200968523</v>
      </c>
      <c r="H381" s="321"/>
    </row>
    <row r="382" spans="1:8" ht="12.75">
      <c r="A382" s="262"/>
      <c r="B382" s="149" t="s">
        <v>245</v>
      </c>
      <c r="C382" s="792"/>
      <c r="D382" s="792">
        <v>163</v>
      </c>
      <c r="E382" s="792">
        <v>163</v>
      </c>
      <c r="F382" s="792">
        <v>7</v>
      </c>
      <c r="G382" s="708">
        <f t="shared" si="97"/>
        <v>0.04294478527607362</v>
      </c>
      <c r="H382" s="426"/>
    </row>
    <row r="383" spans="1:8" ht="12.75">
      <c r="A383" s="262"/>
      <c r="B383" s="275" t="s">
        <v>234</v>
      </c>
      <c r="C383" s="792">
        <v>3000</v>
      </c>
      <c r="D383" s="792">
        <v>3448</v>
      </c>
      <c r="E383" s="792">
        <v>3448</v>
      </c>
      <c r="F383" s="792">
        <v>39</v>
      </c>
      <c r="G383" s="708">
        <f t="shared" si="97"/>
        <v>0.01131090487238979</v>
      </c>
      <c r="H383" s="337"/>
    </row>
    <row r="384" spans="1:8" ht="12.75">
      <c r="A384" s="262"/>
      <c r="B384" s="215" t="s">
        <v>92</v>
      </c>
      <c r="C384" s="792"/>
      <c r="D384" s="792"/>
      <c r="E384" s="792"/>
      <c r="F384" s="792"/>
      <c r="G384" s="708"/>
      <c r="H384" s="337"/>
    </row>
    <row r="385" spans="1:8" ht="12.75">
      <c r="A385" s="262"/>
      <c r="B385" s="215" t="s">
        <v>241</v>
      </c>
      <c r="C385" s="792"/>
      <c r="D385" s="792"/>
      <c r="E385" s="792"/>
      <c r="F385" s="792"/>
      <c r="G385" s="708"/>
      <c r="H385" s="298"/>
    </row>
    <row r="386" spans="1:8" ht="12.75">
      <c r="A386" s="262"/>
      <c r="B386" s="215" t="s">
        <v>486</v>
      </c>
      <c r="C386" s="792"/>
      <c r="D386" s="792">
        <v>8</v>
      </c>
      <c r="E386" s="792">
        <v>8</v>
      </c>
      <c r="F386" s="792">
        <v>0</v>
      </c>
      <c r="G386" s="708">
        <f t="shared" si="97"/>
        <v>0</v>
      </c>
      <c r="H386" s="613"/>
    </row>
    <row r="387" spans="1:8" ht="12.75" thickBot="1">
      <c r="A387" s="262"/>
      <c r="B387" s="308" t="s">
        <v>222</v>
      </c>
      <c r="C387" s="794">
        <f>5200-100</f>
        <v>5100</v>
      </c>
      <c r="D387" s="770">
        <v>10200</v>
      </c>
      <c r="E387" s="770">
        <v>10200</v>
      </c>
      <c r="F387" s="770">
        <v>0</v>
      </c>
      <c r="G387" s="708">
        <f t="shared" si="97"/>
        <v>0</v>
      </c>
      <c r="H387" s="799"/>
    </row>
    <row r="388" spans="1:8" ht="12.75" thickBot="1">
      <c r="A388" s="281"/>
      <c r="B388" s="311" t="s">
        <v>100</v>
      </c>
      <c r="C388" s="791">
        <f aca="true" t="shared" si="110" ref="C388">SUM(C381:C387)</f>
        <v>8100</v>
      </c>
      <c r="D388" s="791">
        <f aca="true" t="shared" si="111" ref="D388">SUM(D381:D387)</f>
        <v>14645</v>
      </c>
      <c r="E388" s="791">
        <f aca="true" t="shared" si="112" ref="E388:F388">SUM(E381:E387)</f>
        <v>14645</v>
      </c>
      <c r="F388" s="791">
        <f t="shared" si="112"/>
        <v>78</v>
      </c>
      <c r="G388" s="707">
        <f t="shared" si="97"/>
        <v>0.005326049846363947</v>
      </c>
      <c r="H388" s="326"/>
    </row>
    <row r="389" spans="1:8" ht="12.75">
      <c r="A389" s="262">
        <v>3222</v>
      </c>
      <c r="B389" s="283" t="s">
        <v>523</v>
      </c>
      <c r="C389" s="270"/>
      <c r="D389" s="270"/>
      <c r="E389" s="270"/>
      <c r="F389" s="270"/>
      <c r="G389" s="297"/>
      <c r="H389" s="295"/>
    </row>
    <row r="390" spans="1:8" ht="12.75">
      <c r="A390" s="262"/>
      <c r="B390" s="274" t="s">
        <v>87</v>
      </c>
      <c r="C390" s="792"/>
      <c r="D390" s="792">
        <v>8090</v>
      </c>
      <c r="E390" s="792">
        <v>8090</v>
      </c>
      <c r="F390" s="792">
        <v>870</v>
      </c>
      <c r="G390" s="708">
        <f t="shared" si="97"/>
        <v>0.10754017305315204</v>
      </c>
      <c r="H390" s="321"/>
    </row>
    <row r="391" spans="1:8" ht="12.75">
      <c r="A391" s="262"/>
      <c r="B391" s="149" t="s">
        <v>245</v>
      </c>
      <c r="C391" s="792"/>
      <c r="D391" s="792">
        <v>1257</v>
      </c>
      <c r="E391" s="792">
        <v>1257</v>
      </c>
      <c r="F391" s="792">
        <v>106</v>
      </c>
      <c r="G391" s="708">
        <f t="shared" si="97"/>
        <v>0.08432776451869531</v>
      </c>
      <c r="H391" s="426"/>
    </row>
    <row r="392" spans="1:8" ht="12.75">
      <c r="A392" s="262"/>
      <c r="B392" s="275" t="s">
        <v>234</v>
      </c>
      <c r="C392" s="792"/>
      <c r="D392" s="792">
        <v>1871</v>
      </c>
      <c r="E392" s="792">
        <v>1871</v>
      </c>
      <c r="F392" s="792">
        <v>1644</v>
      </c>
      <c r="G392" s="708">
        <f t="shared" si="97"/>
        <v>0.8786745056119722</v>
      </c>
      <c r="H392" s="337"/>
    </row>
    <row r="393" spans="1:8" ht="12.75">
      <c r="A393" s="262"/>
      <c r="B393" s="215" t="s">
        <v>92</v>
      </c>
      <c r="C393" s="792"/>
      <c r="D393" s="792"/>
      <c r="E393" s="792"/>
      <c r="F393" s="792"/>
      <c r="G393" s="708"/>
      <c r="H393" s="337"/>
    </row>
    <row r="394" spans="1:8" ht="12.75">
      <c r="A394" s="262"/>
      <c r="B394" s="215" t="s">
        <v>241</v>
      </c>
      <c r="C394" s="270"/>
      <c r="D394" s="270"/>
      <c r="E394" s="270"/>
      <c r="F394" s="270"/>
      <c r="G394" s="708"/>
      <c r="H394" s="298"/>
    </row>
    <row r="395" spans="1:8" ht="12.75">
      <c r="A395" s="262"/>
      <c r="B395" s="215" t="s">
        <v>486</v>
      </c>
      <c r="C395" s="792">
        <v>2000</v>
      </c>
      <c r="D395" s="792">
        <v>2000</v>
      </c>
      <c r="E395" s="792">
        <v>2000</v>
      </c>
      <c r="F395" s="792"/>
      <c r="G395" s="708">
        <f aca="true" t="shared" si="113" ref="G395:G457">F395/E395</f>
        <v>0</v>
      </c>
      <c r="H395" s="613"/>
    </row>
    <row r="396" spans="1:8" ht="12.75" thickBot="1">
      <c r="A396" s="262"/>
      <c r="B396" s="308" t="s">
        <v>222</v>
      </c>
      <c r="C396" s="794"/>
      <c r="D396" s="794"/>
      <c r="E396" s="794"/>
      <c r="F396" s="794"/>
      <c r="G396" s="706"/>
      <c r="H396" s="799"/>
    </row>
    <row r="397" spans="1:8" ht="12.75" thickBot="1">
      <c r="A397" s="281"/>
      <c r="B397" s="311" t="s">
        <v>100</v>
      </c>
      <c r="C397" s="791">
        <f>SUM(C390:C396)</f>
        <v>2000</v>
      </c>
      <c r="D397" s="791">
        <f>SUM(D390:D396)</f>
        <v>13218</v>
      </c>
      <c r="E397" s="791">
        <f>SUM(E390:E396)</f>
        <v>13218</v>
      </c>
      <c r="F397" s="791">
        <f>SUM(F390:F396)</f>
        <v>2620</v>
      </c>
      <c r="G397" s="707">
        <f t="shared" si="113"/>
        <v>0.19821455590860948</v>
      </c>
      <c r="H397" s="326"/>
    </row>
    <row r="398" spans="1:8" ht="12.75">
      <c r="A398" s="262">
        <v>3224</v>
      </c>
      <c r="B398" s="283" t="s">
        <v>611</v>
      </c>
      <c r="C398" s="270"/>
      <c r="D398" s="270"/>
      <c r="E398" s="270"/>
      <c r="F398" s="270"/>
      <c r="G398" s="297"/>
      <c r="H398" s="295"/>
    </row>
    <row r="399" spans="1:8" ht="12.75">
      <c r="A399" s="262"/>
      <c r="B399" s="274" t="s">
        <v>87</v>
      </c>
      <c r="C399" s="792">
        <v>1801</v>
      </c>
      <c r="D399" s="792">
        <v>1801</v>
      </c>
      <c r="E399" s="792">
        <v>1801</v>
      </c>
      <c r="F399" s="792">
        <v>0</v>
      </c>
      <c r="G399" s="708">
        <f t="shared" si="113"/>
        <v>0</v>
      </c>
      <c r="H399" s="321"/>
    </row>
    <row r="400" spans="1:8" ht="12.75">
      <c r="A400" s="262"/>
      <c r="B400" s="149" t="s">
        <v>245</v>
      </c>
      <c r="C400" s="792">
        <v>234</v>
      </c>
      <c r="D400" s="792">
        <v>234</v>
      </c>
      <c r="E400" s="792">
        <v>234</v>
      </c>
      <c r="F400" s="792">
        <v>0</v>
      </c>
      <c r="G400" s="708">
        <f t="shared" si="113"/>
        <v>0</v>
      </c>
      <c r="H400" s="426"/>
    </row>
    <row r="401" spans="1:8" ht="12.75">
      <c r="A401" s="262"/>
      <c r="B401" s="275" t="s">
        <v>234</v>
      </c>
      <c r="C401" s="792">
        <v>922</v>
      </c>
      <c r="D401" s="792">
        <v>922</v>
      </c>
      <c r="E401" s="792">
        <v>922</v>
      </c>
      <c r="F401" s="792">
        <v>0</v>
      </c>
      <c r="G401" s="708">
        <f t="shared" si="113"/>
        <v>0</v>
      </c>
      <c r="H401" s="337"/>
    </row>
    <row r="402" spans="1:8" ht="12.75">
      <c r="A402" s="262"/>
      <c r="B402" s="215" t="s">
        <v>92</v>
      </c>
      <c r="C402" s="792"/>
      <c r="D402" s="792"/>
      <c r="E402" s="792"/>
      <c r="F402" s="792"/>
      <c r="G402" s="708"/>
      <c r="H402" s="337"/>
    </row>
    <row r="403" spans="1:8" ht="12.75">
      <c r="A403" s="262"/>
      <c r="B403" s="215" t="s">
        <v>241</v>
      </c>
      <c r="C403" s="792"/>
      <c r="D403" s="792"/>
      <c r="E403" s="792"/>
      <c r="F403" s="792"/>
      <c r="G403" s="708"/>
      <c r="H403" s="298"/>
    </row>
    <row r="404" spans="1:8" ht="12.75">
      <c r="A404" s="262"/>
      <c r="B404" s="215" t="s">
        <v>486</v>
      </c>
      <c r="C404" s="792"/>
      <c r="D404" s="792"/>
      <c r="E404" s="792"/>
      <c r="F404" s="792"/>
      <c r="G404" s="708"/>
      <c r="H404" s="613"/>
    </row>
    <row r="405" spans="1:8" ht="12.75" thickBot="1">
      <c r="A405" s="262"/>
      <c r="B405" s="308" t="s">
        <v>222</v>
      </c>
      <c r="C405" s="794"/>
      <c r="D405" s="794"/>
      <c r="E405" s="794"/>
      <c r="F405" s="794"/>
      <c r="G405" s="706"/>
      <c r="H405" s="799"/>
    </row>
    <row r="406" spans="1:8" ht="12.75" thickBot="1">
      <c r="A406" s="281"/>
      <c r="B406" s="311" t="s">
        <v>100</v>
      </c>
      <c r="C406" s="791">
        <f aca="true" t="shared" si="114" ref="C406">SUM(C399:C405)</f>
        <v>2957</v>
      </c>
      <c r="D406" s="791">
        <f aca="true" t="shared" si="115" ref="D406">SUM(D399:D405)</f>
        <v>2957</v>
      </c>
      <c r="E406" s="791">
        <f aca="true" t="shared" si="116" ref="E406:F406">SUM(E399:E405)</f>
        <v>2957</v>
      </c>
      <c r="F406" s="791">
        <f t="shared" si="116"/>
        <v>0</v>
      </c>
      <c r="G406" s="707">
        <f t="shared" si="113"/>
        <v>0</v>
      </c>
      <c r="H406" s="326"/>
    </row>
    <row r="407" spans="1:8" ht="12.75">
      <c r="A407" s="262">
        <v>3225</v>
      </c>
      <c r="B407" s="283" t="s">
        <v>524</v>
      </c>
      <c r="C407" s="270"/>
      <c r="D407" s="270"/>
      <c r="E407" s="270"/>
      <c r="F407" s="270"/>
      <c r="G407" s="297"/>
      <c r="H407" s="295"/>
    </row>
    <row r="408" spans="1:8" ht="12.75">
      <c r="A408" s="262"/>
      <c r="B408" s="274" t="s">
        <v>87</v>
      </c>
      <c r="C408" s="792">
        <v>2544</v>
      </c>
      <c r="D408" s="792">
        <f>2544+4058</f>
        <v>6602</v>
      </c>
      <c r="E408" s="792">
        <f>2544+4058</f>
        <v>6602</v>
      </c>
      <c r="F408" s="792">
        <v>98</v>
      </c>
      <c r="G408" s="708">
        <f t="shared" si="113"/>
        <v>0.014843986670705847</v>
      </c>
      <c r="H408" s="321"/>
    </row>
    <row r="409" spans="1:8" ht="12.75">
      <c r="A409" s="262"/>
      <c r="B409" s="149" t="s">
        <v>245</v>
      </c>
      <c r="C409" s="792">
        <v>455</v>
      </c>
      <c r="D409" s="792">
        <f>455+667</f>
        <v>1122</v>
      </c>
      <c r="E409" s="792">
        <f>455+667</f>
        <v>1122</v>
      </c>
      <c r="F409" s="792">
        <v>70</v>
      </c>
      <c r="G409" s="708">
        <f t="shared" si="113"/>
        <v>0.062388591800356503</v>
      </c>
      <c r="H409" s="426"/>
    </row>
    <row r="410" spans="1:8" ht="12.75">
      <c r="A410" s="262"/>
      <c r="B410" s="275" t="s">
        <v>234</v>
      </c>
      <c r="C410" s="792">
        <v>1325</v>
      </c>
      <c r="D410" s="792">
        <f>1325+11</f>
        <v>1336</v>
      </c>
      <c r="E410" s="792">
        <f>1325+11</f>
        <v>1336</v>
      </c>
      <c r="F410" s="792">
        <v>10</v>
      </c>
      <c r="G410" s="708">
        <f t="shared" si="113"/>
        <v>0.0074850299401197605</v>
      </c>
      <c r="H410" s="337"/>
    </row>
    <row r="411" spans="1:8" ht="12.75">
      <c r="A411" s="262"/>
      <c r="B411" s="215" t="s">
        <v>92</v>
      </c>
      <c r="C411" s="792"/>
      <c r="D411" s="792"/>
      <c r="E411" s="792"/>
      <c r="F411" s="792"/>
      <c r="G411" s="708"/>
      <c r="H411" s="337"/>
    </row>
    <row r="412" spans="1:8" ht="12.75">
      <c r="A412" s="262"/>
      <c r="B412" s="215" t="s">
        <v>241</v>
      </c>
      <c r="C412" s="792"/>
      <c r="D412" s="792">
        <v>800</v>
      </c>
      <c r="E412" s="792">
        <v>800</v>
      </c>
      <c r="F412" s="792">
        <v>800</v>
      </c>
      <c r="G412" s="708">
        <f t="shared" si="113"/>
        <v>1</v>
      </c>
      <c r="H412" s="298"/>
    </row>
    <row r="413" spans="1:8" ht="12.75">
      <c r="A413" s="262"/>
      <c r="B413" s="215" t="s">
        <v>486</v>
      </c>
      <c r="C413" s="792"/>
      <c r="D413" s="792"/>
      <c r="E413" s="792"/>
      <c r="F413" s="792"/>
      <c r="G413" s="708"/>
      <c r="H413" s="613"/>
    </row>
    <row r="414" spans="1:8" ht="12.75" thickBot="1">
      <c r="A414" s="262"/>
      <c r="B414" s="308" t="s">
        <v>222</v>
      </c>
      <c r="C414" s="794"/>
      <c r="D414" s="794"/>
      <c r="E414" s="794"/>
      <c r="F414" s="794"/>
      <c r="G414" s="706"/>
      <c r="H414" s="799"/>
    </row>
    <row r="415" spans="1:8" ht="12.75" thickBot="1">
      <c r="A415" s="281"/>
      <c r="B415" s="311" t="s">
        <v>100</v>
      </c>
      <c r="C415" s="791">
        <f aca="true" t="shared" si="117" ref="C415">SUM(C408:C414)</f>
        <v>4324</v>
      </c>
      <c r="D415" s="791">
        <f aca="true" t="shared" si="118" ref="D415">SUM(D408:D414)</f>
        <v>9860</v>
      </c>
      <c r="E415" s="791">
        <f aca="true" t="shared" si="119" ref="E415:F415">SUM(E408:E414)</f>
        <v>9860</v>
      </c>
      <c r="F415" s="791">
        <f t="shared" si="119"/>
        <v>978</v>
      </c>
      <c r="G415" s="707">
        <f t="shared" si="113"/>
        <v>0.09918864097363084</v>
      </c>
      <c r="H415" s="326"/>
    </row>
    <row r="416" spans="1:8" ht="12.75">
      <c r="A416" s="262">
        <v>3226</v>
      </c>
      <c r="B416" s="283" t="s">
        <v>659</v>
      </c>
      <c r="C416" s="270"/>
      <c r="D416" s="270"/>
      <c r="E416" s="270"/>
      <c r="F416" s="270"/>
      <c r="G416" s="297"/>
      <c r="H416" s="295"/>
    </row>
    <row r="417" spans="1:8" ht="12.75">
      <c r="A417" s="262"/>
      <c r="B417" s="274" t="s">
        <v>87</v>
      </c>
      <c r="C417" s="792"/>
      <c r="D417" s="792"/>
      <c r="E417" s="792"/>
      <c r="F417" s="792"/>
      <c r="G417" s="708"/>
      <c r="H417" s="321"/>
    </row>
    <row r="418" spans="1:8" ht="12.75">
      <c r="A418" s="262"/>
      <c r="B418" s="149" t="s">
        <v>245</v>
      </c>
      <c r="C418" s="792"/>
      <c r="D418" s="792"/>
      <c r="E418" s="792"/>
      <c r="F418" s="792"/>
      <c r="G418" s="708"/>
      <c r="H418" s="426"/>
    </row>
    <row r="419" spans="1:8" ht="12.75">
      <c r="A419" s="262"/>
      <c r="B419" s="275" t="s">
        <v>234</v>
      </c>
      <c r="C419" s="792">
        <v>23339</v>
      </c>
      <c r="D419" s="792">
        <v>23339</v>
      </c>
      <c r="E419" s="792">
        <v>23339</v>
      </c>
      <c r="F419" s="792">
        <v>915</v>
      </c>
      <c r="G419" s="708">
        <f t="shared" si="113"/>
        <v>0.03920476455717897</v>
      </c>
      <c r="H419" s="337"/>
    </row>
    <row r="420" spans="1:8" ht="12.75">
      <c r="A420" s="262"/>
      <c r="B420" s="215" t="s">
        <v>92</v>
      </c>
      <c r="C420" s="792"/>
      <c r="D420" s="792"/>
      <c r="E420" s="792"/>
      <c r="F420" s="792"/>
      <c r="G420" s="708"/>
      <c r="H420" s="337"/>
    </row>
    <row r="421" spans="1:8" ht="12.75">
      <c r="A421" s="262"/>
      <c r="B421" s="215" t="s">
        <v>241</v>
      </c>
      <c r="C421" s="792"/>
      <c r="D421" s="792"/>
      <c r="E421" s="792"/>
      <c r="F421" s="792"/>
      <c r="G421" s="708"/>
      <c r="H421" s="298"/>
    </row>
    <row r="422" spans="1:8" ht="12.75">
      <c r="A422" s="262"/>
      <c r="B422" s="215" t="s">
        <v>486</v>
      </c>
      <c r="C422" s="792"/>
      <c r="D422" s="792"/>
      <c r="E422" s="792"/>
      <c r="F422" s="792"/>
      <c r="G422" s="708"/>
      <c r="H422" s="613"/>
    </row>
    <row r="423" spans="1:8" ht="12.75" thickBot="1">
      <c r="A423" s="262"/>
      <c r="B423" s="308" t="s">
        <v>222</v>
      </c>
      <c r="C423" s="794"/>
      <c r="D423" s="794"/>
      <c r="E423" s="794"/>
      <c r="F423" s="794"/>
      <c r="G423" s="706"/>
      <c r="H423" s="799"/>
    </row>
    <row r="424" spans="1:8" ht="12.75" thickBot="1">
      <c r="A424" s="281"/>
      <c r="B424" s="311" t="s">
        <v>100</v>
      </c>
      <c r="C424" s="791">
        <f aca="true" t="shared" si="120" ref="C424">SUM(C417:C423)</f>
        <v>23339</v>
      </c>
      <c r="D424" s="791">
        <f aca="true" t="shared" si="121" ref="D424">SUM(D417:D423)</f>
        <v>23339</v>
      </c>
      <c r="E424" s="791">
        <f aca="true" t="shared" si="122" ref="E424:F424">SUM(E417:E423)</f>
        <v>23339</v>
      </c>
      <c r="F424" s="791">
        <f t="shared" si="122"/>
        <v>915</v>
      </c>
      <c r="G424" s="707">
        <f t="shared" si="113"/>
        <v>0.03920476455717897</v>
      </c>
      <c r="H424" s="326"/>
    </row>
    <row r="425" spans="1:8" ht="12" customHeight="1" thickBot="1">
      <c r="A425" s="262">
        <v>3300</v>
      </c>
      <c r="B425" s="345" t="s">
        <v>32</v>
      </c>
      <c r="C425" s="791">
        <f>SUM(C433+C441+C486+C495+C520+C528+C560+C584+C592+C601+C618+C626+C634+C642+C650+C658+C675+C692+C700+C708+C536+C544+C552+C568+C666)+C461+C512+C610+C684+C576</f>
        <v>819696</v>
      </c>
      <c r="D425" s="791">
        <f>SUM(D433+D441+D486+D495+D520+D528+D560+D584+D592+D601+D618+D626+D634+D642+D650+D658+D675+D692+D700+D708+D536+D544+D552+D568+D666)+D461+D512+D610+D684+D576+D477</f>
        <v>854701</v>
      </c>
      <c r="E425" s="791">
        <f>SUM(E433+E441+E486+E495+E520+E528+E560+E584+E592+E601+E618+E626+E634+E642+E650+E658+E675+E692+E700+E708+E536+E544+E552+E568+E666)+E461+E512+E610+E684+E576+E477</f>
        <v>903979</v>
      </c>
      <c r="F425" s="791">
        <f>SUM(F433+F441+F486+F495+F520+F528+F560+F584+F592+F601+F618+F626+F634+F642+F650+F658+F675+F692+F700+F708+F536+F544+F552+F568+F666)+F461+F512+F610+F684+F576+F477</f>
        <v>558468</v>
      </c>
      <c r="G425" s="707">
        <f t="shared" si="113"/>
        <v>0.6177886875690697</v>
      </c>
      <c r="H425" s="355"/>
    </row>
    <row r="426" spans="1:8" ht="12" customHeight="1">
      <c r="A426" s="262">
        <v>3301</v>
      </c>
      <c r="B426" s="284" t="s">
        <v>113</v>
      </c>
      <c r="C426" s="270"/>
      <c r="D426" s="270"/>
      <c r="E426" s="270"/>
      <c r="F426" s="270"/>
      <c r="G426" s="297"/>
      <c r="H426" s="295" t="s">
        <v>425</v>
      </c>
    </row>
    <row r="427" spans="1:8" ht="12" customHeight="1">
      <c r="A427" s="65"/>
      <c r="B427" s="274" t="s">
        <v>87</v>
      </c>
      <c r="C427" s="792">
        <v>1000</v>
      </c>
      <c r="D427" s="792">
        <v>1102</v>
      </c>
      <c r="E427" s="792">
        <v>1102</v>
      </c>
      <c r="F427" s="792">
        <v>102</v>
      </c>
      <c r="G427" s="708">
        <f t="shared" si="113"/>
        <v>0.0925589836660617</v>
      </c>
      <c r="H427" s="533" t="s">
        <v>424</v>
      </c>
    </row>
    <row r="428" spans="1:8" ht="12" customHeight="1">
      <c r="A428" s="65"/>
      <c r="B428" s="149" t="s">
        <v>245</v>
      </c>
      <c r="C428" s="792">
        <v>300</v>
      </c>
      <c r="D428" s="792">
        <v>300</v>
      </c>
      <c r="E428" s="792">
        <v>300</v>
      </c>
      <c r="F428" s="792">
        <v>0</v>
      </c>
      <c r="G428" s="708">
        <f t="shared" si="113"/>
        <v>0</v>
      </c>
      <c r="H428" s="337"/>
    </row>
    <row r="429" spans="1:8" ht="12" customHeight="1">
      <c r="A429" s="262"/>
      <c r="B429" s="275" t="s">
        <v>234</v>
      </c>
      <c r="C429" s="214">
        <v>12200</v>
      </c>
      <c r="D429" s="214">
        <v>12593</v>
      </c>
      <c r="E429" s="214">
        <f>12593-625</f>
        <v>11968</v>
      </c>
      <c r="F429" s="214">
        <v>288</v>
      </c>
      <c r="G429" s="708">
        <f t="shared" si="113"/>
        <v>0.02406417112299465</v>
      </c>
      <c r="H429" s="337"/>
    </row>
    <row r="430" spans="1:8" ht="12" customHeight="1">
      <c r="A430" s="262"/>
      <c r="B430" s="215" t="s">
        <v>92</v>
      </c>
      <c r="C430" s="214"/>
      <c r="D430" s="214"/>
      <c r="E430" s="214"/>
      <c r="F430" s="214"/>
      <c r="G430" s="708"/>
      <c r="H430" s="337"/>
    </row>
    <row r="431" spans="1:8" ht="12" customHeight="1">
      <c r="A431" s="65"/>
      <c r="B431" s="215" t="s">
        <v>241</v>
      </c>
      <c r="C431" s="792">
        <v>2500</v>
      </c>
      <c r="D431" s="792">
        <v>2500</v>
      </c>
      <c r="E431" s="792">
        <f>2500-2215</f>
        <v>285</v>
      </c>
      <c r="F431" s="792">
        <v>685</v>
      </c>
      <c r="G431" s="708">
        <f t="shared" si="113"/>
        <v>2.4035087719298245</v>
      </c>
      <c r="H431" s="323"/>
    </row>
    <row r="432" spans="1:8" ht="12" customHeight="1" thickBot="1">
      <c r="A432" s="65"/>
      <c r="B432" s="308" t="s">
        <v>222</v>
      </c>
      <c r="C432" s="794"/>
      <c r="D432" s="770"/>
      <c r="E432" s="770">
        <v>2840</v>
      </c>
      <c r="F432" s="770">
        <v>3140</v>
      </c>
      <c r="G432" s="708">
        <f t="shared" si="113"/>
        <v>1.1056338028169015</v>
      </c>
      <c r="H432" s="356"/>
    </row>
    <row r="433" spans="1:8" ht="13.5" customHeight="1" thickBot="1">
      <c r="A433" s="281"/>
      <c r="B433" s="311" t="s">
        <v>100</v>
      </c>
      <c r="C433" s="793">
        <f aca="true" t="shared" si="123" ref="C433">SUM(C427:C432)</f>
        <v>16000</v>
      </c>
      <c r="D433" s="791">
        <f aca="true" t="shared" si="124" ref="D433">SUM(D427:D432)</f>
        <v>16495</v>
      </c>
      <c r="E433" s="791">
        <f aca="true" t="shared" si="125" ref="E433:F433">SUM(E427:E432)</f>
        <v>16495</v>
      </c>
      <c r="F433" s="791">
        <f t="shared" si="125"/>
        <v>4215</v>
      </c>
      <c r="G433" s="707">
        <f t="shared" si="113"/>
        <v>0.25553197938769323</v>
      </c>
      <c r="H433" s="326"/>
    </row>
    <row r="434" spans="1:8" ht="12.75">
      <c r="A434" s="262">
        <v>3302</v>
      </c>
      <c r="B434" s="284" t="s">
        <v>314</v>
      </c>
      <c r="C434" s="270"/>
      <c r="D434" s="270"/>
      <c r="E434" s="270"/>
      <c r="F434" s="270"/>
      <c r="G434" s="297"/>
      <c r="H434" s="321"/>
    </row>
    <row r="435" spans="1:8" ht="12.75">
      <c r="A435" s="65"/>
      <c r="B435" s="274" t="s">
        <v>87</v>
      </c>
      <c r="C435" s="270"/>
      <c r="D435" s="270"/>
      <c r="E435" s="270"/>
      <c r="F435" s="270"/>
      <c r="G435" s="297"/>
      <c r="H435" s="322"/>
    </row>
    <row r="436" spans="1:8" ht="12.75">
      <c r="A436" s="65"/>
      <c r="B436" s="149" t="s">
        <v>245</v>
      </c>
      <c r="C436" s="792"/>
      <c r="D436" s="792"/>
      <c r="E436" s="792"/>
      <c r="F436" s="792"/>
      <c r="G436" s="297"/>
      <c r="H436" s="322" t="s">
        <v>445</v>
      </c>
    </row>
    <row r="437" spans="1:8" ht="12.75">
      <c r="A437" s="262"/>
      <c r="B437" s="275" t="s">
        <v>234</v>
      </c>
      <c r="C437" s="214">
        <v>539682</v>
      </c>
      <c r="D437" s="214">
        <v>539682</v>
      </c>
      <c r="E437" s="214">
        <f>539682+3224+31000</f>
        <v>573906</v>
      </c>
      <c r="F437" s="214">
        <v>397027</v>
      </c>
      <c r="G437" s="708">
        <f t="shared" si="113"/>
        <v>0.69179795994466</v>
      </c>
      <c r="H437" s="427"/>
    </row>
    <row r="438" spans="1:8" ht="12.75">
      <c r="A438" s="262"/>
      <c r="B438" s="215" t="s">
        <v>92</v>
      </c>
      <c r="C438" s="214"/>
      <c r="D438" s="214"/>
      <c r="E438" s="214"/>
      <c r="F438" s="214"/>
      <c r="G438" s="297"/>
      <c r="H438" s="580" t="s">
        <v>450</v>
      </c>
    </row>
    <row r="439" spans="1:8" ht="12.75">
      <c r="A439" s="65"/>
      <c r="B439" s="215" t="s">
        <v>241</v>
      </c>
      <c r="C439" s="792"/>
      <c r="D439" s="792"/>
      <c r="E439" s="792"/>
      <c r="F439" s="792"/>
      <c r="G439" s="297"/>
      <c r="H439" s="323"/>
    </row>
    <row r="440" spans="1:8" ht="12.75" thickBot="1">
      <c r="A440" s="65"/>
      <c r="B440" s="308" t="s">
        <v>60</v>
      </c>
      <c r="C440" s="793"/>
      <c r="D440" s="793"/>
      <c r="E440" s="793"/>
      <c r="F440" s="793"/>
      <c r="G440" s="706"/>
      <c r="H440" s="356"/>
    </row>
    <row r="441" spans="1:8" ht="11.25" customHeight="1" thickBot="1">
      <c r="A441" s="65"/>
      <c r="B441" s="311" t="s">
        <v>100</v>
      </c>
      <c r="C441" s="791">
        <f aca="true" t="shared" si="126" ref="C441">SUM(C435:C440)</f>
        <v>539682</v>
      </c>
      <c r="D441" s="791">
        <f aca="true" t="shared" si="127" ref="D441">SUM(D435:D440)</f>
        <v>539682</v>
      </c>
      <c r="E441" s="791">
        <f aca="true" t="shared" si="128" ref="E441:F441">SUM(E435:E440)</f>
        <v>573906</v>
      </c>
      <c r="F441" s="791">
        <f t="shared" si="128"/>
        <v>397027</v>
      </c>
      <c r="G441" s="707">
        <f t="shared" si="113"/>
        <v>0.69179795994466</v>
      </c>
      <c r="H441" s="326"/>
    </row>
    <row r="442" spans="1:8" ht="12.75">
      <c r="A442" s="65"/>
      <c r="B442" s="734" t="s">
        <v>673</v>
      </c>
      <c r="C442" s="800">
        <v>80952</v>
      </c>
      <c r="D442" s="800">
        <v>80952</v>
      </c>
      <c r="E442" s="800">
        <v>80952</v>
      </c>
      <c r="F442" s="1096"/>
      <c r="G442" s="708">
        <f t="shared" si="113"/>
        <v>0</v>
      </c>
      <c r="H442" s="735"/>
    </row>
    <row r="443" spans="1:8" ht="12" customHeight="1" thickBot="1">
      <c r="A443" s="281"/>
      <c r="B443" s="727" t="s">
        <v>572</v>
      </c>
      <c r="C443" s="801">
        <v>458730</v>
      </c>
      <c r="D443" s="801">
        <v>458730</v>
      </c>
      <c r="E443" s="801">
        <f>E441-E442</f>
        <v>492954</v>
      </c>
      <c r="F443" s="1097"/>
      <c r="G443" s="711">
        <f t="shared" si="113"/>
        <v>0</v>
      </c>
      <c r="H443" s="733"/>
    </row>
    <row r="444" spans="1:8" ht="12.75" hidden="1">
      <c r="A444" s="65">
        <v>3303</v>
      </c>
      <c r="B444" s="333" t="s">
        <v>459</v>
      </c>
      <c r="C444" s="270"/>
      <c r="D444" s="270"/>
      <c r="E444" s="270"/>
      <c r="F444" s="270"/>
      <c r="G444" s="297" t="e">
        <f t="shared" si="113"/>
        <v>#DIV/0!</v>
      </c>
      <c r="H444" s="358"/>
    </row>
    <row r="445" spans="1:8" ht="12.75" hidden="1">
      <c r="A445" s="273"/>
      <c r="B445" s="274" t="s">
        <v>87</v>
      </c>
      <c r="C445" s="792"/>
      <c r="D445" s="792"/>
      <c r="E445" s="792"/>
      <c r="F445" s="792"/>
      <c r="G445" s="297" t="e">
        <f t="shared" si="113"/>
        <v>#DIV/0!</v>
      </c>
      <c r="H445" s="610"/>
    </row>
    <row r="446" spans="1:8" ht="12.75" hidden="1">
      <c r="A446" s="273"/>
      <c r="B446" s="149" t="s">
        <v>245</v>
      </c>
      <c r="C446" s="214"/>
      <c r="D446" s="214"/>
      <c r="E446" s="214"/>
      <c r="F446" s="214"/>
      <c r="G446" s="708" t="e">
        <f t="shared" si="113"/>
        <v>#DIV/0!</v>
      </c>
      <c r="H446" s="427"/>
    </row>
    <row r="447" spans="1:8" ht="12.75" hidden="1">
      <c r="A447" s="273"/>
      <c r="B447" s="275" t="s">
        <v>234</v>
      </c>
      <c r="C447" s="792"/>
      <c r="D447" s="792"/>
      <c r="E447" s="792"/>
      <c r="F447" s="792"/>
      <c r="G447" s="708" t="e">
        <f t="shared" si="113"/>
        <v>#DIV/0!</v>
      </c>
      <c r="H447" s="431"/>
    </row>
    <row r="448" spans="1:8" ht="12.75" hidden="1">
      <c r="A448" s="273"/>
      <c r="B448" s="215" t="s">
        <v>92</v>
      </c>
      <c r="C448" s="214"/>
      <c r="D448" s="214"/>
      <c r="E448" s="214"/>
      <c r="F448" s="214"/>
      <c r="G448" s="708" t="e">
        <f t="shared" si="113"/>
        <v>#DIV/0!</v>
      </c>
      <c r="H448" s="358"/>
    </row>
    <row r="449" spans="1:8" ht="12.75" hidden="1">
      <c r="A449" s="273"/>
      <c r="B449" s="215" t="s">
        <v>241</v>
      </c>
      <c r="C449" s="214"/>
      <c r="D449" s="214"/>
      <c r="E449" s="214"/>
      <c r="F449" s="214"/>
      <c r="G449" s="297" t="e">
        <f t="shared" si="113"/>
        <v>#DIV/0!</v>
      </c>
      <c r="H449" s="524"/>
    </row>
    <row r="450" spans="1:8" ht="12.75" hidden="1">
      <c r="A450" s="273"/>
      <c r="B450" s="215" t="s">
        <v>92</v>
      </c>
      <c r="C450" s="792"/>
      <c r="D450" s="792"/>
      <c r="E450" s="792"/>
      <c r="F450" s="792"/>
      <c r="G450" s="297" t="e">
        <f t="shared" si="113"/>
        <v>#DIV/0!</v>
      </c>
      <c r="H450" s="358"/>
    </row>
    <row r="451" spans="1:8" ht="13.5" hidden="1" thickBot="1">
      <c r="A451" s="273"/>
      <c r="B451" s="215" t="s">
        <v>206</v>
      </c>
      <c r="C451" s="793"/>
      <c r="D451" s="793"/>
      <c r="E451" s="793"/>
      <c r="F451" s="793"/>
      <c r="G451" s="706" t="e">
        <f t="shared" si="113"/>
        <v>#DIV/0!</v>
      </c>
      <c r="H451" s="610"/>
    </row>
    <row r="452" spans="1:8" ht="13.5" hidden="1" thickBot="1">
      <c r="A452" s="281"/>
      <c r="B452" s="311" t="s">
        <v>100</v>
      </c>
      <c r="C452" s="791">
        <f>SUM(C445:C451)</f>
        <v>0</v>
      </c>
      <c r="D452" s="791">
        <f>SUM(D445:D451)</f>
        <v>0</v>
      </c>
      <c r="E452" s="791">
        <f>SUM(E445:E451)</f>
        <v>0</v>
      </c>
      <c r="F452" s="791">
        <f>SUM(F445:F451)</f>
        <v>0</v>
      </c>
      <c r="G452" s="707" t="e">
        <f t="shared" si="113"/>
        <v>#DIV/0!</v>
      </c>
      <c r="H452" s="360"/>
    </row>
    <row r="453" spans="1:8" ht="12.75" hidden="1">
      <c r="A453" s="65">
        <v>3304</v>
      </c>
      <c r="B453" s="333" t="s">
        <v>466</v>
      </c>
      <c r="C453" s="270"/>
      <c r="D453" s="270"/>
      <c r="E453" s="270"/>
      <c r="F453" s="270"/>
      <c r="G453" s="297" t="e">
        <f t="shared" si="113"/>
        <v>#DIV/0!</v>
      </c>
      <c r="H453" s="357"/>
    </row>
    <row r="454" spans="1:8" ht="12.75" hidden="1">
      <c r="A454" s="273"/>
      <c r="B454" s="274" t="s">
        <v>87</v>
      </c>
      <c r="C454" s="214"/>
      <c r="D454" s="214"/>
      <c r="E454" s="214"/>
      <c r="F454" s="214"/>
      <c r="G454" s="297" t="e">
        <f t="shared" si="113"/>
        <v>#DIV/0!</v>
      </c>
      <c r="H454" s="358"/>
    </row>
    <row r="455" spans="1:8" ht="12.75" hidden="1">
      <c r="A455" s="273"/>
      <c r="B455" s="149" t="s">
        <v>245</v>
      </c>
      <c r="C455" s="214"/>
      <c r="D455" s="214"/>
      <c r="E455" s="214"/>
      <c r="F455" s="214"/>
      <c r="G455" s="297" t="e">
        <f t="shared" si="113"/>
        <v>#DIV/0!</v>
      </c>
      <c r="H455" s="361"/>
    </row>
    <row r="456" spans="1:8" ht="12.75" hidden="1">
      <c r="A456" s="273"/>
      <c r="B456" s="275" t="s">
        <v>234</v>
      </c>
      <c r="C456" s="214"/>
      <c r="D456" s="214"/>
      <c r="E456" s="214"/>
      <c r="F456" s="214"/>
      <c r="G456" s="708" t="e">
        <f t="shared" si="113"/>
        <v>#DIV/0!</v>
      </c>
      <c r="H456" s="427"/>
    </row>
    <row r="457" spans="1:8" ht="12.75" hidden="1">
      <c r="A457" s="273"/>
      <c r="B457" s="215" t="s">
        <v>92</v>
      </c>
      <c r="C457" s="214"/>
      <c r="D457" s="214"/>
      <c r="E457" s="214"/>
      <c r="F457" s="214"/>
      <c r="G457" s="297" t="e">
        <f t="shared" si="113"/>
        <v>#DIV/0!</v>
      </c>
      <c r="H457" s="431"/>
    </row>
    <row r="458" spans="1:8" ht="12.75" hidden="1">
      <c r="A458" s="273"/>
      <c r="B458" s="215" t="s">
        <v>241</v>
      </c>
      <c r="C458" s="792"/>
      <c r="D458" s="792"/>
      <c r="E458" s="792"/>
      <c r="F458" s="792"/>
      <c r="G458" s="297" t="e">
        <f aca="true" t="shared" si="129" ref="G458:G520">F458/E458</f>
        <v>#DIV/0!</v>
      </c>
      <c r="H458" s="358"/>
    </row>
    <row r="459" spans="1:8" ht="12.75" hidden="1">
      <c r="A459" s="273"/>
      <c r="B459" s="215" t="s">
        <v>92</v>
      </c>
      <c r="C459" s="214"/>
      <c r="D459" s="214"/>
      <c r="E459" s="214"/>
      <c r="F459" s="214"/>
      <c r="G459" s="297" t="e">
        <f t="shared" si="129"/>
        <v>#DIV/0!</v>
      </c>
      <c r="H459" s="524"/>
    </row>
    <row r="460" spans="1:8" ht="12.75" hidden="1" thickBot="1">
      <c r="A460" s="273"/>
      <c r="B460" s="308" t="s">
        <v>60</v>
      </c>
      <c r="C460" s="790"/>
      <c r="D460" s="790"/>
      <c r="E460" s="790"/>
      <c r="F460" s="790"/>
      <c r="G460" s="706" t="e">
        <f t="shared" si="129"/>
        <v>#DIV/0!</v>
      </c>
      <c r="H460" s="339"/>
    </row>
    <row r="461" spans="1:8" ht="13.5" hidden="1" thickBot="1">
      <c r="A461" s="281"/>
      <c r="B461" s="311" t="s">
        <v>100</v>
      </c>
      <c r="C461" s="791">
        <f>SUM(C454:C460)</f>
        <v>0</v>
      </c>
      <c r="D461" s="791">
        <f>SUM(D454:D460)</f>
        <v>0</v>
      </c>
      <c r="E461" s="791">
        <f>SUM(E454:E460)</f>
        <v>0</v>
      </c>
      <c r="F461" s="791">
        <f>SUM(F454:F460)</f>
        <v>0</v>
      </c>
      <c r="G461" s="707" t="e">
        <f t="shared" si="129"/>
        <v>#DIV/0!</v>
      </c>
      <c r="H461" s="360"/>
    </row>
    <row r="462" spans="1:8" ht="12.75">
      <c r="A462" s="65">
        <v>3303</v>
      </c>
      <c r="B462" s="976" t="s">
        <v>675</v>
      </c>
      <c r="C462" s="386"/>
      <c r="D462" s="386"/>
      <c r="E462" s="386"/>
      <c r="F462" s="386"/>
      <c r="G462" s="890"/>
      <c r="H462" s="973"/>
    </row>
    <row r="463" spans="1:8" ht="12.75">
      <c r="A463" s="65"/>
      <c r="B463" s="274" t="s">
        <v>87</v>
      </c>
      <c r="C463" s="270"/>
      <c r="D463" s="270"/>
      <c r="E463" s="270"/>
      <c r="F463" s="270"/>
      <c r="G463" s="297"/>
      <c r="H463" s="322"/>
    </row>
    <row r="464" spans="1:8" ht="12.75">
      <c r="A464" s="65"/>
      <c r="B464" s="149" t="s">
        <v>245</v>
      </c>
      <c r="C464" s="792"/>
      <c r="D464" s="792"/>
      <c r="E464" s="792"/>
      <c r="F464" s="792"/>
      <c r="G464" s="297"/>
      <c r="H464" s="322"/>
    </row>
    <row r="465" spans="1:8" ht="12.75">
      <c r="A465" s="262"/>
      <c r="B465" s="275" t="s">
        <v>234</v>
      </c>
      <c r="C465" s="214"/>
      <c r="D465" s="214">
        <v>121</v>
      </c>
      <c r="E465" s="214">
        <v>121</v>
      </c>
      <c r="F465" s="214">
        <v>121</v>
      </c>
      <c r="G465" s="708">
        <f t="shared" si="129"/>
        <v>1</v>
      </c>
      <c r="H465" s="427"/>
    </row>
    <row r="466" spans="1:8" ht="12.75">
      <c r="A466" s="262"/>
      <c r="B466" s="215" t="s">
        <v>92</v>
      </c>
      <c r="C466" s="214"/>
      <c r="D466" s="214"/>
      <c r="E466" s="214"/>
      <c r="F466" s="214"/>
      <c r="G466" s="297"/>
      <c r="H466" s="580"/>
    </row>
    <row r="467" spans="1:8" ht="12.75">
      <c r="A467" s="65"/>
      <c r="B467" s="215" t="s">
        <v>241</v>
      </c>
      <c r="C467" s="792"/>
      <c r="D467" s="792"/>
      <c r="E467" s="792"/>
      <c r="F467" s="792"/>
      <c r="G467" s="297"/>
      <c r="H467" s="323"/>
    </row>
    <row r="468" spans="1:8" ht="12.75" thickBot="1">
      <c r="A468" s="65"/>
      <c r="B468" s="308" t="s">
        <v>60</v>
      </c>
      <c r="C468" s="793"/>
      <c r="D468" s="793"/>
      <c r="E468" s="793"/>
      <c r="F468" s="793"/>
      <c r="G468" s="706"/>
      <c r="H468" s="356"/>
    </row>
    <row r="469" spans="1:8" ht="11.25" customHeight="1" thickBot="1">
      <c r="A469" s="281"/>
      <c r="B469" s="311" t="s">
        <v>100</v>
      </c>
      <c r="C469" s="791">
        <f aca="true" t="shared" si="130" ref="C469:D469">SUM(C463:C468)</f>
        <v>0</v>
      </c>
      <c r="D469" s="791">
        <f t="shared" si="130"/>
        <v>121</v>
      </c>
      <c r="E469" s="791">
        <f aca="true" t="shared" si="131" ref="E469:F469">SUM(E463:E468)</f>
        <v>121</v>
      </c>
      <c r="F469" s="791">
        <f t="shared" si="131"/>
        <v>121</v>
      </c>
      <c r="G469" s="707">
        <f t="shared" si="129"/>
        <v>1</v>
      </c>
      <c r="H469" s="326"/>
    </row>
    <row r="470" spans="1:8" ht="12.75">
      <c r="A470" s="65">
        <v>3304</v>
      </c>
      <c r="B470" s="971" t="s">
        <v>466</v>
      </c>
      <c r="C470" s="270"/>
      <c r="D470" s="270"/>
      <c r="E470" s="270"/>
      <c r="F470" s="270"/>
      <c r="G470" s="297"/>
      <c r="H470" s="270"/>
    </row>
    <row r="471" spans="1:8" ht="12.75">
      <c r="A471" s="65"/>
      <c r="B471" s="274" t="s">
        <v>87</v>
      </c>
      <c r="C471" s="270"/>
      <c r="D471" s="270"/>
      <c r="E471" s="270"/>
      <c r="F471" s="270"/>
      <c r="G471" s="297"/>
      <c r="H471" s="270"/>
    </row>
    <row r="472" spans="1:8" ht="12.75">
      <c r="A472" s="65"/>
      <c r="B472" s="149" t="s">
        <v>245</v>
      </c>
      <c r="C472" s="792"/>
      <c r="D472" s="792"/>
      <c r="E472" s="792"/>
      <c r="F472" s="792"/>
      <c r="G472" s="297"/>
      <c r="H472" s="792"/>
    </row>
    <row r="473" spans="1:8" ht="12.75">
      <c r="A473" s="65"/>
      <c r="B473" s="275" t="s">
        <v>234</v>
      </c>
      <c r="C473" s="214"/>
      <c r="D473" s="214">
        <v>2296</v>
      </c>
      <c r="E473" s="214">
        <v>2296</v>
      </c>
      <c r="F473" s="214">
        <v>0</v>
      </c>
      <c r="G473" s="708">
        <f t="shared" si="129"/>
        <v>0</v>
      </c>
      <c r="H473" s="214"/>
    </row>
    <row r="474" spans="1:8" ht="12.75">
      <c r="A474" s="65"/>
      <c r="B474" s="215" t="s">
        <v>92</v>
      </c>
      <c r="C474" s="214"/>
      <c r="D474" s="214"/>
      <c r="E474" s="214"/>
      <c r="F474" s="214"/>
      <c r="G474" s="297"/>
      <c r="H474" s="214"/>
    </row>
    <row r="475" spans="1:8" ht="12.75">
      <c r="A475" s="65"/>
      <c r="B475" s="215" t="s">
        <v>241</v>
      </c>
      <c r="C475" s="792"/>
      <c r="D475" s="792"/>
      <c r="E475" s="792"/>
      <c r="F475" s="792"/>
      <c r="G475" s="297"/>
      <c r="H475" s="792"/>
    </row>
    <row r="476" spans="1:8" ht="12.75" thickBot="1">
      <c r="A476" s="65"/>
      <c r="B476" s="308" t="s">
        <v>60</v>
      </c>
      <c r="C476" s="793"/>
      <c r="D476" s="793"/>
      <c r="E476" s="793"/>
      <c r="F476" s="793"/>
      <c r="G476" s="706"/>
      <c r="H476" s="793"/>
    </row>
    <row r="477" spans="1:8" ht="12.75" thickBot="1">
      <c r="A477" s="65"/>
      <c r="B477" s="311" t="s">
        <v>100</v>
      </c>
      <c r="C477" s="791">
        <f aca="true" t="shared" si="132" ref="C477:D477">SUM(C471:C476)</f>
        <v>0</v>
      </c>
      <c r="D477" s="791">
        <f t="shared" si="132"/>
        <v>2296</v>
      </c>
      <c r="E477" s="791">
        <f aca="true" t="shared" si="133" ref="E477:F477">SUM(E471:E476)</f>
        <v>2296</v>
      </c>
      <c r="F477" s="791">
        <f t="shared" si="133"/>
        <v>0</v>
      </c>
      <c r="G477" s="707">
        <f t="shared" si="129"/>
        <v>0</v>
      </c>
      <c r="H477" s="326"/>
    </row>
    <row r="478" spans="1:8" ht="12" customHeight="1">
      <c r="A478" s="282">
        <v>3306</v>
      </c>
      <c r="B478" s="333" t="s">
        <v>498</v>
      </c>
      <c r="C478" s="270"/>
      <c r="D478" s="270"/>
      <c r="E478" s="270"/>
      <c r="F478" s="270"/>
      <c r="G478" s="297"/>
      <c r="H478" s="357"/>
    </row>
    <row r="479" spans="1:8" ht="12" customHeight="1">
      <c r="A479" s="273"/>
      <c r="B479" s="274" t="s">
        <v>87</v>
      </c>
      <c r="C479" s="214"/>
      <c r="D479" s="214"/>
      <c r="E479" s="214"/>
      <c r="F479" s="214"/>
      <c r="G479" s="297"/>
      <c r="H479" s="358"/>
    </row>
    <row r="480" spans="1:8" ht="12" customHeight="1">
      <c r="A480" s="273"/>
      <c r="B480" s="149" t="s">
        <v>245</v>
      </c>
      <c r="C480" s="214"/>
      <c r="D480" s="214"/>
      <c r="E480" s="214"/>
      <c r="F480" s="214"/>
      <c r="G480" s="297"/>
      <c r="H480" s="361"/>
    </row>
    <row r="481" spans="1:8" ht="12" customHeight="1">
      <c r="A481" s="273"/>
      <c r="B481" s="275" t="s">
        <v>234</v>
      </c>
      <c r="C481" s="214"/>
      <c r="D481" s="214"/>
      <c r="E481" s="214"/>
      <c r="F481" s="214"/>
      <c r="G481" s="709"/>
      <c r="H481" s="431"/>
    </row>
    <row r="482" spans="1:8" ht="12" customHeight="1">
      <c r="A482" s="273"/>
      <c r="B482" s="215" t="s">
        <v>92</v>
      </c>
      <c r="C482" s="214">
        <v>19000</v>
      </c>
      <c r="D482" s="214">
        <v>19003</v>
      </c>
      <c r="E482" s="214">
        <f>19003+3000</f>
        <v>22003</v>
      </c>
      <c r="F482" s="214">
        <v>9718</v>
      </c>
      <c r="G482" s="708">
        <f t="shared" si="129"/>
        <v>0.4416670454028996</v>
      </c>
      <c r="H482" s="427"/>
    </row>
    <row r="483" spans="1:8" ht="12" customHeight="1">
      <c r="A483" s="273"/>
      <c r="B483" s="215" t="s">
        <v>241</v>
      </c>
      <c r="C483" s="792"/>
      <c r="D483" s="792"/>
      <c r="E483" s="792"/>
      <c r="F483" s="792"/>
      <c r="G483" s="708"/>
      <c r="H483" s="358"/>
    </row>
    <row r="484" spans="1:8" ht="12" customHeight="1">
      <c r="A484" s="273"/>
      <c r="B484" s="215" t="s">
        <v>92</v>
      </c>
      <c r="C484" s="214"/>
      <c r="D484" s="214"/>
      <c r="E484" s="214"/>
      <c r="F484" s="214"/>
      <c r="G484" s="708"/>
      <c r="H484" s="362"/>
    </row>
    <row r="485" spans="1:8" ht="12" customHeight="1" thickBot="1">
      <c r="A485" s="273"/>
      <c r="B485" s="308" t="s">
        <v>60</v>
      </c>
      <c r="C485" s="790"/>
      <c r="D485" s="790"/>
      <c r="E485" s="790"/>
      <c r="F485" s="790"/>
      <c r="G485" s="710"/>
      <c r="H485" s="339"/>
    </row>
    <row r="486" spans="1:8" ht="12.75" customHeight="1" thickBot="1">
      <c r="A486" s="281"/>
      <c r="B486" s="311" t="s">
        <v>100</v>
      </c>
      <c r="C486" s="791">
        <f aca="true" t="shared" si="134" ref="C486">SUM(C481:C482)</f>
        <v>19000</v>
      </c>
      <c r="D486" s="791">
        <f aca="true" t="shared" si="135" ref="D486">SUM(D481:D482)</f>
        <v>19003</v>
      </c>
      <c r="E486" s="502">
        <f aca="true" t="shared" si="136" ref="E486:F486">SUM(E481:E482)</f>
        <v>22003</v>
      </c>
      <c r="F486" s="502">
        <f t="shared" si="136"/>
        <v>9718</v>
      </c>
      <c r="G486" s="707">
        <f t="shared" si="129"/>
        <v>0.4416670454028996</v>
      </c>
      <c r="H486" s="360"/>
    </row>
    <row r="487" spans="1:8" ht="12" customHeight="1">
      <c r="A487" s="65">
        <v>3307</v>
      </c>
      <c r="B487" s="333" t="s">
        <v>158</v>
      </c>
      <c r="C487" s="270"/>
      <c r="D487" s="270"/>
      <c r="E487" s="270"/>
      <c r="F487" s="270"/>
      <c r="G487" s="297"/>
      <c r="H487" s="357"/>
    </row>
    <row r="488" spans="1:8" ht="12" customHeight="1">
      <c r="A488" s="273"/>
      <c r="B488" s="274" t="s">
        <v>87</v>
      </c>
      <c r="C488" s="214"/>
      <c r="D488" s="214"/>
      <c r="E488" s="214"/>
      <c r="F488" s="214"/>
      <c r="G488" s="297"/>
      <c r="H488" s="358"/>
    </row>
    <row r="489" spans="1:8" ht="12" customHeight="1">
      <c r="A489" s="273"/>
      <c r="B489" s="149" t="s">
        <v>245</v>
      </c>
      <c r="C489" s="214"/>
      <c r="D489" s="214"/>
      <c r="E489" s="214"/>
      <c r="F489" s="214"/>
      <c r="G489" s="709"/>
      <c r="H489" s="361"/>
    </row>
    <row r="490" spans="1:8" ht="12" customHeight="1">
      <c r="A490" s="273"/>
      <c r="B490" s="275" t="s">
        <v>234</v>
      </c>
      <c r="C490" s="214"/>
      <c r="D490" s="214"/>
      <c r="E490" s="214"/>
      <c r="F490" s="214"/>
      <c r="G490" s="708"/>
      <c r="H490" s="431"/>
    </row>
    <row r="491" spans="1:8" ht="12" customHeight="1">
      <c r="A491" s="273"/>
      <c r="B491" s="215" t="s">
        <v>92</v>
      </c>
      <c r="C491" s="214">
        <v>500</v>
      </c>
      <c r="D491" s="214">
        <v>500</v>
      </c>
      <c r="E491" s="214">
        <v>500</v>
      </c>
      <c r="F491" s="214">
        <v>0</v>
      </c>
      <c r="G491" s="708">
        <f t="shared" si="129"/>
        <v>0</v>
      </c>
      <c r="H491" s="431"/>
    </row>
    <row r="492" spans="1:8" ht="12" customHeight="1">
      <c r="A492" s="273"/>
      <c r="B492" s="215" t="s">
        <v>241</v>
      </c>
      <c r="C492" s="792"/>
      <c r="D492" s="792">
        <v>1063</v>
      </c>
      <c r="E492" s="792">
        <v>1063</v>
      </c>
      <c r="F492" s="792">
        <v>0</v>
      </c>
      <c r="G492" s="708">
        <f t="shared" si="129"/>
        <v>0</v>
      </c>
      <c r="H492" s="427"/>
    </row>
    <row r="493" spans="1:8" ht="12" customHeight="1">
      <c r="A493" s="273"/>
      <c r="B493" s="215" t="s">
        <v>92</v>
      </c>
      <c r="C493" s="214"/>
      <c r="D493" s="214"/>
      <c r="E493" s="214"/>
      <c r="F493" s="214"/>
      <c r="G493" s="708"/>
      <c r="H493" s="362"/>
    </row>
    <row r="494" spans="1:8" ht="12" customHeight="1" thickBot="1">
      <c r="A494" s="273"/>
      <c r="B494" s="308" t="s">
        <v>60</v>
      </c>
      <c r="C494" s="790"/>
      <c r="D494" s="790"/>
      <c r="E494" s="790"/>
      <c r="F494" s="790"/>
      <c r="G494" s="710"/>
      <c r="H494" s="339"/>
    </row>
    <row r="495" spans="1:8" ht="12" customHeight="1" thickBot="1">
      <c r="A495" s="281"/>
      <c r="B495" s="311" t="s">
        <v>100</v>
      </c>
      <c r="C495" s="791">
        <f aca="true" t="shared" si="137" ref="C495">SUM(C488:C494)</f>
        <v>500</v>
      </c>
      <c r="D495" s="791">
        <f aca="true" t="shared" si="138" ref="D495">SUM(D488:D494)</f>
        <v>1563</v>
      </c>
      <c r="E495" s="791">
        <f aca="true" t="shared" si="139" ref="E495:F495">SUM(E488:E494)</f>
        <v>1563</v>
      </c>
      <c r="F495" s="791">
        <f t="shared" si="139"/>
        <v>0</v>
      </c>
      <c r="G495" s="707">
        <f t="shared" si="129"/>
        <v>0</v>
      </c>
      <c r="H495" s="360"/>
    </row>
    <row r="496" spans="1:8" ht="12" customHeight="1">
      <c r="A496" s="65">
        <v>3308</v>
      </c>
      <c r="B496" s="333" t="s">
        <v>691</v>
      </c>
      <c r="C496" s="270"/>
      <c r="D496" s="270"/>
      <c r="E496" s="270"/>
      <c r="F496" s="270"/>
      <c r="G496" s="297"/>
      <c r="H496" s="357"/>
    </row>
    <row r="497" spans="1:8" ht="12" customHeight="1">
      <c r="A497" s="273"/>
      <c r="B497" s="274" t="s">
        <v>87</v>
      </c>
      <c r="C497" s="214"/>
      <c r="D497" s="214"/>
      <c r="E497" s="214"/>
      <c r="F497" s="214"/>
      <c r="G497" s="297"/>
      <c r="H497" s="358"/>
    </row>
    <row r="498" spans="1:8" ht="12" customHeight="1">
      <c r="A498" s="273"/>
      <c r="B498" s="149" t="s">
        <v>245</v>
      </c>
      <c r="C498" s="214"/>
      <c r="D498" s="214"/>
      <c r="E498" s="214"/>
      <c r="F498" s="214"/>
      <c r="G498" s="709"/>
      <c r="H498" s="361"/>
    </row>
    <row r="499" spans="1:8" ht="12" customHeight="1">
      <c r="A499" s="273"/>
      <c r="B499" s="275" t="s">
        <v>234</v>
      </c>
      <c r="C499" s="214"/>
      <c r="D499" s="214">
        <v>20000</v>
      </c>
      <c r="E499" s="214">
        <v>20000</v>
      </c>
      <c r="F499" s="214">
        <v>0</v>
      </c>
      <c r="G499" s="708">
        <f t="shared" si="129"/>
        <v>0</v>
      </c>
      <c r="H499" s="431"/>
    </row>
    <row r="500" spans="1:8" ht="12" customHeight="1">
      <c r="A500" s="273"/>
      <c r="B500" s="215" t="s">
        <v>92</v>
      </c>
      <c r="C500" s="214"/>
      <c r="D500" s="214"/>
      <c r="E500" s="214"/>
      <c r="F500" s="214"/>
      <c r="G500" s="708"/>
      <c r="H500" s="431"/>
    </row>
    <row r="501" spans="1:8" ht="12" customHeight="1">
      <c r="A501" s="273"/>
      <c r="B501" s="215" t="s">
        <v>241</v>
      </c>
      <c r="C501" s="792"/>
      <c r="D501" s="792"/>
      <c r="E501" s="792"/>
      <c r="F501" s="792"/>
      <c r="G501" s="708"/>
      <c r="H501" s="427"/>
    </row>
    <row r="502" spans="1:8" ht="12" customHeight="1">
      <c r="A502" s="273"/>
      <c r="B502" s="215" t="s">
        <v>92</v>
      </c>
      <c r="C502" s="214"/>
      <c r="D502" s="214"/>
      <c r="E502" s="214"/>
      <c r="F502" s="214"/>
      <c r="G502" s="708"/>
      <c r="H502" s="362"/>
    </row>
    <row r="503" spans="1:8" ht="12" customHeight="1" thickBot="1">
      <c r="A503" s="273"/>
      <c r="B503" s="308" t="s">
        <v>60</v>
      </c>
      <c r="C503" s="790"/>
      <c r="D503" s="790"/>
      <c r="E503" s="790"/>
      <c r="F503" s="790"/>
      <c r="G503" s="710"/>
      <c r="H503" s="339"/>
    </row>
    <row r="504" spans="1:8" ht="12" customHeight="1" thickBot="1">
      <c r="A504" s="281"/>
      <c r="B504" s="311" t="s">
        <v>100</v>
      </c>
      <c r="C504" s="791">
        <f aca="true" t="shared" si="140" ref="C504:D504">SUM(C497:C503)</f>
        <v>0</v>
      </c>
      <c r="D504" s="791">
        <f t="shared" si="140"/>
        <v>20000</v>
      </c>
      <c r="E504" s="791">
        <f aca="true" t="shared" si="141" ref="E504:F504">SUM(E497:E503)</f>
        <v>20000</v>
      </c>
      <c r="F504" s="791">
        <f t="shared" si="141"/>
        <v>0</v>
      </c>
      <c r="G504" s="707">
        <f t="shared" si="129"/>
        <v>0</v>
      </c>
      <c r="H504" s="360"/>
    </row>
    <row r="505" spans="1:8" ht="12" customHeight="1">
      <c r="A505" s="65">
        <v>3309</v>
      </c>
      <c r="B505" s="171" t="s">
        <v>520</v>
      </c>
      <c r="C505" s="270"/>
      <c r="D505" s="270"/>
      <c r="E505" s="270"/>
      <c r="F505" s="270"/>
      <c r="G505" s="297"/>
      <c r="H505" s="322"/>
    </row>
    <row r="506" spans="1:8" ht="12" customHeight="1">
      <c r="A506" s="273"/>
      <c r="B506" s="274" t="s">
        <v>87</v>
      </c>
      <c r="C506" s="214"/>
      <c r="D506" s="214"/>
      <c r="E506" s="214"/>
      <c r="F506" s="214"/>
      <c r="G506" s="297"/>
      <c r="H506" s="322"/>
    </row>
    <row r="507" spans="1:8" ht="12" customHeight="1">
      <c r="A507" s="273"/>
      <c r="B507" s="149" t="s">
        <v>245</v>
      </c>
      <c r="C507" s="214"/>
      <c r="D507" s="214"/>
      <c r="E507" s="214"/>
      <c r="F507" s="214"/>
      <c r="G507" s="709"/>
      <c r="H507" s="426"/>
    </row>
    <row r="508" spans="1:8" ht="12" customHeight="1">
      <c r="A508" s="273"/>
      <c r="B508" s="275" t="s">
        <v>234</v>
      </c>
      <c r="C508" s="214"/>
      <c r="D508" s="214"/>
      <c r="E508" s="214"/>
      <c r="F508" s="214"/>
      <c r="G508" s="708"/>
      <c r="H508" s="427"/>
    </row>
    <row r="509" spans="1:8" ht="12" customHeight="1">
      <c r="A509" s="273"/>
      <c r="B509" s="215" t="s">
        <v>92</v>
      </c>
      <c r="C509" s="214">
        <v>42000</v>
      </c>
      <c r="D509" s="214">
        <v>42008</v>
      </c>
      <c r="E509" s="214">
        <f>42008+5000</f>
        <v>47008</v>
      </c>
      <c r="F509" s="214">
        <v>31402</v>
      </c>
      <c r="G509" s="708">
        <f t="shared" si="129"/>
        <v>0.6680139550714772</v>
      </c>
      <c r="H509" s="431"/>
    </row>
    <row r="510" spans="1:8" ht="12" customHeight="1">
      <c r="A510" s="273"/>
      <c r="B510" s="215" t="s">
        <v>241</v>
      </c>
      <c r="C510" s="792"/>
      <c r="D510" s="792"/>
      <c r="E510" s="792"/>
      <c r="F510" s="792"/>
      <c r="G510" s="708"/>
      <c r="H510" s="611"/>
    </row>
    <row r="511" spans="1:8" ht="12" customHeight="1" thickBot="1">
      <c r="A511" s="273"/>
      <c r="B511" s="308" t="s">
        <v>60</v>
      </c>
      <c r="C511" s="790"/>
      <c r="D511" s="790"/>
      <c r="E511" s="790"/>
      <c r="F511" s="790"/>
      <c r="G511" s="710"/>
      <c r="H511" s="339"/>
    </row>
    <row r="512" spans="1:8" ht="11.25" customHeight="1" thickBot="1">
      <c r="A512" s="281"/>
      <c r="B512" s="311" t="s">
        <v>100</v>
      </c>
      <c r="C512" s="791">
        <f aca="true" t="shared" si="142" ref="C512">SUM(C506:C511)</f>
        <v>42000</v>
      </c>
      <c r="D512" s="791">
        <f aca="true" t="shared" si="143" ref="D512">SUM(D506:D511)</f>
        <v>42008</v>
      </c>
      <c r="E512" s="502">
        <f aca="true" t="shared" si="144" ref="E512:F512">SUM(E506:E511)</f>
        <v>47008</v>
      </c>
      <c r="F512" s="502">
        <f t="shared" si="144"/>
        <v>31402</v>
      </c>
      <c r="G512" s="707">
        <f t="shared" si="129"/>
        <v>0.6680139550714772</v>
      </c>
      <c r="H512" s="326"/>
    </row>
    <row r="513" spans="1:8" ht="12" customHeight="1">
      <c r="A513" s="65">
        <v>3311</v>
      </c>
      <c r="B513" s="171" t="s">
        <v>101</v>
      </c>
      <c r="C513" s="270"/>
      <c r="D513" s="270"/>
      <c r="E513" s="270"/>
      <c r="F513" s="270"/>
      <c r="G513" s="297"/>
      <c r="H513" s="322"/>
    </row>
    <row r="514" spans="1:8" ht="12" customHeight="1">
      <c r="A514" s="273"/>
      <c r="B514" s="274" t="s">
        <v>87</v>
      </c>
      <c r="C514" s="214"/>
      <c r="D514" s="214"/>
      <c r="E514" s="214"/>
      <c r="F514" s="214"/>
      <c r="G514" s="297"/>
      <c r="H514" s="322"/>
    </row>
    <row r="515" spans="1:8" ht="12" customHeight="1">
      <c r="A515" s="273"/>
      <c r="B515" s="149" t="s">
        <v>245</v>
      </c>
      <c r="C515" s="214"/>
      <c r="D515" s="214"/>
      <c r="E515" s="214"/>
      <c r="F515" s="214"/>
      <c r="G515" s="709"/>
      <c r="H515" s="322"/>
    </row>
    <row r="516" spans="1:8" ht="12" customHeight="1">
      <c r="A516" s="273"/>
      <c r="B516" s="275" t="s">
        <v>234</v>
      </c>
      <c r="C516" s="214"/>
      <c r="D516" s="214"/>
      <c r="E516" s="214"/>
      <c r="F516" s="214"/>
      <c r="G516" s="708"/>
      <c r="H516" s="426"/>
    </row>
    <row r="517" spans="1:8" ht="12" customHeight="1">
      <c r="A517" s="273"/>
      <c r="B517" s="215" t="s">
        <v>92</v>
      </c>
      <c r="C517" s="214">
        <v>8000</v>
      </c>
      <c r="D517" s="214">
        <v>8195</v>
      </c>
      <c r="E517" s="214">
        <f>8195+1000</f>
        <v>9195</v>
      </c>
      <c r="F517" s="214">
        <v>5133</v>
      </c>
      <c r="G517" s="708">
        <f t="shared" si="129"/>
        <v>0.5582381729200653</v>
      </c>
      <c r="H517" s="457"/>
    </row>
    <row r="518" spans="1:8" ht="12" customHeight="1">
      <c r="A518" s="273"/>
      <c r="B518" s="215" t="s">
        <v>241</v>
      </c>
      <c r="C518" s="792"/>
      <c r="D518" s="792"/>
      <c r="E518" s="792"/>
      <c r="F518" s="792"/>
      <c r="G518" s="708"/>
      <c r="H518" s="359"/>
    </row>
    <row r="519" spans="1:8" ht="12" customHeight="1" thickBot="1">
      <c r="A519" s="273"/>
      <c r="B519" s="308" t="s">
        <v>60</v>
      </c>
      <c r="C519" s="790"/>
      <c r="D519" s="790"/>
      <c r="E519" s="790"/>
      <c r="F519" s="790"/>
      <c r="G519" s="710"/>
      <c r="H519" s="339"/>
    </row>
    <row r="520" spans="1:8" ht="12.75" thickBot="1">
      <c r="A520" s="281"/>
      <c r="B520" s="311" t="s">
        <v>100</v>
      </c>
      <c r="C520" s="791">
        <f aca="true" t="shared" si="145" ref="C520">SUM(C514:C519)</f>
        <v>8000</v>
      </c>
      <c r="D520" s="791">
        <f aca="true" t="shared" si="146" ref="D520">SUM(D514:D519)</f>
        <v>8195</v>
      </c>
      <c r="E520" s="502">
        <f aca="true" t="shared" si="147" ref="E520:F520">SUM(E514:E519)</f>
        <v>9195</v>
      </c>
      <c r="F520" s="502">
        <f t="shared" si="147"/>
        <v>5133</v>
      </c>
      <c r="G520" s="707">
        <f t="shared" si="129"/>
        <v>0.5582381729200653</v>
      </c>
      <c r="H520" s="326"/>
    </row>
    <row r="521" spans="1:8" ht="12.75">
      <c r="A521" s="282">
        <v>3312</v>
      </c>
      <c r="B521" s="171" t="s">
        <v>315</v>
      </c>
      <c r="C521" s="270"/>
      <c r="D521" s="270"/>
      <c r="E521" s="270"/>
      <c r="F521" s="270"/>
      <c r="G521" s="297"/>
      <c r="H521" s="322"/>
    </row>
    <row r="522" spans="1:8" ht="12.75">
      <c r="A522" s="273"/>
      <c r="B522" s="274" t="s">
        <v>87</v>
      </c>
      <c r="C522" s="214"/>
      <c r="D522" s="214"/>
      <c r="E522" s="214"/>
      <c r="F522" s="214"/>
      <c r="G522" s="297"/>
      <c r="H522" s="322"/>
    </row>
    <row r="523" spans="1:8" ht="12.75">
      <c r="A523" s="273"/>
      <c r="B523" s="149" t="s">
        <v>245</v>
      </c>
      <c r="C523" s="214"/>
      <c r="D523" s="214"/>
      <c r="E523" s="214"/>
      <c r="F523" s="214"/>
      <c r="G523" s="709"/>
      <c r="H523" s="359"/>
    </row>
    <row r="524" spans="1:8" ht="12.75">
      <c r="A524" s="273"/>
      <c r="B524" s="275" t="s">
        <v>234</v>
      </c>
      <c r="C524" s="214">
        <v>900</v>
      </c>
      <c r="D524" s="214">
        <v>900</v>
      </c>
      <c r="E524" s="214">
        <v>900</v>
      </c>
      <c r="F524" s="214">
        <v>711</v>
      </c>
      <c r="G524" s="708">
        <f aca="true" t="shared" si="148" ref="G524:G584">F524/E524</f>
        <v>0.79</v>
      </c>
      <c r="H524" s="427"/>
    </row>
    <row r="525" spans="1:8" ht="12.75">
      <c r="A525" s="273"/>
      <c r="B525" s="215" t="s">
        <v>92</v>
      </c>
      <c r="C525" s="214">
        <v>35000</v>
      </c>
      <c r="D525" s="214">
        <v>35000</v>
      </c>
      <c r="E525" s="214">
        <v>35000</v>
      </c>
      <c r="F525" s="214">
        <v>19114</v>
      </c>
      <c r="G525" s="708">
        <f t="shared" si="148"/>
        <v>0.5461142857142857</v>
      </c>
      <c r="H525" s="426"/>
    </row>
    <row r="526" spans="1:8" ht="12.75">
      <c r="A526" s="273"/>
      <c r="B526" s="215" t="s">
        <v>241</v>
      </c>
      <c r="C526" s="792"/>
      <c r="D526" s="792"/>
      <c r="E526" s="792"/>
      <c r="F526" s="792"/>
      <c r="G526" s="708"/>
      <c r="H526" s="524"/>
    </row>
    <row r="527" spans="1:8" ht="12.75" thickBot="1">
      <c r="A527" s="273"/>
      <c r="B527" s="308" t="s">
        <v>60</v>
      </c>
      <c r="C527" s="790"/>
      <c r="D527" s="790"/>
      <c r="E527" s="790"/>
      <c r="F527" s="790"/>
      <c r="G527" s="710"/>
      <c r="H527" s="339"/>
    </row>
    <row r="528" spans="1:8" ht="12.75" thickBot="1">
      <c r="A528" s="281"/>
      <c r="B528" s="311" t="s">
        <v>100</v>
      </c>
      <c r="C528" s="791">
        <f aca="true" t="shared" si="149" ref="C528">SUM(C522:C527)</f>
        <v>35900</v>
      </c>
      <c r="D528" s="791">
        <f aca="true" t="shared" si="150" ref="D528">SUM(D522:D527)</f>
        <v>35900</v>
      </c>
      <c r="E528" s="791">
        <f aca="true" t="shared" si="151" ref="E528:F528">SUM(E522:E527)</f>
        <v>35900</v>
      </c>
      <c r="F528" s="791">
        <f t="shared" si="151"/>
        <v>19825</v>
      </c>
      <c r="G528" s="707">
        <f t="shared" si="148"/>
        <v>0.5522284122562674</v>
      </c>
      <c r="H528" s="326"/>
    </row>
    <row r="529" spans="1:8" ht="12.75">
      <c r="A529" s="282">
        <v>3313</v>
      </c>
      <c r="B529" s="333" t="s">
        <v>530</v>
      </c>
      <c r="C529" s="270"/>
      <c r="D529" s="270"/>
      <c r="E529" s="270"/>
      <c r="F529" s="270"/>
      <c r="G529" s="297"/>
      <c r="H529" s="322"/>
    </row>
    <row r="530" spans="1:8" ht="12.75">
      <c r="A530" s="273"/>
      <c r="B530" s="274" t="s">
        <v>87</v>
      </c>
      <c r="C530" s="214"/>
      <c r="D530" s="214"/>
      <c r="E530" s="214"/>
      <c r="F530" s="214"/>
      <c r="G530" s="297"/>
      <c r="H530" s="322"/>
    </row>
    <row r="531" spans="1:8" ht="12.75">
      <c r="A531" s="273"/>
      <c r="B531" s="149" t="s">
        <v>245</v>
      </c>
      <c r="C531" s="214"/>
      <c r="D531" s="214"/>
      <c r="E531" s="214"/>
      <c r="F531" s="214"/>
      <c r="G531" s="709"/>
      <c r="H531" s="359"/>
    </row>
    <row r="532" spans="1:8" ht="12.75">
      <c r="A532" s="273"/>
      <c r="B532" s="275" t="s">
        <v>234</v>
      </c>
      <c r="C532" s="214">
        <v>150</v>
      </c>
      <c r="D532" s="214">
        <v>150</v>
      </c>
      <c r="E532" s="214">
        <v>150</v>
      </c>
      <c r="F532" s="214">
        <v>151</v>
      </c>
      <c r="G532" s="709">
        <f t="shared" si="148"/>
        <v>1.0066666666666666</v>
      </c>
      <c r="H532" s="427"/>
    </row>
    <row r="533" spans="1:8" ht="12.75">
      <c r="A533" s="273"/>
      <c r="B533" s="215" t="s">
        <v>92</v>
      </c>
      <c r="C533" s="214">
        <v>5000</v>
      </c>
      <c r="D533" s="214">
        <v>5020</v>
      </c>
      <c r="E533" s="214">
        <f>5020+3000</f>
        <v>8020</v>
      </c>
      <c r="F533" s="214">
        <v>6865</v>
      </c>
      <c r="G533" s="709">
        <f t="shared" si="148"/>
        <v>0.8559850374064838</v>
      </c>
      <c r="H533" s="426"/>
    </row>
    <row r="534" spans="1:8" ht="12.75">
      <c r="A534" s="273"/>
      <c r="B534" s="215" t="s">
        <v>241</v>
      </c>
      <c r="C534" s="792"/>
      <c r="D534" s="792"/>
      <c r="E534" s="792"/>
      <c r="F534" s="792"/>
      <c r="G534" s="709"/>
      <c r="H534" s="524"/>
    </row>
    <row r="535" spans="1:8" ht="12.75" thickBot="1">
      <c r="A535" s="273"/>
      <c r="B535" s="308" t="s">
        <v>60</v>
      </c>
      <c r="C535" s="790"/>
      <c r="D535" s="790"/>
      <c r="E535" s="790"/>
      <c r="F535" s="790"/>
      <c r="G535" s="710"/>
      <c r="H535" s="339"/>
    </row>
    <row r="536" spans="1:8" ht="12.75" thickBot="1">
      <c r="A536" s="281"/>
      <c r="B536" s="311" t="s">
        <v>100</v>
      </c>
      <c r="C536" s="791">
        <f aca="true" t="shared" si="152" ref="C536">SUM(C530:C535)</f>
        <v>5150</v>
      </c>
      <c r="D536" s="791">
        <f aca="true" t="shared" si="153" ref="D536">SUM(D530:D535)</f>
        <v>5170</v>
      </c>
      <c r="E536" s="502">
        <f aca="true" t="shared" si="154" ref="E536:F536">SUM(E530:E535)</f>
        <v>8170</v>
      </c>
      <c r="F536" s="502">
        <f t="shared" si="154"/>
        <v>7016</v>
      </c>
      <c r="G536" s="707">
        <f t="shared" si="148"/>
        <v>0.85875152998776</v>
      </c>
      <c r="H536" s="326"/>
    </row>
    <row r="537" spans="1:8" ht="12.75">
      <c r="A537" s="282">
        <v>3316</v>
      </c>
      <c r="B537" s="171" t="s">
        <v>102</v>
      </c>
      <c r="C537" s="270"/>
      <c r="D537" s="270"/>
      <c r="E537" s="270"/>
      <c r="F537" s="270"/>
      <c r="G537" s="297"/>
      <c r="H537" s="322"/>
    </row>
    <row r="538" spans="1:8" ht="12.75">
      <c r="A538" s="273"/>
      <c r="B538" s="274" t="s">
        <v>87</v>
      </c>
      <c r="C538" s="214"/>
      <c r="D538" s="214"/>
      <c r="E538" s="214"/>
      <c r="F538" s="214"/>
      <c r="G538" s="297"/>
      <c r="H538" s="322"/>
    </row>
    <row r="539" spans="1:8" ht="12.75">
      <c r="A539" s="273"/>
      <c r="B539" s="149" t="s">
        <v>245</v>
      </c>
      <c r="C539" s="214"/>
      <c r="D539" s="214"/>
      <c r="E539" s="214"/>
      <c r="F539" s="214"/>
      <c r="G539" s="297"/>
      <c r="H539" s="359"/>
    </row>
    <row r="540" spans="1:8" ht="12.75">
      <c r="A540" s="273"/>
      <c r="B540" s="275" t="s">
        <v>234</v>
      </c>
      <c r="C540" s="214"/>
      <c r="D540" s="214"/>
      <c r="E540" s="214"/>
      <c r="F540" s="214"/>
      <c r="G540" s="712"/>
      <c r="H540" s="426"/>
    </row>
    <row r="541" spans="1:8" ht="12.75">
      <c r="A541" s="273"/>
      <c r="B541" s="215" t="s">
        <v>92</v>
      </c>
      <c r="C541" s="214">
        <v>6000</v>
      </c>
      <c r="D541" s="214">
        <v>6000</v>
      </c>
      <c r="E541" s="214">
        <f>6000-2000</f>
        <v>4000</v>
      </c>
      <c r="F541" s="214">
        <v>2256</v>
      </c>
      <c r="G541" s="709">
        <f t="shared" si="148"/>
        <v>0.564</v>
      </c>
      <c r="H541" s="322"/>
    </row>
    <row r="542" spans="1:8" ht="12.75">
      <c r="A542" s="273"/>
      <c r="B542" s="215" t="s">
        <v>241</v>
      </c>
      <c r="C542" s="792"/>
      <c r="D542" s="792"/>
      <c r="E542" s="792"/>
      <c r="F542" s="792"/>
      <c r="G542" s="709"/>
      <c r="H542" s="322"/>
    </row>
    <row r="543" spans="1:8" ht="12.75" thickBot="1">
      <c r="A543" s="273"/>
      <c r="B543" s="308" t="s">
        <v>60</v>
      </c>
      <c r="C543" s="790"/>
      <c r="D543" s="790"/>
      <c r="E543" s="790"/>
      <c r="F543" s="790"/>
      <c r="G543" s="710"/>
      <c r="H543" s="339"/>
    </row>
    <row r="544" spans="1:8" ht="12.75" thickBot="1">
      <c r="A544" s="281"/>
      <c r="B544" s="311" t="s">
        <v>100</v>
      </c>
      <c r="C544" s="791">
        <f aca="true" t="shared" si="155" ref="C544">SUM(C538:C543)</f>
        <v>6000</v>
      </c>
      <c r="D544" s="791">
        <f aca="true" t="shared" si="156" ref="D544">SUM(D538:D543)</f>
        <v>6000</v>
      </c>
      <c r="E544" s="502">
        <f aca="true" t="shared" si="157" ref="E544:F544">SUM(E538:E543)</f>
        <v>4000</v>
      </c>
      <c r="F544" s="502">
        <f t="shared" si="157"/>
        <v>2256</v>
      </c>
      <c r="G544" s="707">
        <f t="shared" si="148"/>
        <v>0.564</v>
      </c>
      <c r="H544" s="326"/>
    </row>
    <row r="545" spans="1:8" ht="12.75">
      <c r="A545" s="282">
        <v>3317</v>
      </c>
      <c r="B545" s="614" t="s">
        <v>499</v>
      </c>
      <c r="C545" s="270"/>
      <c r="D545" s="270"/>
      <c r="E545" s="270"/>
      <c r="F545" s="270"/>
      <c r="G545" s="297"/>
      <c r="H545" s="322"/>
    </row>
    <row r="546" spans="1:8" ht="12.75">
      <c r="A546" s="273"/>
      <c r="B546" s="274" t="s">
        <v>87</v>
      </c>
      <c r="C546" s="214"/>
      <c r="D546" s="214"/>
      <c r="E546" s="214"/>
      <c r="F546" s="214"/>
      <c r="G546" s="709"/>
      <c r="H546" s="322"/>
    </row>
    <row r="547" spans="1:8" ht="12.75">
      <c r="A547" s="273"/>
      <c r="B547" s="149" t="s">
        <v>245</v>
      </c>
      <c r="C547" s="214"/>
      <c r="D547" s="214"/>
      <c r="E547" s="214"/>
      <c r="F547" s="214"/>
      <c r="G547" s="709"/>
      <c r="H547" s="427"/>
    </row>
    <row r="548" spans="1:8" ht="12.75">
      <c r="A548" s="273"/>
      <c r="B548" s="275" t="s">
        <v>234</v>
      </c>
      <c r="C548" s="214">
        <v>1500</v>
      </c>
      <c r="D548" s="214">
        <v>1500</v>
      </c>
      <c r="E548" s="214">
        <v>1500</v>
      </c>
      <c r="F548" s="214">
        <v>1102</v>
      </c>
      <c r="G548" s="709">
        <f t="shared" si="148"/>
        <v>0.7346666666666667</v>
      </c>
      <c r="H548" s="427"/>
    </row>
    <row r="549" spans="1:8" ht="12.75">
      <c r="A549" s="273"/>
      <c r="B549" s="215" t="s">
        <v>92</v>
      </c>
      <c r="C549" s="214">
        <v>35000</v>
      </c>
      <c r="D549" s="214">
        <v>35208</v>
      </c>
      <c r="E549" s="214">
        <v>35208</v>
      </c>
      <c r="F549" s="214">
        <v>21841</v>
      </c>
      <c r="G549" s="709">
        <f t="shared" si="148"/>
        <v>0.6203419677346058</v>
      </c>
      <c r="H549" s="426"/>
    </row>
    <row r="550" spans="1:8" ht="12.75">
      <c r="A550" s="273"/>
      <c r="B550" s="215" t="s">
        <v>241</v>
      </c>
      <c r="C550" s="792"/>
      <c r="D550" s="792"/>
      <c r="E550" s="792"/>
      <c r="F550" s="792"/>
      <c r="G550" s="709"/>
      <c r="H550" s="524"/>
    </row>
    <row r="551" spans="1:8" ht="12.75" thickBot="1">
      <c r="A551" s="273"/>
      <c r="B551" s="308" t="s">
        <v>60</v>
      </c>
      <c r="C551" s="790"/>
      <c r="D551" s="790"/>
      <c r="E551" s="790"/>
      <c r="F551" s="790"/>
      <c r="G551" s="710"/>
      <c r="H551" s="339"/>
    </row>
    <row r="552" spans="1:8" ht="12.75" thickBot="1">
      <c r="A552" s="281"/>
      <c r="B552" s="311" t="s">
        <v>100</v>
      </c>
      <c r="C552" s="791">
        <f aca="true" t="shared" si="158" ref="C552">SUM(C546:C551)</f>
        <v>36500</v>
      </c>
      <c r="D552" s="791">
        <f aca="true" t="shared" si="159" ref="D552">SUM(D546:D551)</f>
        <v>36708</v>
      </c>
      <c r="E552" s="791">
        <f aca="true" t="shared" si="160" ref="E552:F552">SUM(E546:E551)</f>
        <v>36708</v>
      </c>
      <c r="F552" s="791">
        <f t="shared" si="160"/>
        <v>22943</v>
      </c>
      <c r="G552" s="707">
        <f t="shared" si="148"/>
        <v>0.6250136210090443</v>
      </c>
      <c r="H552" s="326"/>
    </row>
    <row r="553" spans="1:8" ht="12" customHeight="1">
      <c r="A553" s="65">
        <v>3323</v>
      </c>
      <c r="B553" s="171" t="s">
        <v>299</v>
      </c>
      <c r="C553" s="270"/>
      <c r="D553" s="270"/>
      <c r="E553" s="270"/>
      <c r="F553" s="270"/>
      <c r="G553" s="297"/>
      <c r="H553" s="322"/>
    </row>
    <row r="554" spans="1:8" ht="12" customHeight="1">
      <c r="A554" s="273"/>
      <c r="B554" s="274" t="s">
        <v>87</v>
      </c>
      <c r="C554" s="214"/>
      <c r="D554" s="214"/>
      <c r="E554" s="214"/>
      <c r="F554" s="214"/>
      <c r="G554" s="297"/>
      <c r="H554" s="322"/>
    </row>
    <row r="555" spans="1:8" ht="12" customHeight="1">
      <c r="A555" s="273"/>
      <c r="B555" s="149" t="s">
        <v>245</v>
      </c>
      <c r="C555" s="214"/>
      <c r="D555" s="214"/>
      <c r="E555" s="214"/>
      <c r="F555" s="214"/>
      <c r="G555" s="712"/>
      <c r="H555" s="359"/>
    </row>
    <row r="556" spans="1:8" ht="12" customHeight="1">
      <c r="A556" s="273"/>
      <c r="B556" s="275" t="s">
        <v>234</v>
      </c>
      <c r="C556" s="214"/>
      <c r="D556" s="214"/>
      <c r="E556" s="214"/>
      <c r="F556" s="214"/>
      <c r="G556" s="709"/>
      <c r="H556" s="427"/>
    </row>
    <row r="557" spans="1:8" ht="12" customHeight="1">
      <c r="A557" s="273"/>
      <c r="B557" s="215" t="s">
        <v>92</v>
      </c>
      <c r="C557" s="214">
        <v>5000</v>
      </c>
      <c r="D557" s="214">
        <v>5000</v>
      </c>
      <c r="E557" s="214">
        <v>5000</v>
      </c>
      <c r="F557" s="214">
        <v>2840</v>
      </c>
      <c r="G557" s="709">
        <f t="shared" si="148"/>
        <v>0.568</v>
      </c>
      <c r="H557" s="364"/>
    </row>
    <row r="558" spans="1:8" ht="12" customHeight="1">
      <c r="A558" s="273"/>
      <c r="B558" s="215" t="s">
        <v>241</v>
      </c>
      <c r="C558" s="792"/>
      <c r="D558" s="792"/>
      <c r="E558" s="792"/>
      <c r="F558" s="792"/>
      <c r="G558" s="709"/>
      <c r="H558" s="359"/>
    </row>
    <row r="559" spans="1:8" ht="12" customHeight="1" thickBot="1">
      <c r="A559" s="273"/>
      <c r="B559" s="308" t="s">
        <v>60</v>
      </c>
      <c r="C559" s="790"/>
      <c r="D559" s="790"/>
      <c r="E559" s="790"/>
      <c r="F559" s="790"/>
      <c r="G559" s="710"/>
      <c r="H559" s="365"/>
    </row>
    <row r="560" spans="1:8" ht="12" customHeight="1" thickBot="1">
      <c r="A560" s="281"/>
      <c r="B560" s="311" t="s">
        <v>100</v>
      </c>
      <c r="C560" s="791">
        <f aca="true" t="shared" si="161" ref="C560">SUM(C554:C559)</f>
        <v>5000</v>
      </c>
      <c r="D560" s="791">
        <f aca="true" t="shared" si="162" ref="D560">SUM(D554:D559)</f>
        <v>5000</v>
      </c>
      <c r="E560" s="791">
        <f aca="true" t="shared" si="163" ref="E560:F560">SUM(E554:E559)</f>
        <v>5000</v>
      </c>
      <c r="F560" s="791">
        <f t="shared" si="163"/>
        <v>2840</v>
      </c>
      <c r="G560" s="707">
        <f t="shared" si="148"/>
        <v>0.568</v>
      </c>
      <c r="H560" s="326"/>
    </row>
    <row r="561" spans="1:8" ht="12" customHeight="1">
      <c r="A561" s="65">
        <v>3325</v>
      </c>
      <c r="B561" s="171" t="s">
        <v>500</v>
      </c>
      <c r="C561" s="270"/>
      <c r="D561" s="270"/>
      <c r="E561" s="270"/>
      <c r="F561" s="270"/>
      <c r="G561" s="297"/>
      <c r="H561" s="322"/>
    </row>
    <row r="562" spans="1:8" ht="12" customHeight="1">
      <c r="A562" s="273"/>
      <c r="B562" s="274" t="s">
        <v>87</v>
      </c>
      <c r="C562" s="214"/>
      <c r="D562" s="214"/>
      <c r="E562" s="214"/>
      <c r="F562" s="214"/>
      <c r="G562" s="709"/>
      <c r="H562" s="322"/>
    </row>
    <row r="563" spans="1:8" ht="12" customHeight="1">
      <c r="A563" s="273"/>
      <c r="B563" s="149" t="s">
        <v>245</v>
      </c>
      <c r="C563" s="214"/>
      <c r="D563" s="214"/>
      <c r="E563" s="214"/>
      <c r="F563" s="214"/>
      <c r="G563" s="709"/>
      <c r="H563" s="457"/>
    </row>
    <row r="564" spans="1:8" ht="12" customHeight="1">
      <c r="A564" s="273"/>
      <c r="B564" s="275" t="s">
        <v>234</v>
      </c>
      <c r="C564" s="214">
        <v>600</v>
      </c>
      <c r="D564" s="214">
        <v>600</v>
      </c>
      <c r="E564" s="214">
        <v>600</v>
      </c>
      <c r="F564" s="214">
        <v>124</v>
      </c>
      <c r="G564" s="709">
        <f t="shared" si="148"/>
        <v>0.20666666666666667</v>
      </c>
      <c r="H564" s="493"/>
    </row>
    <row r="565" spans="1:8" ht="12" customHeight="1">
      <c r="A565" s="273"/>
      <c r="B565" s="215" t="s">
        <v>92</v>
      </c>
      <c r="C565" s="214">
        <v>13000</v>
      </c>
      <c r="D565" s="214">
        <v>13015</v>
      </c>
      <c r="E565" s="214">
        <v>13015</v>
      </c>
      <c r="F565" s="214">
        <v>4004</v>
      </c>
      <c r="G565" s="709">
        <f t="shared" si="148"/>
        <v>0.30764502497118706</v>
      </c>
      <c r="H565" s="526"/>
    </row>
    <row r="566" spans="1:8" ht="12" customHeight="1">
      <c r="A566" s="273"/>
      <c r="B566" s="215" t="s">
        <v>241</v>
      </c>
      <c r="C566" s="792"/>
      <c r="D566" s="792"/>
      <c r="E566" s="792"/>
      <c r="F566" s="792"/>
      <c r="G566" s="709"/>
      <c r="H566" s="431"/>
    </row>
    <row r="567" spans="1:8" ht="12" customHeight="1" thickBot="1">
      <c r="A567" s="273"/>
      <c r="B567" s="308" t="s">
        <v>60</v>
      </c>
      <c r="C567" s="790"/>
      <c r="D567" s="790"/>
      <c r="E567" s="790"/>
      <c r="F567" s="790"/>
      <c r="G567" s="710"/>
      <c r="H567" s="365"/>
    </row>
    <row r="568" spans="1:8" ht="12" customHeight="1" thickBot="1">
      <c r="A568" s="281"/>
      <c r="B568" s="311" t="s">
        <v>100</v>
      </c>
      <c r="C568" s="791">
        <f aca="true" t="shared" si="164" ref="C568">SUM(C562:C567)</f>
        <v>13600</v>
      </c>
      <c r="D568" s="791">
        <f aca="true" t="shared" si="165" ref="D568">SUM(D562:D567)</f>
        <v>13615</v>
      </c>
      <c r="E568" s="791">
        <f aca="true" t="shared" si="166" ref="E568:F568">SUM(E562:E567)</f>
        <v>13615</v>
      </c>
      <c r="F568" s="791">
        <f t="shared" si="166"/>
        <v>4128</v>
      </c>
      <c r="G568" s="707">
        <f t="shared" si="148"/>
        <v>0.3031950055086302</v>
      </c>
      <c r="H568" s="326"/>
    </row>
    <row r="569" spans="1:8" ht="12.75" hidden="1">
      <c r="A569" s="65">
        <v>3330</v>
      </c>
      <c r="B569" s="171" t="s">
        <v>609</v>
      </c>
      <c r="C569" s="270"/>
      <c r="D569" s="270"/>
      <c r="E569" s="270"/>
      <c r="F569" s="270"/>
      <c r="G569" s="297" t="e">
        <f t="shared" si="148"/>
        <v>#DIV/0!</v>
      </c>
      <c r="H569" s="322"/>
    </row>
    <row r="570" spans="1:8" ht="12.75" hidden="1">
      <c r="A570" s="273"/>
      <c r="B570" s="274" t="s">
        <v>87</v>
      </c>
      <c r="C570" s="214"/>
      <c r="D570" s="214"/>
      <c r="E570" s="214"/>
      <c r="F570" s="214"/>
      <c r="G570" s="297" t="e">
        <f t="shared" si="148"/>
        <v>#DIV/0!</v>
      </c>
      <c r="H570" s="322"/>
    </row>
    <row r="571" spans="1:8" ht="12.75" hidden="1">
      <c r="A571" s="273"/>
      <c r="B571" s="149" t="s">
        <v>245</v>
      </c>
      <c r="C571" s="214"/>
      <c r="D571" s="214"/>
      <c r="E571" s="214"/>
      <c r="F571" s="214"/>
      <c r="G571" s="297" t="e">
        <f t="shared" si="148"/>
        <v>#DIV/0!</v>
      </c>
      <c r="H571" s="359"/>
    </row>
    <row r="572" spans="1:8" ht="12.75" hidden="1">
      <c r="A572" s="273"/>
      <c r="B572" s="275" t="s">
        <v>234</v>
      </c>
      <c r="C572" s="214"/>
      <c r="D572" s="214"/>
      <c r="E572" s="214"/>
      <c r="F572" s="214"/>
      <c r="G572" s="708" t="e">
        <f t="shared" si="148"/>
        <v>#DIV/0!</v>
      </c>
      <c r="H572" s="427"/>
    </row>
    <row r="573" spans="1:8" ht="12.75" hidden="1">
      <c r="A573" s="273"/>
      <c r="B573" s="215" t="s">
        <v>92</v>
      </c>
      <c r="C573" s="214"/>
      <c r="D573" s="214"/>
      <c r="E573" s="214"/>
      <c r="F573" s="214"/>
      <c r="G573" s="297" t="e">
        <f t="shared" si="148"/>
        <v>#DIV/0!</v>
      </c>
      <c r="H573" s="364"/>
    </row>
    <row r="574" spans="1:8" ht="12.75" hidden="1">
      <c r="A574" s="273"/>
      <c r="B574" s="215" t="s">
        <v>241</v>
      </c>
      <c r="C574" s="792"/>
      <c r="D574" s="792"/>
      <c r="E574" s="792"/>
      <c r="F574" s="792"/>
      <c r="G574" s="297" t="e">
        <f t="shared" si="148"/>
        <v>#DIV/0!</v>
      </c>
      <c r="H574" s="359"/>
    </row>
    <row r="575" spans="1:8" ht="12.75" hidden="1" thickBot="1">
      <c r="A575" s="273"/>
      <c r="B575" s="308" t="s">
        <v>60</v>
      </c>
      <c r="C575" s="765"/>
      <c r="D575" s="765"/>
      <c r="E575" s="765"/>
      <c r="F575" s="765"/>
      <c r="G575" s="890" t="e">
        <f t="shared" si="148"/>
        <v>#DIV/0!</v>
      </c>
      <c r="H575" s="365"/>
    </row>
    <row r="576" spans="1:8" ht="12.75" hidden="1" thickBot="1">
      <c r="A576" s="281"/>
      <c r="B576" s="311" t="s">
        <v>100</v>
      </c>
      <c r="C576" s="889">
        <f>C570+C571+C572+C573+C574+C575</f>
        <v>0</v>
      </c>
      <c r="D576" s="889">
        <f>D570+D571+D572+D573+D574+D575</f>
        <v>0</v>
      </c>
      <c r="E576" s="889">
        <f>E570+E571+E572+E573+E574+E575</f>
        <v>0</v>
      </c>
      <c r="F576" s="889">
        <f>F570+F571+F572+F573+F574+F575</f>
        <v>0</v>
      </c>
      <c r="G576" s="707" t="e">
        <f t="shared" si="148"/>
        <v>#DIV/0!</v>
      </c>
      <c r="H576" s="461"/>
    </row>
    <row r="577" spans="1:8" ht="12.75">
      <c r="A577" s="366">
        <v>3340</v>
      </c>
      <c r="B577" s="334" t="s">
        <v>385</v>
      </c>
      <c r="C577" s="270"/>
      <c r="D577" s="270"/>
      <c r="E577" s="270"/>
      <c r="F577" s="270"/>
      <c r="G577" s="297"/>
      <c r="H577" s="322"/>
    </row>
    <row r="578" spans="1:8" ht="12" customHeight="1">
      <c r="A578" s="65"/>
      <c r="B578" s="274" t="s">
        <v>87</v>
      </c>
      <c r="C578" s="270"/>
      <c r="D578" s="270"/>
      <c r="E578" s="270"/>
      <c r="F578" s="270"/>
      <c r="G578" s="297"/>
      <c r="H578" s="322"/>
    </row>
    <row r="579" spans="1:8" ht="12" customHeight="1">
      <c r="A579" s="65"/>
      <c r="B579" s="149" t="s">
        <v>245</v>
      </c>
      <c r="C579" s="270"/>
      <c r="D579" s="270"/>
      <c r="E579" s="270"/>
      <c r="F579" s="270"/>
      <c r="G579" s="709"/>
      <c r="H579" s="322" t="s">
        <v>445</v>
      </c>
    </row>
    <row r="580" spans="1:8" ht="12" customHeight="1">
      <c r="A580" s="262"/>
      <c r="B580" s="275" t="s">
        <v>234</v>
      </c>
      <c r="C580" s="792">
        <f>6000+2500</f>
        <v>8500</v>
      </c>
      <c r="D580" s="792">
        <f>8500+246</f>
        <v>8746</v>
      </c>
      <c r="E580" s="792">
        <f>8500+246</f>
        <v>8746</v>
      </c>
      <c r="F580" s="792">
        <v>5759</v>
      </c>
      <c r="G580" s="709">
        <f t="shared" si="148"/>
        <v>0.6584724445460782</v>
      </c>
      <c r="H580" s="457"/>
    </row>
    <row r="581" spans="1:8" ht="12" customHeight="1">
      <c r="A581" s="262"/>
      <c r="B581" s="215" t="s">
        <v>92</v>
      </c>
      <c r="C581" s="792"/>
      <c r="D581" s="792"/>
      <c r="E581" s="792"/>
      <c r="F581" s="792"/>
      <c r="G581" s="708"/>
      <c r="H581" s="363"/>
    </row>
    <row r="582" spans="1:8" ht="12" customHeight="1">
      <c r="A582" s="65"/>
      <c r="B582" s="215" t="s">
        <v>241</v>
      </c>
      <c r="C582" s="792"/>
      <c r="D582" s="792"/>
      <c r="E582" s="792"/>
      <c r="F582" s="792"/>
      <c r="G582" s="708"/>
      <c r="H582" s="322"/>
    </row>
    <row r="583" spans="1:8" ht="12" customHeight="1" thickBot="1">
      <c r="A583" s="65"/>
      <c r="B583" s="308" t="s">
        <v>60</v>
      </c>
      <c r="C583" s="793"/>
      <c r="D583" s="793"/>
      <c r="E583" s="793"/>
      <c r="F583" s="793"/>
      <c r="G583" s="710"/>
      <c r="H583" s="339"/>
    </row>
    <row r="584" spans="1:8" ht="12" customHeight="1" thickBot="1">
      <c r="A584" s="264"/>
      <c r="B584" s="311" t="s">
        <v>100</v>
      </c>
      <c r="C584" s="791">
        <f aca="true" t="shared" si="167" ref="C584">SUM(C578:C583)</f>
        <v>8500</v>
      </c>
      <c r="D584" s="791">
        <f aca="true" t="shared" si="168" ref="D584">SUM(D578:D583)</f>
        <v>8746</v>
      </c>
      <c r="E584" s="791">
        <f aca="true" t="shared" si="169" ref="E584:F584">SUM(E578:E583)</f>
        <v>8746</v>
      </c>
      <c r="F584" s="791">
        <f t="shared" si="169"/>
        <v>5759</v>
      </c>
      <c r="G584" s="707">
        <f t="shared" si="148"/>
        <v>0.6584724445460782</v>
      </c>
      <c r="H584" s="326"/>
    </row>
    <row r="585" spans="1:8" ht="12" customHeight="1">
      <c r="A585" s="366">
        <v>3341</v>
      </c>
      <c r="B585" s="334" t="s">
        <v>317</v>
      </c>
      <c r="C585" s="270"/>
      <c r="D585" s="270"/>
      <c r="E585" s="270"/>
      <c r="F585" s="270"/>
      <c r="G585" s="297"/>
      <c r="H585" s="322"/>
    </row>
    <row r="586" spans="1:8" ht="12" customHeight="1">
      <c r="A586" s="65"/>
      <c r="B586" s="274" t="s">
        <v>87</v>
      </c>
      <c r="C586" s="270"/>
      <c r="D586" s="270"/>
      <c r="E586" s="270"/>
      <c r="F586" s="270"/>
      <c r="G586" s="297"/>
      <c r="H586" s="322"/>
    </row>
    <row r="587" spans="1:8" ht="12" customHeight="1">
      <c r="A587" s="65"/>
      <c r="B587" s="149" t="s">
        <v>245</v>
      </c>
      <c r="C587" s="270"/>
      <c r="D587" s="270"/>
      <c r="E587" s="270"/>
      <c r="F587" s="270"/>
      <c r="G587" s="709"/>
      <c r="H587" s="427"/>
    </row>
    <row r="588" spans="1:8" ht="12" customHeight="1">
      <c r="A588" s="262"/>
      <c r="B588" s="275" t="s">
        <v>234</v>
      </c>
      <c r="C588" s="792">
        <v>3000</v>
      </c>
      <c r="D588" s="792">
        <v>3000</v>
      </c>
      <c r="E588" s="792">
        <v>3000</v>
      </c>
      <c r="F588" s="792">
        <v>1002</v>
      </c>
      <c r="G588" s="709">
        <f aca="true" t="shared" si="170" ref="G588:G646">F588/E588</f>
        <v>0.334</v>
      </c>
      <c r="H588" s="322" t="s">
        <v>445</v>
      </c>
    </row>
    <row r="589" spans="1:8" ht="12" customHeight="1">
      <c r="A589" s="262"/>
      <c r="B589" s="215" t="s">
        <v>92</v>
      </c>
      <c r="C589" s="792"/>
      <c r="D589" s="792"/>
      <c r="E589" s="792"/>
      <c r="F589" s="792"/>
      <c r="G589" s="708"/>
      <c r="H589" s="363"/>
    </row>
    <row r="590" spans="1:8" ht="12" customHeight="1">
      <c r="A590" s="65"/>
      <c r="B590" s="215" t="s">
        <v>241</v>
      </c>
      <c r="C590" s="270"/>
      <c r="D590" s="270"/>
      <c r="E590" s="270"/>
      <c r="F590" s="270"/>
      <c r="G590" s="708"/>
      <c r="H590" s="426"/>
    </row>
    <row r="591" spans="1:8" ht="12" customHeight="1" thickBot="1">
      <c r="A591" s="65"/>
      <c r="B591" s="308" t="s">
        <v>60</v>
      </c>
      <c r="C591" s="793"/>
      <c r="D591" s="793"/>
      <c r="E591" s="793"/>
      <c r="F591" s="793"/>
      <c r="G591" s="710"/>
      <c r="H591" s="339"/>
    </row>
    <row r="592" spans="1:8" ht="12" customHeight="1" thickBot="1">
      <c r="A592" s="264"/>
      <c r="B592" s="311" t="s">
        <v>100</v>
      </c>
      <c r="C592" s="791">
        <f aca="true" t="shared" si="171" ref="C592">SUM(C586:C591)</f>
        <v>3000</v>
      </c>
      <c r="D592" s="791">
        <f aca="true" t="shared" si="172" ref="D592">SUM(D586:D591)</f>
        <v>3000</v>
      </c>
      <c r="E592" s="791">
        <f aca="true" t="shared" si="173" ref="E592:F592">SUM(E586:E591)</f>
        <v>3000</v>
      </c>
      <c r="F592" s="791">
        <f t="shared" si="173"/>
        <v>1002</v>
      </c>
      <c r="G592" s="707">
        <f t="shared" si="170"/>
        <v>0.334</v>
      </c>
      <c r="H592" s="326"/>
    </row>
    <row r="593" spans="1:8" ht="12" customHeight="1">
      <c r="A593" s="366">
        <v>3342</v>
      </c>
      <c r="B593" s="334" t="s">
        <v>373</v>
      </c>
      <c r="C593" s="270"/>
      <c r="D593" s="270"/>
      <c r="E593" s="270"/>
      <c r="F593" s="270"/>
      <c r="G593" s="297"/>
      <c r="H593" s="322"/>
    </row>
    <row r="594" spans="1:8" ht="12" customHeight="1">
      <c r="A594" s="65"/>
      <c r="B594" s="274" t="s">
        <v>87</v>
      </c>
      <c r="C594" s="270"/>
      <c r="D594" s="270"/>
      <c r="E594" s="270"/>
      <c r="F594" s="270"/>
      <c r="G594" s="297"/>
      <c r="H594" s="322"/>
    </row>
    <row r="595" spans="1:8" ht="12" customHeight="1">
      <c r="A595" s="65"/>
      <c r="B595" s="149" t="s">
        <v>245</v>
      </c>
      <c r="C595" s="270"/>
      <c r="D595" s="270"/>
      <c r="E595" s="270"/>
      <c r="F595" s="270"/>
      <c r="G595" s="709"/>
      <c r="H595" s="322"/>
    </row>
    <row r="596" spans="1:8" ht="12" customHeight="1">
      <c r="A596" s="262"/>
      <c r="B596" s="275" t="s">
        <v>234</v>
      </c>
      <c r="C596" s="792">
        <v>880</v>
      </c>
      <c r="D596" s="792">
        <v>880</v>
      </c>
      <c r="E596" s="792">
        <v>880</v>
      </c>
      <c r="F596" s="792">
        <v>0</v>
      </c>
      <c r="G596" s="709">
        <f t="shared" si="170"/>
        <v>0</v>
      </c>
      <c r="H596" s="322" t="s">
        <v>445</v>
      </c>
    </row>
    <row r="597" spans="1:8" ht="12" customHeight="1">
      <c r="A597" s="262"/>
      <c r="B597" s="215" t="s">
        <v>92</v>
      </c>
      <c r="C597" s="792"/>
      <c r="D597" s="792"/>
      <c r="E597" s="792"/>
      <c r="F597" s="792"/>
      <c r="G597" s="708"/>
      <c r="H597" s="363"/>
    </row>
    <row r="598" spans="1:8" ht="12" customHeight="1">
      <c r="A598" s="65"/>
      <c r="B598" s="215" t="s">
        <v>241</v>
      </c>
      <c r="C598" s="270"/>
      <c r="D598" s="270"/>
      <c r="E598" s="270"/>
      <c r="F598" s="270"/>
      <c r="G598" s="708"/>
      <c r="H598" s="322"/>
    </row>
    <row r="599" spans="1:8" ht="12" customHeight="1">
      <c r="A599" s="65"/>
      <c r="B599" s="215" t="s">
        <v>92</v>
      </c>
      <c r="C599" s="270"/>
      <c r="D599" s="270"/>
      <c r="E599" s="270"/>
      <c r="F599" s="270"/>
      <c r="G599" s="708"/>
      <c r="H599" s="323"/>
    </row>
    <row r="600" spans="1:8" ht="12" customHeight="1" thickBot="1">
      <c r="A600" s="65"/>
      <c r="B600" s="308" t="s">
        <v>60</v>
      </c>
      <c r="C600" s="793"/>
      <c r="D600" s="793"/>
      <c r="E600" s="793"/>
      <c r="F600" s="793"/>
      <c r="G600" s="710"/>
      <c r="H600" s="339"/>
    </row>
    <row r="601" spans="1:8" ht="12.75" thickBot="1">
      <c r="A601" s="264"/>
      <c r="B601" s="311" t="s">
        <v>100</v>
      </c>
      <c r="C601" s="791">
        <f aca="true" t="shared" si="174" ref="C601">SUM(C594:C600)</f>
        <v>880</v>
      </c>
      <c r="D601" s="791">
        <f aca="true" t="shared" si="175" ref="D601">SUM(D594:D600)</f>
        <v>880</v>
      </c>
      <c r="E601" s="791">
        <f aca="true" t="shared" si="176" ref="E601:F601">SUM(E594:E600)</f>
        <v>880</v>
      </c>
      <c r="F601" s="791">
        <f t="shared" si="176"/>
        <v>0</v>
      </c>
      <c r="G601" s="707">
        <f t="shared" si="170"/>
        <v>0</v>
      </c>
      <c r="H601" s="326"/>
    </row>
    <row r="602" spans="1:8" ht="12.75">
      <c r="A602" s="366">
        <v>3343</v>
      </c>
      <c r="B602" s="334" t="s">
        <v>558</v>
      </c>
      <c r="C602" s="270"/>
      <c r="D602" s="270"/>
      <c r="E602" s="270"/>
      <c r="F602" s="270"/>
      <c r="G602" s="297"/>
      <c r="H602" s="322"/>
    </row>
    <row r="603" spans="1:8" ht="12.75">
      <c r="A603" s="65"/>
      <c r="B603" s="274" t="s">
        <v>87</v>
      </c>
      <c r="C603" s="270"/>
      <c r="D603" s="270"/>
      <c r="E603" s="270"/>
      <c r="F603" s="270"/>
      <c r="G603" s="297"/>
      <c r="H603" s="322"/>
    </row>
    <row r="604" spans="1:8" ht="12.75">
      <c r="A604" s="65"/>
      <c r="B604" s="149" t="s">
        <v>245</v>
      </c>
      <c r="C604" s="270"/>
      <c r="D604" s="270"/>
      <c r="E604" s="270"/>
      <c r="F604" s="270"/>
      <c r="G604" s="709"/>
      <c r="H604" s="322"/>
    </row>
    <row r="605" spans="1:8" ht="12.75">
      <c r="A605" s="262"/>
      <c r="B605" s="275" t="s">
        <v>234</v>
      </c>
      <c r="C605" s="792">
        <v>11715</v>
      </c>
      <c r="D605" s="792">
        <v>11715</v>
      </c>
      <c r="E605" s="792">
        <v>11715</v>
      </c>
      <c r="F605" s="792">
        <v>0</v>
      </c>
      <c r="G605" s="709">
        <f t="shared" si="170"/>
        <v>0</v>
      </c>
      <c r="H605" s="322" t="s">
        <v>445</v>
      </c>
    </row>
    <row r="606" spans="1:8" ht="12.75">
      <c r="A606" s="262"/>
      <c r="B606" s="215" t="s">
        <v>92</v>
      </c>
      <c r="C606" s="792"/>
      <c r="D606" s="792"/>
      <c r="E606" s="792"/>
      <c r="F606" s="792"/>
      <c r="G606" s="708"/>
      <c r="H606" s="363"/>
    </row>
    <row r="607" spans="1:8" ht="12.75">
      <c r="A607" s="65"/>
      <c r="B607" s="215" t="s">
        <v>241</v>
      </c>
      <c r="C607" s="270"/>
      <c r="D607" s="270"/>
      <c r="E607" s="270"/>
      <c r="F607" s="270"/>
      <c r="G607" s="708"/>
      <c r="H607" s="322"/>
    </row>
    <row r="608" spans="1:8" ht="12.75">
      <c r="A608" s="65"/>
      <c r="B608" s="215" t="s">
        <v>92</v>
      </c>
      <c r="C608" s="270"/>
      <c r="D608" s="270"/>
      <c r="E608" s="270"/>
      <c r="F608" s="270"/>
      <c r="G608" s="708"/>
      <c r="H608" s="323"/>
    </row>
    <row r="609" spans="1:8" ht="12.75" thickBot="1">
      <c r="A609" s="65"/>
      <c r="B609" s="308" t="s">
        <v>60</v>
      </c>
      <c r="C609" s="793"/>
      <c r="D609" s="793"/>
      <c r="E609" s="793"/>
      <c r="F609" s="793"/>
      <c r="G609" s="710"/>
      <c r="H609" s="339"/>
    </row>
    <row r="610" spans="1:8" ht="12.75" thickBot="1">
      <c r="A610" s="264"/>
      <c r="B610" s="311" t="s">
        <v>100</v>
      </c>
      <c r="C610" s="791">
        <f aca="true" t="shared" si="177" ref="C610">SUM(C603:C609)</f>
        <v>11715</v>
      </c>
      <c r="D610" s="791">
        <f aca="true" t="shared" si="178" ref="D610">SUM(D603:D609)</f>
        <v>11715</v>
      </c>
      <c r="E610" s="791">
        <f aca="true" t="shared" si="179" ref="E610:F610">SUM(E603:E609)</f>
        <v>11715</v>
      </c>
      <c r="F610" s="791">
        <f t="shared" si="179"/>
        <v>0</v>
      </c>
      <c r="G610" s="707">
        <f t="shared" si="170"/>
        <v>0</v>
      </c>
      <c r="H610" s="326"/>
    </row>
    <row r="611" spans="1:8" ht="12.75">
      <c r="A611" s="65">
        <v>3344</v>
      </c>
      <c r="B611" s="272" t="s">
        <v>223</v>
      </c>
      <c r="C611" s="270"/>
      <c r="D611" s="270"/>
      <c r="E611" s="270"/>
      <c r="F611" s="270"/>
      <c r="G611" s="297"/>
      <c r="H611" s="322"/>
    </row>
    <row r="612" spans="1:8" ht="12" customHeight="1">
      <c r="A612" s="65"/>
      <c r="B612" s="64" t="s">
        <v>87</v>
      </c>
      <c r="C612" s="270"/>
      <c r="D612" s="270"/>
      <c r="E612" s="270"/>
      <c r="F612" s="270"/>
      <c r="G612" s="297"/>
      <c r="H612" s="322"/>
    </row>
    <row r="613" spans="1:8" ht="12" customHeight="1">
      <c r="A613" s="65"/>
      <c r="B613" s="149" t="s">
        <v>245</v>
      </c>
      <c r="C613" s="270"/>
      <c r="D613" s="270"/>
      <c r="E613" s="270"/>
      <c r="F613" s="270"/>
      <c r="G613" s="709"/>
      <c r="H613" s="322" t="s">
        <v>445</v>
      </c>
    </row>
    <row r="614" spans="1:8" ht="12" customHeight="1">
      <c r="A614" s="65"/>
      <c r="B614" s="64" t="s">
        <v>234</v>
      </c>
      <c r="C614" s="792">
        <v>1540</v>
      </c>
      <c r="D614" s="792">
        <v>1540</v>
      </c>
      <c r="E614" s="792">
        <f>1540+2054</f>
        <v>3594</v>
      </c>
      <c r="F614" s="792">
        <v>3080</v>
      </c>
      <c r="G614" s="709">
        <f t="shared" si="170"/>
        <v>0.8569838619922092</v>
      </c>
      <c r="H614" s="431"/>
    </row>
    <row r="615" spans="1:8" ht="12" customHeight="1">
      <c r="A615" s="65"/>
      <c r="B615" s="149" t="s">
        <v>92</v>
      </c>
      <c r="C615" s="792"/>
      <c r="D615" s="792"/>
      <c r="E615" s="792"/>
      <c r="F615" s="792"/>
      <c r="G615" s="708"/>
      <c r="H615" s="363"/>
    </row>
    <row r="616" spans="1:8" ht="12" customHeight="1">
      <c r="A616" s="65"/>
      <c r="B616" s="215" t="s">
        <v>241</v>
      </c>
      <c r="C616" s="270"/>
      <c r="D616" s="270"/>
      <c r="E616" s="270"/>
      <c r="F616" s="270"/>
      <c r="G616" s="708"/>
      <c r="H616" s="322"/>
    </row>
    <row r="617" spans="1:8" ht="12" customHeight="1" thickBot="1">
      <c r="A617" s="65"/>
      <c r="B617" s="308" t="s">
        <v>60</v>
      </c>
      <c r="C617" s="793"/>
      <c r="D617" s="793"/>
      <c r="E617" s="793"/>
      <c r="F617" s="793"/>
      <c r="G617" s="710"/>
      <c r="H617" s="324"/>
    </row>
    <row r="618" spans="1:8" ht="12" customHeight="1" thickBot="1">
      <c r="A618" s="281"/>
      <c r="B618" s="311" t="s">
        <v>100</v>
      </c>
      <c r="C618" s="793">
        <f aca="true" t="shared" si="180" ref="C618">SUM(C612:C617)</f>
        <v>1540</v>
      </c>
      <c r="D618" s="793">
        <f aca="true" t="shared" si="181" ref="D618">SUM(D612:D617)</f>
        <v>1540</v>
      </c>
      <c r="E618" s="1039">
        <f aca="true" t="shared" si="182" ref="E618:F618">SUM(E612:E617)</f>
        <v>3594</v>
      </c>
      <c r="F618" s="1039">
        <f t="shared" si="182"/>
        <v>3080</v>
      </c>
      <c r="G618" s="707">
        <f t="shared" si="170"/>
        <v>0.8569838619922092</v>
      </c>
      <c r="H618" s="339"/>
    </row>
    <row r="619" spans="1:8" ht="12" customHeight="1">
      <c r="A619" s="65">
        <v>3345</v>
      </c>
      <c r="B619" s="280" t="s">
        <v>118</v>
      </c>
      <c r="C619" s="270"/>
      <c r="D619" s="270"/>
      <c r="E619" s="270"/>
      <c r="F619" s="270"/>
      <c r="G619" s="297"/>
      <c r="H619" s="321"/>
    </row>
    <row r="620" spans="1:8" ht="12" customHeight="1">
      <c r="A620" s="65"/>
      <c r="B620" s="274" t="s">
        <v>87</v>
      </c>
      <c r="C620" s="270"/>
      <c r="D620" s="270"/>
      <c r="E620" s="270"/>
      <c r="F620" s="270"/>
      <c r="G620" s="297"/>
      <c r="H620" s="298"/>
    </row>
    <row r="621" spans="1:8" ht="12" customHeight="1">
      <c r="A621" s="65"/>
      <c r="B621" s="149" t="s">
        <v>245</v>
      </c>
      <c r="C621" s="270"/>
      <c r="D621" s="270"/>
      <c r="E621" s="270"/>
      <c r="F621" s="270"/>
      <c r="G621" s="709"/>
      <c r="H621" s="298"/>
    </row>
    <row r="622" spans="1:8" ht="12" customHeight="1">
      <c r="A622" s="65"/>
      <c r="B622" s="275" t="s">
        <v>234</v>
      </c>
      <c r="C622" s="792">
        <v>300</v>
      </c>
      <c r="D622" s="792">
        <v>300</v>
      </c>
      <c r="E622" s="792">
        <v>300</v>
      </c>
      <c r="F622" s="792">
        <v>0</v>
      </c>
      <c r="G622" s="709">
        <f t="shared" si="170"/>
        <v>0</v>
      </c>
      <c r="H622" s="322" t="s">
        <v>445</v>
      </c>
    </row>
    <row r="623" spans="1:8" ht="12" customHeight="1">
      <c r="A623" s="65"/>
      <c r="B623" s="215" t="s">
        <v>92</v>
      </c>
      <c r="C623" s="792"/>
      <c r="D623" s="792"/>
      <c r="E623" s="792"/>
      <c r="F623" s="792"/>
      <c r="G623" s="708"/>
      <c r="H623" s="359"/>
    </row>
    <row r="624" spans="1:8" ht="12" customHeight="1">
      <c r="A624" s="65"/>
      <c r="B624" s="215" t="s">
        <v>241</v>
      </c>
      <c r="C624" s="270"/>
      <c r="D624" s="270"/>
      <c r="E624" s="270"/>
      <c r="F624" s="270"/>
      <c r="G624" s="708"/>
      <c r="H624" s="298"/>
    </row>
    <row r="625" spans="1:8" ht="12" customHeight="1" thickBot="1">
      <c r="A625" s="65"/>
      <c r="B625" s="308" t="s">
        <v>60</v>
      </c>
      <c r="C625" s="793"/>
      <c r="D625" s="793"/>
      <c r="E625" s="793"/>
      <c r="F625" s="793"/>
      <c r="G625" s="710"/>
      <c r="H625" s="339"/>
    </row>
    <row r="626" spans="1:8" ht="13.5" customHeight="1" thickBot="1">
      <c r="A626" s="281"/>
      <c r="B626" s="311" t="s">
        <v>100</v>
      </c>
      <c r="C626" s="793">
        <f aca="true" t="shared" si="183" ref="C626">SUM(C622:C625)</f>
        <v>300</v>
      </c>
      <c r="D626" s="793">
        <f aca="true" t="shared" si="184" ref="D626">SUM(D622:D625)</f>
        <v>300</v>
      </c>
      <c r="E626" s="793">
        <f aca="true" t="shared" si="185" ref="E626:F626">SUM(E622:E625)</f>
        <v>300</v>
      </c>
      <c r="F626" s="793">
        <f t="shared" si="185"/>
        <v>0</v>
      </c>
      <c r="G626" s="707">
        <f t="shared" si="170"/>
        <v>0</v>
      </c>
      <c r="H626" s="326"/>
    </row>
    <row r="627" spans="1:8" ht="12" customHeight="1">
      <c r="A627" s="65">
        <v>3346</v>
      </c>
      <c r="B627" s="333" t="s">
        <v>89</v>
      </c>
      <c r="C627" s="270"/>
      <c r="D627" s="270"/>
      <c r="E627" s="270"/>
      <c r="F627" s="270"/>
      <c r="G627" s="297"/>
      <c r="H627" s="322"/>
    </row>
    <row r="628" spans="1:8" ht="12" customHeight="1">
      <c r="A628" s="273"/>
      <c r="B628" s="274" t="s">
        <v>87</v>
      </c>
      <c r="C628" s="270"/>
      <c r="D628" s="270"/>
      <c r="E628" s="270"/>
      <c r="F628" s="270"/>
      <c r="G628" s="297"/>
      <c r="H628" s="322"/>
    </row>
    <row r="629" spans="1:8" ht="12" customHeight="1">
      <c r="A629" s="273"/>
      <c r="B629" s="149" t="s">
        <v>245</v>
      </c>
      <c r="C629" s="270"/>
      <c r="D629" s="270"/>
      <c r="E629" s="270"/>
      <c r="F629" s="270"/>
      <c r="G629" s="709"/>
      <c r="H629" s="322"/>
    </row>
    <row r="630" spans="1:8" ht="12" customHeight="1">
      <c r="A630" s="273"/>
      <c r="B630" s="275" t="s">
        <v>234</v>
      </c>
      <c r="C630" s="792">
        <v>3933</v>
      </c>
      <c r="D630" s="792">
        <f>3933+700</f>
        <v>4633</v>
      </c>
      <c r="E630" s="792">
        <f>3933+700</f>
        <v>4633</v>
      </c>
      <c r="F630" s="792">
        <v>3660</v>
      </c>
      <c r="G630" s="709">
        <f t="shared" si="170"/>
        <v>0.7899848909993524</v>
      </c>
      <c r="H630" s="322" t="s">
        <v>445</v>
      </c>
    </row>
    <row r="631" spans="1:8" ht="12" customHeight="1">
      <c r="A631" s="273"/>
      <c r="B631" s="215" t="s">
        <v>92</v>
      </c>
      <c r="C631" s="792"/>
      <c r="D631" s="792"/>
      <c r="E631" s="792"/>
      <c r="F631" s="792"/>
      <c r="G631" s="708"/>
      <c r="H631" s="363"/>
    </row>
    <row r="632" spans="1:8" ht="12" customHeight="1">
      <c r="A632" s="273"/>
      <c r="B632" s="215" t="s">
        <v>241</v>
      </c>
      <c r="C632" s="270"/>
      <c r="D632" s="270"/>
      <c r="E632" s="270"/>
      <c r="F632" s="270"/>
      <c r="G632" s="708"/>
      <c r="H632" s="322"/>
    </row>
    <row r="633" spans="1:8" ht="12" customHeight="1" thickBot="1">
      <c r="A633" s="273"/>
      <c r="B633" s="308" t="s">
        <v>60</v>
      </c>
      <c r="C633" s="793"/>
      <c r="D633" s="793"/>
      <c r="E633" s="793"/>
      <c r="F633" s="793"/>
      <c r="G633" s="710"/>
      <c r="H633" s="339"/>
    </row>
    <row r="634" spans="1:8" ht="12" customHeight="1" thickBot="1">
      <c r="A634" s="281"/>
      <c r="B634" s="311" t="s">
        <v>100</v>
      </c>
      <c r="C634" s="791">
        <f aca="true" t="shared" si="186" ref="C634">SUM(C630:C633)</f>
        <v>3933</v>
      </c>
      <c r="D634" s="791">
        <f aca="true" t="shared" si="187" ref="D634">SUM(D630:D633)</f>
        <v>4633</v>
      </c>
      <c r="E634" s="791">
        <f aca="true" t="shared" si="188" ref="E634:F634">SUM(E630:E633)</f>
        <v>4633</v>
      </c>
      <c r="F634" s="791">
        <f t="shared" si="188"/>
        <v>3660</v>
      </c>
      <c r="G634" s="707">
        <f t="shared" si="170"/>
        <v>0.7899848909993524</v>
      </c>
      <c r="H634" s="326"/>
    </row>
    <row r="635" spans="1:8" ht="12" customHeight="1">
      <c r="A635" s="65">
        <v>3347</v>
      </c>
      <c r="B635" s="333" t="s">
        <v>90</v>
      </c>
      <c r="C635" s="270"/>
      <c r="D635" s="270"/>
      <c r="E635" s="270"/>
      <c r="F635" s="270"/>
      <c r="G635" s="297"/>
      <c r="H635" s="322"/>
    </row>
    <row r="636" spans="1:8" ht="12" customHeight="1">
      <c r="A636" s="273"/>
      <c r="B636" s="274" t="s">
        <v>87</v>
      </c>
      <c r="C636" s="270"/>
      <c r="D636" s="270"/>
      <c r="E636" s="270"/>
      <c r="F636" s="270"/>
      <c r="G636" s="297"/>
      <c r="H636" s="322"/>
    </row>
    <row r="637" spans="1:8" ht="12" customHeight="1">
      <c r="A637" s="273"/>
      <c r="B637" s="149" t="s">
        <v>245</v>
      </c>
      <c r="C637" s="270"/>
      <c r="D637" s="270"/>
      <c r="E637" s="270"/>
      <c r="F637" s="270"/>
      <c r="G637" s="709"/>
      <c r="H637" s="322"/>
    </row>
    <row r="638" spans="1:8" ht="12" customHeight="1">
      <c r="A638" s="273"/>
      <c r="B638" s="275" t="s">
        <v>234</v>
      </c>
      <c r="C638" s="792">
        <v>2756</v>
      </c>
      <c r="D638" s="792">
        <v>2756</v>
      </c>
      <c r="E638" s="792">
        <v>2756</v>
      </c>
      <c r="F638" s="792">
        <v>1378</v>
      </c>
      <c r="G638" s="709">
        <f t="shared" si="170"/>
        <v>0.5</v>
      </c>
      <c r="H638" s="322" t="s">
        <v>445</v>
      </c>
    </row>
    <row r="639" spans="1:8" ht="12" customHeight="1">
      <c r="A639" s="273"/>
      <c r="B639" s="215" t="s">
        <v>92</v>
      </c>
      <c r="C639" s="792"/>
      <c r="D639" s="792"/>
      <c r="E639" s="792"/>
      <c r="F639" s="792"/>
      <c r="G639" s="708"/>
      <c r="H639" s="363"/>
    </row>
    <row r="640" spans="1:8" ht="12" customHeight="1">
      <c r="A640" s="273"/>
      <c r="B640" s="215" t="s">
        <v>241</v>
      </c>
      <c r="C640" s="270"/>
      <c r="D640" s="270"/>
      <c r="E640" s="270"/>
      <c r="F640" s="270"/>
      <c r="G640" s="708"/>
      <c r="H640" s="322"/>
    </row>
    <row r="641" spans="1:8" ht="12" customHeight="1" thickBot="1">
      <c r="A641" s="273"/>
      <c r="B641" s="308" t="s">
        <v>60</v>
      </c>
      <c r="C641" s="386"/>
      <c r="D641" s="386"/>
      <c r="E641" s="386"/>
      <c r="F641" s="386"/>
      <c r="G641" s="710"/>
      <c r="H641" s="339"/>
    </row>
    <row r="642" spans="1:8" ht="12" customHeight="1" thickBot="1">
      <c r="A642" s="281"/>
      <c r="B642" s="311" t="s">
        <v>100</v>
      </c>
      <c r="C642" s="791">
        <f aca="true" t="shared" si="189" ref="C642">SUM(C638:C641)</f>
        <v>2756</v>
      </c>
      <c r="D642" s="791">
        <f aca="true" t="shared" si="190" ref="D642">SUM(D638:D641)</f>
        <v>2756</v>
      </c>
      <c r="E642" s="791">
        <f aca="true" t="shared" si="191" ref="E642:F642">SUM(E638:E641)</f>
        <v>2756</v>
      </c>
      <c r="F642" s="791">
        <f t="shared" si="191"/>
        <v>1378</v>
      </c>
      <c r="G642" s="707">
        <f t="shared" si="170"/>
        <v>0.5</v>
      </c>
      <c r="H642" s="326"/>
    </row>
    <row r="643" spans="1:8" ht="12" customHeight="1">
      <c r="A643" s="65">
        <v>3348</v>
      </c>
      <c r="B643" s="333" t="s">
        <v>133</v>
      </c>
      <c r="C643" s="270"/>
      <c r="D643" s="270"/>
      <c r="E643" s="270"/>
      <c r="F643" s="270"/>
      <c r="G643" s="297"/>
      <c r="H643" s="322"/>
    </row>
    <row r="644" spans="1:8" ht="12" customHeight="1">
      <c r="A644" s="273"/>
      <c r="B644" s="274" t="s">
        <v>87</v>
      </c>
      <c r="C644" s="270"/>
      <c r="D644" s="270"/>
      <c r="E644" s="270"/>
      <c r="F644" s="270"/>
      <c r="G644" s="297"/>
      <c r="H644" s="322"/>
    </row>
    <row r="645" spans="1:8" ht="12" customHeight="1">
      <c r="A645" s="273"/>
      <c r="B645" s="149" t="s">
        <v>245</v>
      </c>
      <c r="C645" s="270"/>
      <c r="D645" s="270"/>
      <c r="E645" s="270"/>
      <c r="F645" s="270"/>
      <c r="G645" s="709"/>
      <c r="H645" s="322"/>
    </row>
    <row r="646" spans="1:8" ht="12" customHeight="1">
      <c r="A646" s="273"/>
      <c r="B646" s="275" t="s">
        <v>234</v>
      </c>
      <c r="C646" s="792">
        <v>400</v>
      </c>
      <c r="D646" s="792">
        <v>800</v>
      </c>
      <c r="E646" s="792">
        <v>800</v>
      </c>
      <c r="F646" s="792">
        <v>800</v>
      </c>
      <c r="G646" s="709">
        <f t="shared" si="170"/>
        <v>1</v>
      </c>
      <c r="H646" s="322" t="s">
        <v>445</v>
      </c>
    </row>
    <row r="647" spans="1:8" ht="12" customHeight="1">
      <c r="A647" s="273"/>
      <c r="B647" s="215" t="s">
        <v>92</v>
      </c>
      <c r="C647" s="792"/>
      <c r="D647" s="792"/>
      <c r="E647" s="792"/>
      <c r="F647" s="792"/>
      <c r="G647" s="708"/>
      <c r="H647" s="363"/>
    </row>
    <row r="648" spans="1:8" ht="12" customHeight="1">
      <c r="A648" s="273"/>
      <c r="B648" s="215" t="s">
        <v>241</v>
      </c>
      <c r="C648" s="270"/>
      <c r="D648" s="270"/>
      <c r="E648" s="270"/>
      <c r="F648" s="270"/>
      <c r="G648" s="708"/>
      <c r="H648" s="322"/>
    </row>
    <row r="649" spans="1:8" ht="12" customHeight="1" thickBot="1">
      <c r="A649" s="273"/>
      <c r="B649" s="308" t="s">
        <v>60</v>
      </c>
      <c r="C649" s="793"/>
      <c r="D649" s="793"/>
      <c r="E649" s="793"/>
      <c r="F649" s="793"/>
      <c r="G649" s="710"/>
      <c r="H649" s="339"/>
    </row>
    <row r="650" spans="1:8" ht="12" customHeight="1" thickBot="1">
      <c r="A650" s="281"/>
      <c r="B650" s="311" t="s">
        <v>100</v>
      </c>
      <c r="C650" s="791">
        <f aca="true" t="shared" si="192" ref="C650">SUM(C646:C649)</f>
        <v>400</v>
      </c>
      <c r="D650" s="791">
        <f aca="true" t="shared" si="193" ref="D650">SUM(D646:D649)</f>
        <v>800</v>
      </c>
      <c r="E650" s="791">
        <f aca="true" t="shared" si="194" ref="E650:F650">SUM(E646:E649)</f>
        <v>800</v>
      </c>
      <c r="F650" s="791">
        <f t="shared" si="194"/>
        <v>800</v>
      </c>
      <c r="G650" s="707">
        <f aca="true" t="shared" si="195" ref="G650:G713">F650/E650</f>
        <v>1</v>
      </c>
      <c r="H650" s="326"/>
    </row>
    <row r="651" spans="1:8" ht="12" customHeight="1">
      <c r="A651" s="65">
        <v>3349</v>
      </c>
      <c r="B651" s="333" t="s">
        <v>307</v>
      </c>
      <c r="C651" s="270"/>
      <c r="D651" s="270"/>
      <c r="E651" s="270"/>
      <c r="F651" s="270"/>
      <c r="G651" s="297"/>
      <c r="H651" s="322"/>
    </row>
    <row r="652" spans="1:8" ht="12" customHeight="1">
      <c r="A652" s="273"/>
      <c r="B652" s="274" t="s">
        <v>87</v>
      </c>
      <c r="C652" s="270"/>
      <c r="D652" s="270"/>
      <c r="E652" s="270"/>
      <c r="F652" s="270"/>
      <c r="G652" s="297"/>
      <c r="H652" s="322"/>
    </row>
    <row r="653" spans="1:8" ht="12" customHeight="1">
      <c r="A653" s="273"/>
      <c r="B653" s="149" t="s">
        <v>245</v>
      </c>
      <c r="C653" s="270"/>
      <c r="D653" s="270"/>
      <c r="E653" s="270"/>
      <c r="F653" s="270"/>
      <c r="G653" s="709"/>
      <c r="H653" s="322"/>
    </row>
    <row r="654" spans="1:8" ht="12" customHeight="1">
      <c r="A654" s="273"/>
      <c r="B654" s="275" t="s">
        <v>234</v>
      </c>
      <c r="C654" s="792">
        <v>3840</v>
      </c>
      <c r="D654" s="792">
        <f>4160+1920</f>
        <v>6080</v>
      </c>
      <c r="E654" s="792">
        <f>4160+1920</f>
        <v>6080</v>
      </c>
      <c r="F654" s="792">
        <v>3200</v>
      </c>
      <c r="G654" s="709">
        <f t="shared" si="195"/>
        <v>0.5263157894736842</v>
      </c>
      <c r="H654" s="322" t="s">
        <v>445</v>
      </c>
    </row>
    <row r="655" spans="1:8" ht="12" customHeight="1">
      <c r="A655" s="273"/>
      <c r="B655" s="215" t="s">
        <v>92</v>
      </c>
      <c r="C655" s="792"/>
      <c r="D655" s="792"/>
      <c r="E655" s="792"/>
      <c r="F655" s="792"/>
      <c r="G655" s="708"/>
      <c r="H655" s="363"/>
    </row>
    <row r="656" spans="1:8" ht="12" customHeight="1">
      <c r="A656" s="273"/>
      <c r="B656" s="215" t="s">
        <v>241</v>
      </c>
      <c r="C656" s="270"/>
      <c r="D656" s="270"/>
      <c r="E656" s="270"/>
      <c r="F656" s="270"/>
      <c r="G656" s="708"/>
      <c r="H656" s="322"/>
    </row>
    <row r="657" spans="1:8" ht="12" customHeight="1" thickBot="1">
      <c r="A657" s="273"/>
      <c r="B657" s="308" t="s">
        <v>60</v>
      </c>
      <c r="C657" s="793"/>
      <c r="D657" s="793"/>
      <c r="E657" s="793"/>
      <c r="F657" s="793"/>
      <c r="G657" s="710"/>
      <c r="H657" s="339"/>
    </row>
    <row r="658" spans="1:8" ht="12" customHeight="1" thickBot="1">
      <c r="A658" s="281"/>
      <c r="B658" s="311" t="s">
        <v>100</v>
      </c>
      <c r="C658" s="791">
        <f aca="true" t="shared" si="196" ref="C658">SUM(C654:C657)</f>
        <v>3840</v>
      </c>
      <c r="D658" s="791">
        <f aca="true" t="shared" si="197" ref="D658">SUM(D654:D657)</f>
        <v>6080</v>
      </c>
      <c r="E658" s="791">
        <f aca="true" t="shared" si="198" ref="E658:F658">SUM(E654:E657)</f>
        <v>6080</v>
      </c>
      <c r="F658" s="791">
        <f t="shared" si="198"/>
        <v>3200</v>
      </c>
      <c r="G658" s="707">
        <f t="shared" si="195"/>
        <v>0.5263157894736842</v>
      </c>
      <c r="H658" s="326"/>
    </row>
    <row r="659" spans="1:8" ht="12" customHeight="1">
      <c r="A659" s="65">
        <v>3350</v>
      </c>
      <c r="B659" s="333" t="s">
        <v>432</v>
      </c>
      <c r="C659" s="270"/>
      <c r="D659" s="270"/>
      <c r="E659" s="270"/>
      <c r="F659" s="270"/>
      <c r="G659" s="297"/>
      <c r="H659" s="322"/>
    </row>
    <row r="660" spans="1:8" ht="12" customHeight="1">
      <c r="A660" s="273"/>
      <c r="B660" s="274" t="s">
        <v>87</v>
      </c>
      <c r="C660" s="270"/>
      <c r="D660" s="270"/>
      <c r="E660" s="270"/>
      <c r="F660" s="270"/>
      <c r="G660" s="297"/>
      <c r="H660" s="322"/>
    </row>
    <row r="661" spans="1:8" ht="12" customHeight="1">
      <c r="A661" s="273"/>
      <c r="B661" s="149" t="s">
        <v>245</v>
      </c>
      <c r="C661" s="270"/>
      <c r="D661" s="270"/>
      <c r="E661" s="270"/>
      <c r="F661" s="270"/>
      <c r="G661" s="709"/>
      <c r="H661" s="322"/>
    </row>
    <row r="662" spans="1:8" ht="12" customHeight="1">
      <c r="A662" s="273"/>
      <c r="B662" s="275" t="s">
        <v>234</v>
      </c>
      <c r="C662" s="792">
        <f>4770+1230</f>
        <v>6000</v>
      </c>
      <c r="D662" s="792">
        <f>6750+2187</f>
        <v>8937</v>
      </c>
      <c r="E662" s="792">
        <f>6750+2187</f>
        <v>8937</v>
      </c>
      <c r="F662" s="792">
        <v>2251</v>
      </c>
      <c r="G662" s="709">
        <f t="shared" si="195"/>
        <v>0.25187423072619447</v>
      </c>
      <c r="H662" s="322" t="s">
        <v>445</v>
      </c>
    </row>
    <row r="663" spans="1:8" ht="12" customHeight="1">
      <c r="A663" s="273"/>
      <c r="B663" s="215" t="s">
        <v>92</v>
      </c>
      <c r="C663" s="792"/>
      <c r="D663" s="792"/>
      <c r="E663" s="792"/>
      <c r="F663" s="792"/>
      <c r="G663" s="708"/>
      <c r="H663" s="363"/>
    </row>
    <row r="664" spans="1:8" ht="12" customHeight="1">
      <c r="A664" s="273"/>
      <c r="B664" s="215" t="s">
        <v>241</v>
      </c>
      <c r="C664" s="270"/>
      <c r="D664" s="270"/>
      <c r="E664" s="270"/>
      <c r="F664" s="270"/>
      <c r="G664" s="708"/>
      <c r="H664" s="322"/>
    </row>
    <row r="665" spans="1:8" ht="12" customHeight="1" thickBot="1">
      <c r="A665" s="273"/>
      <c r="B665" s="308" t="s">
        <v>60</v>
      </c>
      <c r="C665" s="793"/>
      <c r="D665" s="793"/>
      <c r="E665" s="793"/>
      <c r="F665" s="793"/>
      <c r="G665" s="710"/>
      <c r="H665" s="339"/>
    </row>
    <row r="666" spans="1:8" ht="12" customHeight="1" thickBot="1">
      <c r="A666" s="281"/>
      <c r="B666" s="311" t="s">
        <v>100</v>
      </c>
      <c r="C666" s="791">
        <f aca="true" t="shared" si="199" ref="C666">SUM(C662:C665)</f>
        <v>6000</v>
      </c>
      <c r="D666" s="791">
        <f aca="true" t="shared" si="200" ref="D666">SUM(D662:D665)</f>
        <v>8937</v>
      </c>
      <c r="E666" s="791">
        <f aca="true" t="shared" si="201" ref="E666:F666">SUM(E662:E665)</f>
        <v>8937</v>
      </c>
      <c r="F666" s="791">
        <f t="shared" si="201"/>
        <v>2251</v>
      </c>
      <c r="G666" s="707">
        <f t="shared" si="195"/>
        <v>0.25187423072619447</v>
      </c>
      <c r="H666" s="326"/>
    </row>
    <row r="667" spans="1:8" ht="12.75">
      <c r="A667" s="65">
        <v>3352</v>
      </c>
      <c r="B667" s="333" t="s">
        <v>429</v>
      </c>
      <c r="C667" s="270"/>
      <c r="D667" s="270"/>
      <c r="E667" s="270"/>
      <c r="F667" s="270"/>
      <c r="G667" s="297"/>
      <c r="H667" s="322"/>
    </row>
    <row r="668" spans="1:8" ht="12.75">
      <c r="A668" s="273"/>
      <c r="B668" s="274" t="s">
        <v>87</v>
      </c>
      <c r="C668" s="214"/>
      <c r="D668" s="214"/>
      <c r="E668" s="214"/>
      <c r="F668" s="214"/>
      <c r="G668" s="297"/>
      <c r="H668" s="322"/>
    </row>
    <row r="669" spans="1:8" ht="12.75">
      <c r="A669" s="273"/>
      <c r="B669" s="149" t="s">
        <v>245</v>
      </c>
      <c r="C669" s="214"/>
      <c r="D669" s="214"/>
      <c r="E669" s="214"/>
      <c r="F669" s="214"/>
      <c r="G669" s="709"/>
      <c r="H669" s="322"/>
    </row>
    <row r="670" spans="1:8" ht="12.75">
      <c r="A670" s="273"/>
      <c r="B670" s="275" t="s">
        <v>234</v>
      </c>
      <c r="C670" s="792">
        <v>28000</v>
      </c>
      <c r="D670" s="792">
        <f>30447+14000</f>
        <v>44447</v>
      </c>
      <c r="E670" s="792">
        <f>30447+14000</f>
        <v>44447</v>
      </c>
      <c r="F670" s="792">
        <v>25585</v>
      </c>
      <c r="G670" s="709">
        <f t="shared" si="195"/>
        <v>0.5756294013094247</v>
      </c>
      <c r="H670" s="322" t="s">
        <v>445</v>
      </c>
    </row>
    <row r="671" spans="1:8" ht="12.75">
      <c r="A671" s="273"/>
      <c r="B671" s="215" t="s">
        <v>92</v>
      </c>
      <c r="C671" s="792"/>
      <c r="D671" s="792"/>
      <c r="E671" s="792"/>
      <c r="F671" s="792"/>
      <c r="G671" s="708"/>
      <c r="H671" s="427"/>
    </row>
    <row r="672" spans="1:8" ht="12.75">
      <c r="A672" s="273"/>
      <c r="B672" s="215" t="s">
        <v>241</v>
      </c>
      <c r="C672" s="792"/>
      <c r="D672" s="792"/>
      <c r="E672" s="792"/>
      <c r="F672" s="792"/>
      <c r="G672" s="708"/>
      <c r="H672" s="322"/>
    </row>
    <row r="673" spans="1:8" ht="12.75">
      <c r="A673" s="273"/>
      <c r="B673" s="215" t="s">
        <v>92</v>
      </c>
      <c r="C673" s="214"/>
      <c r="D673" s="214"/>
      <c r="E673" s="214"/>
      <c r="F673" s="214"/>
      <c r="G673" s="708"/>
      <c r="H673" s="323"/>
    </row>
    <row r="674" spans="1:8" ht="12.75" thickBot="1">
      <c r="A674" s="273"/>
      <c r="B674" s="308" t="s">
        <v>60</v>
      </c>
      <c r="C674" s="790"/>
      <c r="D674" s="790"/>
      <c r="E674" s="790"/>
      <c r="F674" s="790"/>
      <c r="G674" s="710"/>
      <c r="H674" s="339"/>
    </row>
    <row r="675" spans="1:8" ht="12.75" thickBot="1">
      <c r="A675" s="281"/>
      <c r="B675" s="311" t="s">
        <v>100</v>
      </c>
      <c r="C675" s="793">
        <f aca="true" t="shared" si="202" ref="C675">SUM(C668:C674)</f>
        <v>28000</v>
      </c>
      <c r="D675" s="793">
        <f aca="true" t="shared" si="203" ref="D675">SUM(D668:D674)</f>
        <v>44447</v>
      </c>
      <c r="E675" s="793">
        <f aca="true" t="shared" si="204" ref="E675:F675">SUM(E668:E674)</f>
        <v>44447</v>
      </c>
      <c r="F675" s="793">
        <f t="shared" si="204"/>
        <v>25585</v>
      </c>
      <c r="G675" s="707">
        <f t="shared" si="195"/>
        <v>0.5756294013094247</v>
      </c>
      <c r="H675" s="326"/>
    </row>
    <row r="676" spans="1:8" ht="12.75">
      <c r="A676" s="65">
        <v>3353</v>
      </c>
      <c r="B676" s="333" t="s">
        <v>508</v>
      </c>
      <c r="C676" s="270"/>
      <c r="D676" s="270"/>
      <c r="E676" s="270"/>
      <c r="F676" s="270"/>
      <c r="G676" s="297"/>
      <c r="H676" s="322"/>
    </row>
    <row r="677" spans="1:8" ht="12.75">
      <c r="A677" s="273"/>
      <c r="B677" s="274" t="s">
        <v>87</v>
      </c>
      <c r="C677" s="214"/>
      <c r="D677" s="214"/>
      <c r="E677" s="214"/>
      <c r="F677" s="214"/>
      <c r="G677" s="297"/>
      <c r="H677" s="322"/>
    </row>
    <row r="678" spans="1:8" ht="12.75">
      <c r="A678" s="273"/>
      <c r="B678" s="149" t="s">
        <v>245</v>
      </c>
      <c r="C678" s="214"/>
      <c r="D678" s="214"/>
      <c r="E678" s="214"/>
      <c r="F678" s="214"/>
      <c r="G678" s="712"/>
      <c r="H678" s="322"/>
    </row>
    <row r="679" spans="1:8" ht="12.75">
      <c r="A679" s="273"/>
      <c r="B679" s="275" t="s">
        <v>234</v>
      </c>
      <c r="C679" s="792">
        <v>1500</v>
      </c>
      <c r="D679" s="792">
        <v>1500</v>
      </c>
      <c r="E679" s="792">
        <v>1500</v>
      </c>
      <c r="F679" s="792">
        <v>0</v>
      </c>
      <c r="G679" s="709">
        <f t="shared" si="195"/>
        <v>0</v>
      </c>
      <c r="H679" s="322" t="s">
        <v>445</v>
      </c>
    </row>
    <row r="680" spans="1:8" ht="12.75">
      <c r="A680" s="273"/>
      <c r="B680" s="215" t="s">
        <v>92</v>
      </c>
      <c r="C680" s="792"/>
      <c r="D680" s="792"/>
      <c r="E680" s="792"/>
      <c r="F680" s="792"/>
      <c r="G680" s="297"/>
      <c r="H680" s="427"/>
    </row>
    <row r="681" spans="1:8" ht="12.75">
      <c r="A681" s="273"/>
      <c r="B681" s="215" t="s">
        <v>241</v>
      </c>
      <c r="C681" s="792"/>
      <c r="D681" s="792"/>
      <c r="E681" s="792"/>
      <c r="F681" s="792"/>
      <c r="G681" s="297"/>
      <c r="H681" s="426"/>
    </row>
    <row r="682" spans="1:8" ht="12.75">
      <c r="A682" s="273"/>
      <c r="B682" s="215" t="s">
        <v>92</v>
      </c>
      <c r="C682" s="214"/>
      <c r="D682" s="214"/>
      <c r="E682" s="214"/>
      <c r="F682" s="214"/>
      <c r="G682" s="297"/>
      <c r="H682" s="323"/>
    </row>
    <row r="683" spans="1:8" ht="12.75" thickBot="1">
      <c r="A683" s="273"/>
      <c r="B683" s="308" t="s">
        <v>60</v>
      </c>
      <c r="C683" s="790"/>
      <c r="D683" s="790"/>
      <c r="E683" s="790"/>
      <c r="F683" s="790"/>
      <c r="G683" s="713"/>
      <c r="H683" s="339"/>
    </row>
    <row r="684" spans="1:8" ht="12.75" thickBot="1">
      <c r="A684" s="281"/>
      <c r="B684" s="311" t="s">
        <v>100</v>
      </c>
      <c r="C684" s="793">
        <f aca="true" t="shared" si="205" ref="C684">SUM(C677:C683)</f>
        <v>1500</v>
      </c>
      <c r="D684" s="793">
        <f aca="true" t="shared" si="206" ref="D684">SUM(D677:D683)</f>
        <v>1500</v>
      </c>
      <c r="E684" s="793">
        <f aca="true" t="shared" si="207" ref="E684:F684">SUM(E677:E683)</f>
        <v>1500</v>
      </c>
      <c r="F684" s="793">
        <f t="shared" si="207"/>
        <v>0</v>
      </c>
      <c r="G684" s="707">
        <f t="shared" si="195"/>
        <v>0</v>
      </c>
      <c r="H684" s="326"/>
    </row>
    <row r="685" spans="1:8" ht="12" customHeight="1">
      <c r="A685" s="65">
        <v>3355</v>
      </c>
      <c r="B685" s="171" t="s">
        <v>23</v>
      </c>
      <c r="C685" s="270"/>
      <c r="D685" s="270"/>
      <c r="E685" s="270"/>
      <c r="F685" s="270"/>
      <c r="G685" s="297"/>
      <c r="H685" s="322"/>
    </row>
    <row r="686" spans="1:8" ht="12" customHeight="1">
      <c r="A686" s="273"/>
      <c r="B686" s="274" t="s">
        <v>87</v>
      </c>
      <c r="C686" s="792">
        <v>2000</v>
      </c>
      <c r="D686" s="792">
        <v>2184</v>
      </c>
      <c r="E686" s="792">
        <v>2184</v>
      </c>
      <c r="F686" s="792">
        <v>249</v>
      </c>
      <c r="G686" s="709">
        <f t="shared" si="195"/>
        <v>0.11401098901098901</v>
      </c>
      <c r="H686" s="322"/>
    </row>
    <row r="687" spans="1:8" ht="12" customHeight="1">
      <c r="A687" s="273"/>
      <c r="B687" s="149" t="s">
        <v>245</v>
      </c>
      <c r="C687" s="792">
        <v>900</v>
      </c>
      <c r="D687" s="792">
        <v>922</v>
      </c>
      <c r="E687" s="792">
        <v>922</v>
      </c>
      <c r="F687" s="792">
        <v>44</v>
      </c>
      <c r="G687" s="709">
        <f t="shared" si="195"/>
        <v>0.04772234273318872</v>
      </c>
      <c r="H687" s="578" t="s">
        <v>447</v>
      </c>
    </row>
    <row r="688" spans="1:8" ht="12" customHeight="1">
      <c r="A688" s="273"/>
      <c r="B688" s="275" t="s">
        <v>234</v>
      </c>
      <c r="C688" s="792">
        <f>3100+6000</f>
        <v>9100</v>
      </c>
      <c r="D688" s="792">
        <f>13015</f>
        <v>13015</v>
      </c>
      <c r="E688" s="792">
        <f>13015+3000</f>
        <v>16015</v>
      </c>
      <c r="F688" s="792">
        <v>4957</v>
      </c>
      <c r="G688" s="709">
        <f t="shared" si="195"/>
        <v>0.30952232282235403</v>
      </c>
      <c r="H688" s="426"/>
    </row>
    <row r="689" spans="1:8" ht="12" customHeight="1">
      <c r="A689" s="273"/>
      <c r="B689" s="215" t="s">
        <v>92</v>
      </c>
      <c r="C689" s="792"/>
      <c r="D689" s="792"/>
      <c r="E689" s="792"/>
      <c r="F689" s="792"/>
      <c r="G689" s="708"/>
      <c r="H689" s="322"/>
    </row>
    <row r="690" spans="1:8" ht="12" customHeight="1">
      <c r="A690" s="273"/>
      <c r="B690" s="215" t="s">
        <v>241</v>
      </c>
      <c r="C690" s="792"/>
      <c r="D690" s="792"/>
      <c r="E690" s="792"/>
      <c r="F690" s="792"/>
      <c r="G690" s="708"/>
      <c r="H690" s="322"/>
    </row>
    <row r="691" spans="1:8" ht="12" customHeight="1" thickBot="1">
      <c r="A691" s="273"/>
      <c r="B691" s="308" t="s">
        <v>60</v>
      </c>
      <c r="C691" s="794"/>
      <c r="D691" s="794"/>
      <c r="E691" s="794"/>
      <c r="F691" s="794"/>
      <c r="G691" s="710"/>
      <c r="H691" s="339"/>
    </row>
    <row r="692" spans="1:8" ht="12" customHeight="1" thickBot="1">
      <c r="A692" s="281"/>
      <c r="B692" s="311" t="s">
        <v>100</v>
      </c>
      <c r="C692" s="791">
        <f aca="true" t="shared" si="208" ref="C692">SUM(C686:C691)</f>
        <v>12000</v>
      </c>
      <c r="D692" s="791">
        <f aca="true" t="shared" si="209" ref="D692">SUM(D686:D691)</f>
        <v>16121</v>
      </c>
      <c r="E692" s="791">
        <f aca="true" t="shared" si="210" ref="E692:F692">SUM(E686:E691)</f>
        <v>19121</v>
      </c>
      <c r="F692" s="791">
        <f t="shared" si="210"/>
        <v>5250</v>
      </c>
      <c r="G692" s="707">
        <f t="shared" si="195"/>
        <v>0.27456722974739817</v>
      </c>
      <c r="H692" s="326"/>
    </row>
    <row r="693" spans="1:8" ht="12" customHeight="1">
      <c r="A693" s="65">
        <v>3356</v>
      </c>
      <c r="B693" s="171" t="s">
        <v>11</v>
      </c>
      <c r="C693" s="270"/>
      <c r="D693" s="270"/>
      <c r="E693" s="270"/>
      <c r="F693" s="270"/>
      <c r="G693" s="297"/>
      <c r="H693" s="322"/>
    </row>
    <row r="694" spans="1:8" ht="12" customHeight="1">
      <c r="A694" s="273"/>
      <c r="B694" s="274" t="s">
        <v>87</v>
      </c>
      <c r="C694" s="792"/>
      <c r="D694" s="792"/>
      <c r="E694" s="792"/>
      <c r="F694" s="792"/>
      <c r="G694" s="297"/>
      <c r="H694" s="322"/>
    </row>
    <row r="695" spans="1:8" ht="12" customHeight="1">
      <c r="A695" s="273"/>
      <c r="B695" s="149" t="s">
        <v>245</v>
      </c>
      <c r="C695" s="792"/>
      <c r="D695" s="792"/>
      <c r="E695" s="792"/>
      <c r="F695" s="792"/>
      <c r="G695" s="297"/>
      <c r="H695" s="322"/>
    </row>
    <row r="696" spans="1:8" ht="12" customHeight="1">
      <c r="A696" s="273"/>
      <c r="B696" s="275" t="s">
        <v>234</v>
      </c>
      <c r="C696" s="792"/>
      <c r="D696" s="792"/>
      <c r="E696" s="792"/>
      <c r="F696" s="792"/>
      <c r="G696" s="709"/>
      <c r="H696" s="426"/>
    </row>
    <row r="697" spans="1:8" ht="12" customHeight="1">
      <c r="A697" s="273"/>
      <c r="B697" s="215" t="s">
        <v>92</v>
      </c>
      <c r="C697" s="792"/>
      <c r="D697" s="792"/>
      <c r="E697" s="792"/>
      <c r="F697" s="792"/>
      <c r="G697" s="708"/>
      <c r="H697" s="322"/>
    </row>
    <row r="698" spans="1:8" ht="12" customHeight="1">
      <c r="A698" s="273"/>
      <c r="B698" s="215" t="s">
        <v>241</v>
      </c>
      <c r="C698" s="792">
        <v>5000</v>
      </c>
      <c r="D698" s="792">
        <v>8421</v>
      </c>
      <c r="E698" s="792">
        <v>8421</v>
      </c>
      <c r="F698" s="792">
        <v>0</v>
      </c>
      <c r="G698" s="709">
        <f t="shared" si="195"/>
        <v>0</v>
      </c>
      <c r="H698" s="322"/>
    </row>
    <row r="699" spans="1:8" ht="12" customHeight="1" thickBot="1">
      <c r="A699" s="273"/>
      <c r="B699" s="308" t="s">
        <v>60</v>
      </c>
      <c r="C699" s="793"/>
      <c r="D699" s="793"/>
      <c r="E699" s="793"/>
      <c r="F699" s="793"/>
      <c r="G699" s="710"/>
      <c r="H699" s="339"/>
    </row>
    <row r="700" spans="1:8" ht="12" customHeight="1" thickBot="1">
      <c r="A700" s="281"/>
      <c r="B700" s="311" t="s">
        <v>100</v>
      </c>
      <c r="C700" s="791">
        <f aca="true" t="shared" si="211" ref="C700">SUM(C694:C699)</f>
        <v>5000</v>
      </c>
      <c r="D700" s="791">
        <f aca="true" t="shared" si="212" ref="D700">SUM(D694:D699)</f>
        <v>8421</v>
      </c>
      <c r="E700" s="791">
        <f aca="true" t="shared" si="213" ref="E700:F700">SUM(E694:E699)</f>
        <v>8421</v>
      </c>
      <c r="F700" s="791">
        <f t="shared" si="213"/>
        <v>0</v>
      </c>
      <c r="G700" s="707">
        <f t="shared" si="195"/>
        <v>0</v>
      </c>
      <c r="H700" s="326"/>
    </row>
    <row r="701" spans="1:8" ht="12" customHeight="1">
      <c r="A701" s="65">
        <v>3357</v>
      </c>
      <c r="B701" s="171" t="s">
        <v>24</v>
      </c>
      <c r="C701" s="270"/>
      <c r="D701" s="270"/>
      <c r="E701" s="270"/>
      <c r="F701" s="270"/>
      <c r="G701" s="297"/>
      <c r="H701" s="322"/>
    </row>
    <row r="702" spans="1:8" ht="12" customHeight="1">
      <c r="A702" s="273"/>
      <c r="B702" s="274" t="s">
        <v>87</v>
      </c>
      <c r="C702" s="792">
        <v>600</v>
      </c>
      <c r="D702" s="792">
        <v>600</v>
      </c>
      <c r="E702" s="792">
        <v>600</v>
      </c>
      <c r="F702" s="792">
        <v>0</v>
      </c>
      <c r="G702" s="709">
        <f t="shared" si="195"/>
        <v>0</v>
      </c>
      <c r="H702" s="322"/>
    </row>
    <row r="703" spans="1:8" ht="12" customHeight="1">
      <c r="A703" s="273"/>
      <c r="B703" s="149" t="s">
        <v>245</v>
      </c>
      <c r="C703" s="792">
        <v>300</v>
      </c>
      <c r="D703" s="792">
        <v>300</v>
      </c>
      <c r="E703" s="792">
        <v>300</v>
      </c>
      <c r="F703" s="792">
        <v>0</v>
      </c>
      <c r="G703" s="709">
        <f t="shared" si="195"/>
        <v>0</v>
      </c>
      <c r="H703" s="322"/>
    </row>
    <row r="704" spans="1:8" ht="12" customHeight="1">
      <c r="A704" s="273"/>
      <c r="B704" s="275" t="s">
        <v>234</v>
      </c>
      <c r="C704" s="792">
        <v>2100</v>
      </c>
      <c r="D704" s="792">
        <v>2290</v>
      </c>
      <c r="E704" s="792">
        <v>2290</v>
      </c>
      <c r="F704" s="792">
        <v>0</v>
      </c>
      <c r="G704" s="709">
        <f t="shared" si="195"/>
        <v>0</v>
      </c>
      <c r="H704" s="578" t="s">
        <v>447</v>
      </c>
    </row>
    <row r="705" spans="1:8" ht="12" customHeight="1">
      <c r="A705" s="273"/>
      <c r="B705" s="215" t="s">
        <v>92</v>
      </c>
      <c r="C705" s="792"/>
      <c r="D705" s="792"/>
      <c r="E705" s="792"/>
      <c r="F705" s="792"/>
      <c r="G705" s="708"/>
      <c r="H705" s="322"/>
    </row>
    <row r="706" spans="1:8" ht="12" customHeight="1">
      <c r="A706" s="273"/>
      <c r="B706" s="215" t="s">
        <v>241</v>
      </c>
      <c r="C706" s="792"/>
      <c r="D706" s="792"/>
      <c r="E706" s="792"/>
      <c r="F706" s="792"/>
      <c r="G706" s="708"/>
      <c r="H706" s="322"/>
    </row>
    <row r="707" spans="1:8" ht="12" customHeight="1" thickBot="1">
      <c r="A707" s="273"/>
      <c r="B707" s="308" t="s">
        <v>60</v>
      </c>
      <c r="C707" s="794"/>
      <c r="D707" s="794"/>
      <c r="E707" s="794"/>
      <c r="F707" s="794"/>
      <c r="G707" s="710"/>
      <c r="H707" s="339"/>
    </row>
    <row r="708" spans="1:8" ht="12.75" thickBot="1">
      <c r="A708" s="281"/>
      <c r="B708" s="311" t="s">
        <v>100</v>
      </c>
      <c r="C708" s="791">
        <f aca="true" t="shared" si="214" ref="C708">SUM(C702:C707)</f>
        <v>3000</v>
      </c>
      <c r="D708" s="791">
        <f aca="true" t="shared" si="215" ref="D708">SUM(D702:D707)</f>
        <v>3190</v>
      </c>
      <c r="E708" s="791">
        <f aca="true" t="shared" si="216" ref="E708:F708">SUM(E702:E707)</f>
        <v>3190</v>
      </c>
      <c r="F708" s="791">
        <f t="shared" si="216"/>
        <v>0</v>
      </c>
      <c r="G708" s="707">
        <f t="shared" si="195"/>
        <v>0</v>
      </c>
      <c r="H708" s="326"/>
    </row>
    <row r="709" spans="1:8" ht="12.75" thickBot="1">
      <c r="A709" s="335">
        <v>3400</v>
      </c>
      <c r="B709" s="345" t="s">
        <v>65</v>
      </c>
      <c r="C709" s="793">
        <f>SUM(C710+C764)</f>
        <v>186500</v>
      </c>
      <c r="D709" s="793">
        <f>SUM(D710+D764)</f>
        <v>235393</v>
      </c>
      <c r="E709" s="793">
        <f>SUM(E710+E764)</f>
        <v>238346</v>
      </c>
      <c r="F709" s="793">
        <f>SUM(F710+F764)</f>
        <v>108974</v>
      </c>
      <c r="G709" s="707">
        <f t="shared" si="195"/>
        <v>0.45720926719978516</v>
      </c>
      <c r="H709" s="326"/>
    </row>
    <row r="710" spans="1:8" ht="11.25" customHeight="1" thickBot="1">
      <c r="A710" s="65">
        <v>3410</v>
      </c>
      <c r="B710" s="345" t="s">
        <v>66</v>
      </c>
      <c r="C710" s="791">
        <f>SUM(C737+C746+C755+C763+C719)</f>
        <v>52000</v>
      </c>
      <c r="D710" s="791">
        <f>SUM(D737+D746+D755+D763+D719)</f>
        <v>70836</v>
      </c>
      <c r="E710" s="791">
        <f>SUM(E737+E746+E755+E763+E719)</f>
        <v>75836</v>
      </c>
      <c r="F710" s="791">
        <f>SUM(F737+F746+F755+F763+F719)</f>
        <v>48550</v>
      </c>
      <c r="G710" s="707">
        <f t="shared" si="195"/>
        <v>0.6401972677883855</v>
      </c>
      <c r="H710" s="326"/>
    </row>
    <row r="711" spans="1:8" ht="12" customHeight="1" hidden="1" thickBot="1">
      <c r="A711" s="65">
        <v>3411</v>
      </c>
      <c r="B711" s="171" t="s">
        <v>605</v>
      </c>
      <c r="C711" s="270"/>
      <c r="D711" s="270"/>
      <c r="E711" s="270"/>
      <c r="F711" s="270"/>
      <c r="G711" s="297" t="e">
        <f t="shared" si="195"/>
        <v>#DIV/0!</v>
      </c>
      <c r="H711" s="321"/>
    </row>
    <row r="712" spans="1:8" ht="12" customHeight="1" hidden="1" thickBot="1">
      <c r="A712" s="273"/>
      <c r="B712" s="274" t="s">
        <v>87</v>
      </c>
      <c r="C712" s="214"/>
      <c r="D712" s="214"/>
      <c r="E712" s="214"/>
      <c r="F712" s="214"/>
      <c r="G712" s="709" t="e">
        <f t="shared" si="195"/>
        <v>#DIV/0!</v>
      </c>
      <c r="H712" s="322"/>
    </row>
    <row r="713" spans="1:8" ht="12" customHeight="1" hidden="1" thickBot="1">
      <c r="A713" s="273"/>
      <c r="B713" s="149" t="s">
        <v>245</v>
      </c>
      <c r="C713" s="214"/>
      <c r="D713" s="214"/>
      <c r="E713" s="214"/>
      <c r="F713" s="214"/>
      <c r="G713" s="708" t="e">
        <f t="shared" si="195"/>
        <v>#DIV/0!</v>
      </c>
      <c r="H713" s="578" t="s">
        <v>447</v>
      </c>
    </row>
    <row r="714" spans="1:8" ht="12" customHeight="1" hidden="1" thickBot="1">
      <c r="A714" s="273"/>
      <c r="B714" s="275" t="s">
        <v>234</v>
      </c>
      <c r="C714" s="792"/>
      <c r="D714" s="792"/>
      <c r="E714" s="792"/>
      <c r="F714" s="792"/>
      <c r="G714" s="708" t="e">
        <f aca="true" t="shared" si="217" ref="G714:G776">F714/E714</f>
        <v>#DIV/0!</v>
      </c>
      <c r="H714" s="578"/>
    </row>
    <row r="715" spans="1:8" ht="12" customHeight="1" hidden="1" thickBot="1">
      <c r="A715" s="273"/>
      <c r="B715" s="215" t="s">
        <v>92</v>
      </c>
      <c r="C715" s="792"/>
      <c r="D715" s="792"/>
      <c r="E715" s="792"/>
      <c r="F715" s="792"/>
      <c r="G715" s="708" t="e">
        <f t="shared" si="217"/>
        <v>#DIV/0!</v>
      </c>
      <c r="H715" s="322"/>
    </row>
    <row r="716" spans="1:8" ht="12" customHeight="1" hidden="1" thickBot="1">
      <c r="A716" s="273"/>
      <c r="B716" s="215" t="s">
        <v>241</v>
      </c>
      <c r="C716" s="214"/>
      <c r="D716" s="214"/>
      <c r="E716" s="214"/>
      <c r="F716" s="214"/>
      <c r="G716" s="709" t="e">
        <f t="shared" si="217"/>
        <v>#DIV/0!</v>
      </c>
      <c r="H716" s="323"/>
    </row>
    <row r="717" spans="1:8" ht="12" customHeight="1" hidden="1" thickBot="1">
      <c r="A717" s="273"/>
      <c r="B717" s="308" t="s">
        <v>206</v>
      </c>
      <c r="C717" s="214"/>
      <c r="D717" s="214"/>
      <c r="E717" s="214"/>
      <c r="F717" s="214"/>
      <c r="G717" s="708" t="e">
        <f t="shared" si="217"/>
        <v>#DIV/0!</v>
      </c>
      <c r="H717" s="298"/>
    </row>
    <row r="718" spans="1:8" ht="12" customHeight="1" hidden="1" thickBot="1">
      <c r="A718" s="273"/>
      <c r="B718" s="489" t="s">
        <v>222</v>
      </c>
      <c r="C718" s="790"/>
      <c r="D718" s="790"/>
      <c r="E718" s="790"/>
      <c r="F718" s="790"/>
      <c r="G718" s="710" t="e">
        <f t="shared" si="217"/>
        <v>#DIV/0!</v>
      </c>
      <c r="H718" s="339"/>
    </row>
    <row r="719" spans="1:8" ht="12" customHeight="1" hidden="1" thickBot="1">
      <c r="A719" s="281"/>
      <c r="B719" s="972" t="s">
        <v>100</v>
      </c>
      <c r="C719" s="793">
        <f>SUM(C712:C718)</f>
        <v>0</v>
      </c>
      <c r="D719" s="793">
        <f>SUM(D712:D718)</f>
        <v>0</v>
      </c>
      <c r="E719" s="793">
        <f>SUM(E712:E718)</f>
        <v>0</v>
      </c>
      <c r="F719" s="793">
        <f>SUM(F712:F718)</f>
        <v>0</v>
      </c>
      <c r="G719" s="707" t="e">
        <f t="shared" si="217"/>
        <v>#DIV/0!</v>
      </c>
      <c r="H719" s="360"/>
    </row>
    <row r="720" spans="1:8" ht="12" customHeight="1">
      <c r="A720" s="65">
        <v>3411</v>
      </c>
      <c r="B720" s="974" t="s">
        <v>605</v>
      </c>
      <c r="C720" s="974"/>
      <c r="D720" s="974"/>
      <c r="E720" s="974"/>
      <c r="F720" s="974"/>
      <c r="G720" s="974"/>
      <c r="H720" s="974"/>
    </row>
    <row r="721" spans="1:8" ht="12" customHeight="1">
      <c r="A721" s="273"/>
      <c r="B721" s="274" t="s">
        <v>87</v>
      </c>
      <c r="C721" s="274"/>
      <c r="D721" s="274"/>
      <c r="E721" s="274"/>
      <c r="F721" s="274"/>
      <c r="G721" s="274"/>
      <c r="H721" s="274"/>
    </row>
    <row r="722" spans="1:8" ht="12" customHeight="1">
      <c r="A722" s="273"/>
      <c r="B722" s="149" t="s">
        <v>245</v>
      </c>
      <c r="C722" s="149"/>
      <c r="D722" s="149"/>
      <c r="E722" s="149"/>
      <c r="F722" s="149"/>
      <c r="G722" s="149"/>
      <c r="H722" s="149"/>
    </row>
    <row r="723" spans="1:8" ht="12" customHeight="1">
      <c r="A723" s="273"/>
      <c r="B723" s="275" t="s">
        <v>234</v>
      </c>
      <c r="C723" s="275"/>
      <c r="D723" s="275"/>
      <c r="E723" s="275"/>
      <c r="F723" s="275"/>
      <c r="G723" s="275"/>
      <c r="H723" s="578" t="s">
        <v>447</v>
      </c>
    </row>
    <row r="724" spans="1:8" ht="12" customHeight="1">
      <c r="A724" s="273"/>
      <c r="B724" s="215" t="s">
        <v>92</v>
      </c>
      <c r="C724" s="215"/>
      <c r="D724" s="215"/>
      <c r="E724" s="215"/>
      <c r="F724" s="215"/>
      <c r="G724" s="215"/>
      <c r="H724" s="215"/>
    </row>
    <row r="725" spans="1:8" ht="12" customHeight="1">
      <c r="A725" s="273"/>
      <c r="B725" s="215" t="s">
        <v>241</v>
      </c>
      <c r="C725" s="215"/>
      <c r="D725" s="215">
        <v>20000</v>
      </c>
      <c r="E725" s="215">
        <f>20000+20000</f>
        <v>40000</v>
      </c>
      <c r="F725" s="215">
        <v>20000</v>
      </c>
      <c r="G725" s="709">
        <f t="shared" si="217"/>
        <v>0.5</v>
      </c>
      <c r="H725" s="215"/>
    </row>
    <row r="726" spans="1:8" ht="12" customHeight="1">
      <c r="A726" s="273"/>
      <c r="B726" s="308" t="s">
        <v>206</v>
      </c>
      <c r="C726" s="308"/>
      <c r="D726" s="308"/>
      <c r="E726" s="308"/>
      <c r="F726" s="308"/>
      <c r="G726" s="308"/>
      <c r="H726" s="308"/>
    </row>
    <row r="727" spans="1:8" ht="12" customHeight="1" thickBot="1">
      <c r="A727" s="273"/>
      <c r="B727" s="489" t="s">
        <v>222</v>
      </c>
      <c r="C727" s="489"/>
      <c r="D727" s="489"/>
      <c r="E727" s="489"/>
      <c r="F727" s="489"/>
      <c r="G727" s="489"/>
      <c r="H727" s="489"/>
    </row>
    <row r="728" spans="1:8" ht="12" customHeight="1" thickBot="1">
      <c r="A728" s="281"/>
      <c r="B728" s="311" t="s">
        <v>100</v>
      </c>
      <c r="C728" s="791">
        <f>SUM(C721:C727)</f>
        <v>0</v>
      </c>
      <c r="D728" s="791">
        <f>SUM(D721:D727)</f>
        <v>20000</v>
      </c>
      <c r="E728" s="791">
        <f>SUM(E721:E727)</f>
        <v>40000</v>
      </c>
      <c r="F728" s="791">
        <f>SUM(F721:F727)</f>
        <v>20000</v>
      </c>
      <c r="G728" s="707">
        <f t="shared" si="217"/>
        <v>0.5</v>
      </c>
      <c r="H728" s="360"/>
    </row>
    <row r="729" spans="1:8" s="293" customFormat="1" ht="12" customHeight="1">
      <c r="A729" s="282">
        <v>3412</v>
      </c>
      <c r="B729" s="171" t="s">
        <v>318</v>
      </c>
      <c r="C729" s="975"/>
      <c r="D729" s="975"/>
      <c r="E729" s="975"/>
      <c r="F729" s="975"/>
      <c r="G729" s="745"/>
      <c r="H729" s="295"/>
    </row>
    <row r="730" spans="1:8" ht="12" customHeight="1">
      <c r="A730" s="273"/>
      <c r="B730" s="274" t="s">
        <v>87</v>
      </c>
      <c r="C730" s="214">
        <v>11500</v>
      </c>
      <c r="D730" s="214">
        <v>11500</v>
      </c>
      <c r="E730" s="214">
        <v>11500</v>
      </c>
      <c r="F730" s="214">
        <v>177</v>
      </c>
      <c r="G730" s="709">
        <f t="shared" si="217"/>
        <v>0.015391304347826087</v>
      </c>
      <c r="H730" s="322"/>
    </row>
    <row r="731" spans="1:8" ht="12" customHeight="1">
      <c r="A731" s="273"/>
      <c r="B731" s="149" t="s">
        <v>245</v>
      </c>
      <c r="C731" s="214">
        <v>2000</v>
      </c>
      <c r="D731" s="214">
        <v>2000</v>
      </c>
      <c r="E731" s="214">
        <v>2000</v>
      </c>
      <c r="F731" s="214">
        <v>33</v>
      </c>
      <c r="G731" s="709">
        <f t="shared" si="217"/>
        <v>0.0165</v>
      </c>
      <c r="H731" s="427"/>
    </row>
    <row r="732" spans="1:8" ht="12" customHeight="1">
      <c r="A732" s="273"/>
      <c r="B732" s="275" t="s">
        <v>234</v>
      </c>
      <c r="C732" s="792">
        <v>6500</v>
      </c>
      <c r="D732" s="792">
        <v>10829</v>
      </c>
      <c r="E732" s="792">
        <f>10829-200+5000</f>
        <v>15629</v>
      </c>
      <c r="F732" s="792">
        <v>7995</v>
      </c>
      <c r="G732" s="709">
        <f t="shared" si="217"/>
        <v>0.5115490434448781</v>
      </c>
      <c r="H732" s="578" t="s">
        <v>447</v>
      </c>
    </row>
    <row r="733" spans="1:8" ht="12" customHeight="1">
      <c r="A733" s="273"/>
      <c r="B733" s="215" t="s">
        <v>92</v>
      </c>
      <c r="C733" s="792"/>
      <c r="D733" s="792"/>
      <c r="E733" s="792"/>
      <c r="F733" s="792"/>
      <c r="G733" s="709"/>
      <c r="H733" s="322"/>
    </row>
    <row r="734" spans="1:8" ht="12.75">
      <c r="A734" s="273"/>
      <c r="B734" s="215" t="s">
        <v>241</v>
      </c>
      <c r="C734" s="214"/>
      <c r="D734" s="214">
        <v>200</v>
      </c>
      <c r="E734" s="214">
        <f>200+200</f>
        <v>400</v>
      </c>
      <c r="F734" s="214">
        <v>400</v>
      </c>
      <c r="G734" s="709">
        <f t="shared" si="217"/>
        <v>1</v>
      </c>
      <c r="H734" s="323"/>
    </row>
    <row r="735" spans="1:8" ht="12.75">
      <c r="A735" s="273"/>
      <c r="B735" s="308" t="s">
        <v>206</v>
      </c>
      <c r="C735" s="214"/>
      <c r="D735" s="214">
        <f>5892+5000</f>
        <v>10892</v>
      </c>
      <c r="E735" s="214">
        <f>5892+5000</f>
        <v>10892</v>
      </c>
      <c r="F735" s="214">
        <v>11450</v>
      </c>
      <c r="G735" s="709">
        <f t="shared" si="217"/>
        <v>1.051230260741829</v>
      </c>
      <c r="H735" s="298"/>
    </row>
    <row r="736" spans="1:8" ht="12.75" thickBot="1">
      <c r="A736" s="273"/>
      <c r="B736" s="489" t="s">
        <v>222</v>
      </c>
      <c r="C736" s="790"/>
      <c r="D736" s="790"/>
      <c r="E736" s="790"/>
      <c r="F736" s="790"/>
      <c r="G736" s="710"/>
      <c r="H736" s="339"/>
    </row>
    <row r="737" spans="1:8" ht="12" customHeight="1" thickBot="1">
      <c r="A737" s="281"/>
      <c r="B737" s="311" t="s">
        <v>100</v>
      </c>
      <c r="C737" s="793">
        <f>SUM(C730:C736)</f>
        <v>20000</v>
      </c>
      <c r="D737" s="793">
        <f>SUM(D730:D736)</f>
        <v>35421</v>
      </c>
      <c r="E737" s="793">
        <f>SUM(E730:E736)</f>
        <v>40421</v>
      </c>
      <c r="F737" s="793">
        <f>SUM(F730:F736)</f>
        <v>20055</v>
      </c>
      <c r="G737" s="707">
        <f t="shared" si="217"/>
        <v>0.4961529897825388</v>
      </c>
      <c r="H737" s="360"/>
    </row>
    <row r="738" spans="1:8" ht="12" customHeight="1">
      <c r="A738" s="65">
        <v>3413</v>
      </c>
      <c r="B738" s="333" t="s">
        <v>104</v>
      </c>
      <c r="C738" s="270"/>
      <c r="D738" s="270"/>
      <c r="E738" s="270"/>
      <c r="F738" s="270"/>
      <c r="G738" s="297"/>
      <c r="H738" s="295"/>
    </row>
    <row r="739" spans="1:8" ht="12" customHeight="1">
      <c r="A739" s="273"/>
      <c r="B739" s="274" t="s">
        <v>87</v>
      </c>
      <c r="C739" s="214">
        <v>600</v>
      </c>
      <c r="D739" s="214">
        <v>600</v>
      </c>
      <c r="E739" s="214">
        <v>600</v>
      </c>
      <c r="F739" s="214">
        <v>84</v>
      </c>
      <c r="G739" s="709">
        <f t="shared" si="217"/>
        <v>0.14</v>
      </c>
      <c r="H739" s="322"/>
    </row>
    <row r="740" spans="1:8" ht="12" customHeight="1">
      <c r="A740" s="273"/>
      <c r="B740" s="149" t="s">
        <v>245</v>
      </c>
      <c r="C740" s="214">
        <v>400</v>
      </c>
      <c r="D740" s="214">
        <v>400</v>
      </c>
      <c r="E740" s="214">
        <v>400</v>
      </c>
      <c r="F740" s="214">
        <v>35</v>
      </c>
      <c r="G740" s="709">
        <f t="shared" si="217"/>
        <v>0.0875</v>
      </c>
      <c r="H740" s="578" t="s">
        <v>447</v>
      </c>
    </row>
    <row r="741" spans="1:8" ht="12" customHeight="1">
      <c r="A741" s="273"/>
      <c r="B741" s="275" t="s">
        <v>234</v>
      </c>
      <c r="C741" s="792">
        <f>1000</f>
        <v>1000</v>
      </c>
      <c r="D741" s="792">
        <v>1046</v>
      </c>
      <c r="E741" s="792">
        <v>1046</v>
      </c>
      <c r="F741" s="792">
        <v>662</v>
      </c>
      <c r="G741" s="709">
        <f t="shared" si="217"/>
        <v>0.6328871892925431</v>
      </c>
      <c r="H741" s="427"/>
    </row>
    <row r="742" spans="1:8" ht="12" customHeight="1">
      <c r="A742" s="273"/>
      <c r="B742" s="215" t="s">
        <v>92</v>
      </c>
      <c r="C742" s="792"/>
      <c r="D742" s="792"/>
      <c r="E742" s="792"/>
      <c r="F742" s="792"/>
      <c r="G742" s="709"/>
      <c r="H742" s="322"/>
    </row>
    <row r="743" spans="1:8" ht="12" customHeight="1">
      <c r="A743" s="273"/>
      <c r="B743" s="215" t="s">
        <v>241</v>
      </c>
      <c r="C743" s="214"/>
      <c r="D743" s="214"/>
      <c r="E743" s="214"/>
      <c r="F743" s="214"/>
      <c r="G743" s="709"/>
      <c r="H743" s="322"/>
    </row>
    <row r="744" spans="1:8" ht="12" customHeight="1">
      <c r="A744" s="273"/>
      <c r="B744" s="308" t="s">
        <v>206</v>
      </c>
      <c r="C744" s="214"/>
      <c r="D744" s="214">
        <v>1619</v>
      </c>
      <c r="E744" s="214">
        <v>1619</v>
      </c>
      <c r="F744" s="214">
        <v>1619</v>
      </c>
      <c r="G744" s="709">
        <f t="shared" si="217"/>
        <v>1</v>
      </c>
      <c r="H744" s="322"/>
    </row>
    <row r="745" spans="1:8" ht="12" customHeight="1" thickBot="1">
      <c r="A745" s="273"/>
      <c r="B745" s="308" t="s">
        <v>60</v>
      </c>
      <c r="C745" s="790"/>
      <c r="D745" s="790"/>
      <c r="E745" s="790"/>
      <c r="F745" s="790"/>
      <c r="G745" s="710"/>
      <c r="H745" s="339"/>
    </row>
    <row r="746" spans="1:8" ht="12" customHeight="1" thickBot="1">
      <c r="A746" s="281"/>
      <c r="B746" s="311" t="s">
        <v>100</v>
      </c>
      <c r="C746" s="793">
        <f>SUM(C739:C745)</f>
        <v>2000</v>
      </c>
      <c r="D746" s="793">
        <f>SUM(D739:D745)</f>
        <v>3665</v>
      </c>
      <c r="E746" s="793">
        <f>SUM(E739:E745)</f>
        <v>3665</v>
      </c>
      <c r="F746" s="793">
        <f>SUM(F739:F745)</f>
        <v>2400</v>
      </c>
      <c r="G746" s="707">
        <f t="shared" si="217"/>
        <v>0.654843110504775</v>
      </c>
      <c r="H746" s="360"/>
    </row>
    <row r="747" spans="1:8" ht="12" customHeight="1">
      <c r="A747" s="65">
        <v>3415</v>
      </c>
      <c r="B747" s="333" t="s">
        <v>604</v>
      </c>
      <c r="C747" s="270"/>
      <c r="D747" s="270"/>
      <c r="E747" s="270"/>
      <c r="F747" s="270"/>
      <c r="G747" s="297"/>
      <c r="H747" s="295"/>
    </row>
    <row r="748" spans="1:8" ht="12" customHeight="1">
      <c r="A748" s="273"/>
      <c r="B748" s="274" t="s">
        <v>87</v>
      </c>
      <c r="C748" s="214"/>
      <c r="D748" s="214"/>
      <c r="E748" s="214"/>
      <c r="F748" s="214"/>
      <c r="G748" s="297"/>
      <c r="H748" s="321" t="s">
        <v>425</v>
      </c>
    </row>
    <row r="749" spans="1:8" ht="12" customHeight="1">
      <c r="A749" s="273"/>
      <c r="B749" s="149" t="s">
        <v>245</v>
      </c>
      <c r="C749" s="214"/>
      <c r="D749" s="214"/>
      <c r="E749" s="214"/>
      <c r="F749" s="214"/>
      <c r="G749" s="297"/>
      <c r="H749" s="533" t="s">
        <v>424</v>
      </c>
    </row>
    <row r="750" spans="1:8" ht="12" customHeight="1">
      <c r="A750" s="273"/>
      <c r="B750" s="275" t="s">
        <v>234</v>
      </c>
      <c r="C750" s="792">
        <v>6000</v>
      </c>
      <c r="D750" s="792">
        <v>6000</v>
      </c>
      <c r="E750" s="792">
        <f>6000-680</f>
        <v>5320</v>
      </c>
      <c r="F750" s="792">
        <v>15</v>
      </c>
      <c r="G750" s="709">
        <f t="shared" si="217"/>
        <v>0.002819548872180451</v>
      </c>
      <c r="H750" s="427"/>
    </row>
    <row r="751" spans="1:8" ht="12" customHeight="1">
      <c r="A751" s="273"/>
      <c r="B751" s="215" t="s">
        <v>92</v>
      </c>
      <c r="C751" s="792"/>
      <c r="D751" s="792"/>
      <c r="E751" s="792"/>
      <c r="F751" s="792"/>
      <c r="G751" s="709"/>
      <c r="H751" s="322"/>
    </row>
    <row r="752" spans="1:8" ht="12" customHeight="1">
      <c r="A752" s="273"/>
      <c r="B752" s="215" t="s">
        <v>241</v>
      </c>
      <c r="C752" s="214">
        <v>3000</v>
      </c>
      <c r="D752" s="214">
        <v>4750</v>
      </c>
      <c r="E752" s="214">
        <f>4750+680</f>
        <v>5430</v>
      </c>
      <c r="F752" s="214">
        <v>6080</v>
      </c>
      <c r="G752" s="709">
        <f t="shared" si="217"/>
        <v>1.1197053406998159</v>
      </c>
      <c r="H752" s="322"/>
    </row>
    <row r="753" spans="1:8" ht="12" customHeight="1">
      <c r="A753" s="273"/>
      <c r="B753" s="215" t="s">
        <v>206</v>
      </c>
      <c r="C753" s="214">
        <v>1000</v>
      </c>
      <c r="D753" s="214">
        <v>1000</v>
      </c>
      <c r="E753" s="214">
        <v>1000</v>
      </c>
      <c r="F753" s="214">
        <v>0</v>
      </c>
      <c r="G753" s="709">
        <f t="shared" si="217"/>
        <v>0</v>
      </c>
      <c r="H753" s="323"/>
    </row>
    <row r="754" spans="1:8" ht="12" customHeight="1" thickBot="1">
      <c r="A754" s="273"/>
      <c r="B754" s="308" t="s">
        <v>222</v>
      </c>
      <c r="C754" s="765"/>
      <c r="D754" s="765"/>
      <c r="E754" s="765"/>
      <c r="F754" s="765"/>
      <c r="G754" s="706"/>
      <c r="H754" s="339"/>
    </row>
    <row r="755" spans="1:8" ht="12" customHeight="1" thickBot="1">
      <c r="A755" s="281"/>
      <c r="B755" s="311" t="s">
        <v>100</v>
      </c>
      <c r="C755" s="791">
        <f>C748+C749+C750+C751+C752+C753+C754</f>
        <v>10000</v>
      </c>
      <c r="D755" s="791">
        <f>D748+D749+D750+D751+D752+D753+D754</f>
        <v>11750</v>
      </c>
      <c r="E755" s="791">
        <f>E748+E749+E750+E751+E752+E753+E754</f>
        <v>11750</v>
      </c>
      <c r="F755" s="791">
        <f>F748+F749+F750+F751+F752+F753+F754</f>
        <v>6095</v>
      </c>
      <c r="G755" s="707">
        <f t="shared" si="217"/>
        <v>0.5187234042553192</v>
      </c>
      <c r="H755" s="360"/>
    </row>
    <row r="756" spans="1:8" ht="12" customHeight="1">
      <c r="A756" s="65">
        <v>3416</v>
      </c>
      <c r="B756" s="333" t="s">
        <v>132</v>
      </c>
      <c r="C756" s="270"/>
      <c r="D756" s="270"/>
      <c r="E756" s="270"/>
      <c r="F756" s="270"/>
      <c r="G756" s="297"/>
      <c r="H756" s="295" t="s">
        <v>425</v>
      </c>
    </row>
    <row r="757" spans="1:8" ht="12" customHeight="1">
      <c r="A757" s="273"/>
      <c r="B757" s="274" t="s">
        <v>87</v>
      </c>
      <c r="C757" s="214"/>
      <c r="D757" s="214"/>
      <c r="E757" s="214"/>
      <c r="F757" s="214"/>
      <c r="G757" s="297"/>
      <c r="H757" s="533" t="s">
        <v>424</v>
      </c>
    </row>
    <row r="758" spans="1:8" ht="12" customHeight="1">
      <c r="A758" s="273"/>
      <c r="B758" s="149" t="s">
        <v>245</v>
      </c>
      <c r="C758" s="214"/>
      <c r="D758" s="214"/>
      <c r="E758" s="214"/>
      <c r="F758" s="214"/>
      <c r="G758" s="709"/>
      <c r="H758" s="322"/>
    </row>
    <row r="759" spans="1:8" ht="12" customHeight="1">
      <c r="A759" s="273"/>
      <c r="B759" s="275" t="s">
        <v>234</v>
      </c>
      <c r="C759" s="214"/>
      <c r="D759" s="214"/>
      <c r="E759" s="214"/>
      <c r="F759" s="214"/>
      <c r="G759" s="708"/>
      <c r="H759" s="427"/>
    </row>
    <row r="760" spans="1:8" ht="12" customHeight="1">
      <c r="A760" s="273"/>
      <c r="B760" s="215" t="s">
        <v>92</v>
      </c>
      <c r="C760" s="214"/>
      <c r="D760" s="214"/>
      <c r="E760" s="214"/>
      <c r="F760" s="214"/>
      <c r="G760" s="708"/>
      <c r="H760" s="427"/>
    </row>
    <row r="761" spans="1:8" ht="12" customHeight="1">
      <c r="A761" s="273"/>
      <c r="B761" s="215" t="s">
        <v>241</v>
      </c>
      <c r="C761" s="214">
        <v>20000</v>
      </c>
      <c r="D761" s="214">
        <v>20000</v>
      </c>
      <c r="E761" s="214">
        <v>20000</v>
      </c>
      <c r="F761" s="214">
        <v>20000</v>
      </c>
      <c r="G761" s="709">
        <f t="shared" si="217"/>
        <v>1</v>
      </c>
      <c r="H761" s="426"/>
    </row>
    <row r="762" spans="1:8" ht="12" customHeight="1" thickBot="1">
      <c r="A762" s="273"/>
      <c r="B762" s="308" t="s">
        <v>60</v>
      </c>
      <c r="C762" s="765"/>
      <c r="D762" s="765"/>
      <c r="E762" s="765"/>
      <c r="F762" s="765"/>
      <c r="G762" s="710"/>
      <c r="H762" s="428"/>
    </row>
    <row r="763" spans="1:8" ht="12" customHeight="1" thickBot="1">
      <c r="A763" s="281"/>
      <c r="B763" s="311" t="s">
        <v>100</v>
      </c>
      <c r="C763" s="791">
        <f aca="true" t="shared" si="218" ref="C763">SUM(C757:C762)</f>
        <v>20000</v>
      </c>
      <c r="D763" s="791">
        <f aca="true" t="shared" si="219" ref="D763">SUM(D757:D762)</f>
        <v>20000</v>
      </c>
      <c r="E763" s="791">
        <f aca="true" t="shared" si="220" ref="E763:F763">SUM(E757:E762)</f>
        <v>20000</v>
      </c>
      <c r="F763" s="791">
        <f t="shared" si="220"/>
        <v>20000</v>
      </c>
      <c r="G763" s="707">
        <f t="shared" si="217"/>
        <v>1</v>
      </c>
      <c r="H763" s="360"/>
    </row>
    <row r="764" spans="1:8" ht="12" customHeight="1">
      <c r="A764" s="65">
        <v>3420</v>
      </c>
      <c r="B764" s="284" t="s">
        <v>117</v>
      </c>
      <c r="C764" s="270">
        <f>SUM(C780+C789+C821+C845+C805+C813+C853+C861+C869+C772+C797)</f>
        <v>134500</v>
      </c>
      <c r="D764" s="270">
        <f>SUM(D780+D789+D821+D845+D805+D813+D853+D861+D869+D772+D797)+D837</f>
        <v>164557</v>
      </c>
      <c r="E764" s="270">
        <f>SUM(E780+E789+E821+E845+E805+E813+E853+E861+E869+E772+E797)+E837</f>
        <v>162510</v>
      </c>
      <c r="F764" s="270">
        <f>SUM(F780+F789+F821+F845+F805+F813+F853+F861+F869+F772+F797)+F837</f>
        <v>60424</v>
      </c>
      <c r="G764" s="745">
        <f t="shared" si="217"/>
        <v>0.37181711894652636</v>
      </c>
      <c r="H764" s="295"/>
    </row>
    <row r="765" spans="1:8" ht="12" customHeight="1">
      <c r="A765" s="65">
        <v>3421</v>
      </c>
      <c r="B765" s="333" t="s">
        <v>326</v>
      </c>
      <c r="C765" s="270"/>
      <c r="D765" s="270"/>
      <c r="E765" s="270"/>
      <c r="F765" s="270"/>
      <c r="G765" s="297"/>
      <c r="H765" s="321"/>
    </row>
    <row r="766" spans="1:8" ht="12" customHeight="1">
      <c r="A766" s="273"/>
      <c r="B766" s="274" t="s">
        <v>87</v>
      </c>
      <c r="C766" s="214">
        <v>1700</v>
      </c>
      <c r="D766" s="214">
        <v>1700</v>
      </c>
      <c r="E766" s="214">
        <v>1700</v>
      </c>
      <c r="F766" s="214">
        <v>192</v>
      </c>
      <c r="G766" s="709">
        <f t="shared" si="217"/>
        <v>0.11294117647058824</v>
      </c>
      <c r="H766" s="426"/>
    </row>
    <row r="767" spans="1:8" ht="12" customHeight="1">
      <c r="A767" s="273"/>
      <c r="B767" s="149" t="s">
        <v>245</v>
      </c>
      <c r="C767" s="214">
        <v>800</v>
      </c>
      <c r="D767" s="214">
        <v>1034</v>
      </c>
      <c r="E767" s="214">
        <v>1034</v>
      </c>
      <c r="F767" s="214">
        <v>151</v>
      </c>
      <c r="G767" s="709">
        <f t="shared" si="217"/>
        <v>0.14603481624758222</v>
      </c>
      <c r="H767" s="533" t="s">
        <v>449</v>
      </c>
    </row>
    <row r="768" spans="1:8" ht="12" customHeight="1">
      <c r="A768" s="273"/>
      <c r="B768" s="275" t="s">
        <v>234</v>
      </c>
      <c r="C768" s="214">
        <f>5500+30000</f>
        <v>35500</v>
      </c>
      <c r="D768" s="214">
        <v>43414</v>
      </c>
      <c r="E768" s="214">
        <v>43414</v>
      </c>
      <c r="F768" s="214">
        <v>7686</v>
      </c>
      <c r="G768" s="709">
        <f t="shared" si="217"/>
        <v>0.17703966462431472</v>
      </c>
      <c r="H768" s="427"/>
    </row>
    <row r="769" spans="1:8" ht="12" customHeight="1">
      <c r="A769" s="273"/>
      <c r="B769" s="215" t="s">
        <v>92</v>
      </c>
      <c r="C769" s="214"/>
      <c r="D769" s="214"/>
      <c r="E769" s="214"/>
      <c r="F769" s="214"/>
      <c r="G769" s="709"/>
      <c r="H769" s="328"/>
    </row>
    <row r="770" spans="1:8" ht="12" customHeight="1">
      <c r="A770" s="273"/>
      <c r="B770" s="215" t="s">
        <v>241</v>
      </c>
      <c r="C770" s="214"/>
      <c r="D770" s="214"/>
      <c r="E770" s="214"/>
      <c r="F770" s="214">
        <v>5000</v>
      </c>
      <c r="G770" s="709"/>
      <c r="H770" s="298"/>
    </row>
    <row r="771" spans="1:8" ht="12" customHeight="1" thickBot="1">
      <c r="A771" s="273"/>
      <c r="B771" s="308" t="s">
        <v>206</v>
      </c>
      <c r="C771" s="790">
        <v>12000</v>
      </c>
      <c r="D771" s="765">
        <v>13803</v>
      </c>
      <c r="E771" s="765">
        <v>13803</v>
      </c>
      <c r="F771" s="765">
        <v>0</v>
      </c>
      <c r="G771" s="709">
        <f t="shared" si="217"/>
        <v>0</v>
      </c>
      <c r="H771" s="339"/>
    </row>
    <row r="772" spans="1:8" ht="12" customHeight="1" thickBot="1">
      <c r="A772" s="281"/>
      <c r="B772" s="311" t="s">
        <v>100</v>
      </c>
      <c r="C772" s="791">
        <f aca="true" t="shared" si="221" ref="C772">SUM(C766:C771)</f>
        <v>50000</v>
      </c>
      <c r="D772" s="791">
        <f aca="true" t="shared" si="222" ref="D772">SUM(D766:D771)</f>
        <v>59951</v>
      </c>
      <c r="E772" s="791">
        <f aca="true" t="shared" si="223" ref="E772:F772">SUM(E766:E771)</f>
        <v>59951</v>
      </c>
      <c r="F772" s="791">
        <f t="shared" si="223"/>
        <v>13029</v>
      </c>
      <c r="G772" s="707">
        <f t="shared" si="217"/>
        <v>0.21732748411202482</v>
      </c>
      <c r="H772" s="326"/>
    </row>
    <row r="773" spans="1:8" ht="12" customHeight="1">
      <c r="A773" s="65">
        <v>3422</v>
      </c>
      <c r="B773" s="333" t="s">
        <v>560</v>
      </c>
      <c r="C773" s="270"/>
      <c r="D773" s="270"/>
      <c r="E773" s="270"/>
      <c r="F773" s="270"/>
      <c r="G773" s="297"/>
      <c r="H773" s="425" t="s">
        <v>556</v>
      </c>
    </row>
    <row r="774" spans="1:8" ht="12" customHeight="1">
      <c r="A774" s="273"/>
      <c r="B774" s="274" t="s">
        <v>87</v>
      </c>
      <c r="C774" s="214">
        <v>4000</v>
      </c>
      <c r="D774" s="214">
        <v>4191</v>
      </c>
      <c r="E774" s="214">
        <v>4191</v>
      </c>
      <c r="F774" s="214">
        <v>178</v>
      </c>
      <c r="G774" s="709">
        <f t="shared" si="217"/>
        <v>0.04247196373180625</v>
      </c>
      <c r="H774" s="533"/>
    </row>
    <row r="775" spans="1:8" ht="12" customHeight="1">
      <c r="A775" s="273"/>
      <c r="B775" s="149" t="s">
        <v>245</v>
      </c>
      <c r="C775" s="214">
        <v>2900</v>
      </c>
      <c r="D775" s="214">
        <v>3672</v>
      </c>
      <c r="E775" s="214">
        <v>3672</v>
      </c>
      <c r="F775" s="214">
        <v>654</v>
      </c>
      <c r="G775" s="709">
        <f t="shared" si="217"/>
        <v>0.1781045751633987</v>
      </c>
      <c r="H775" s="425"/>
    </row>
    <row r="776" spans="1:8" ht="12" customHeight="1">
      <c r="A776" s="273"/>
      <c r="B776" s="275" t="s">
        <v>234</v>
      </c>
      <c r="C776" s="214">
        <v>8800</v>
      </c>
      <c r="D776" s="214">
        <v>15951</v>
      </c>
      <c r="E776" s="214">
        <v>15951</v>
      </c>
      <c r="F776" s="214">
        <v>1057</v>
      </c>
      <c r="G776" s="709">
        <f t="shared" si="217"/>
        <v>0.06626543790357971</v>
      </c>
      <c r="H776" s="426"/>
    </row>
    <row r="777" spans="1:8" ht="12" customHeight="1">
      <c r="A777" s="273"/>
      <c r="B777" s="215" t="s">
        <v>92</v>
      </c>
      <c r="C777" s="214"/>
      <c r="D777" s="214"/>
      <c r="E777" s="214"/>
      <c r="F777" s="214"/>
      <c r="G777" s="708"/>
      <c r="H777" s="802"/>
    </row>
    <row r="778" spans="1:8" ht="12" customHeight="1">
      <c r="A778" s="273"/>
      <c r="B778" s="215" t="s">
        <v>241</v>
      </c>
      <c r="C778" s="214"/>
      <c r="D778" s="214"/>
      <c r="E778" s="214"/>
      <c r="F778" s="214"/>
      <c r="G778" s="708"/>
      <c r="H778" s="427"/>
    </row>
    <row r="779" spans="1:8" ht="12" customHeight="1" thickBot="1">
      <c r="A779" s="273"/>
      <c r="B779" s="308" t="s">
        <v>10</v>
      </c>
      <c r="C779" s="790"/>
      <c r="D779" s="790"/>
      <c r="E779" s="790"/>
      <c r="F779" s="790"/>
      <c r="G779" s="710"/>
      <c r="H779" s="339"/>
    </row>
    <row r="780" spans="1:8" ht="12" customHeight="1" thickBot="1">
      <c r="A780" s="281"/>
      <c r="B780" s="311" t="s">
        <v>100</v>
      </c>
      <c r="C780" s="791">
        <f aca="true" t="shared" si="224" ref="C780">SUM(C774:C779)</f>
        <v>15700</v>
      </c>
      <c r="D780" s="791">
        <f aca="true" t="shared" si="225" ref="D780">SUM(D774:D779)</f>
        <v>23814</v>
      </c>
      <c r="E780" s="791">
        <f aca="true" t="shared" si="226" ref="E780:F780">SUM(E774:E779)</f>
        <v>23814</v>
      </c>
      <c r="F780" s="791">
        <f t="shared" si="226"/>
        <v>1889</v>
      </c>
      <c r="G780" s="707">
        <f aca="true" t="shared" si="227" ref="G780:G841">F780/E780</f>
        <v>0.07932308725959519</v>
      </c>
      <c r="H780" s="326"/>
    </row>
    <row r="781" spans="1:8" ht="12" customHeight="1">
      <c r="A781" s="65">
        <v>3423</v>
      </c>
      <c r="B781" s="333" t="s">
        <v>105</v>
      </c>
      <c r="C781" s="270"/>
      <c r="D781" s="270"/>
      <c r="E781" s="270"/>
      <c r="F781" s="270"/>
      <c r="G781" s="297"/>
      <c r="H781" s="322"/>
    </row>
    <row r="782" spans="1:8" ht="12" customHeight="1">
      <c r="A782" s="273"/>
      <c r="B782" s="274" t="s">
        <v>87</v>
      </c>
      <c r="C782" s="214">
        <v>1000</v>
      </c>
      <c r="D782" s="214">
        <f>1721+1568</f>
        <v>3289</v>
      </c>
      <c r="E782" s="214">
        <f>3289+2821</f>
        <v>6110</v>
      </c>
      <c r="F782" s="214">
        <v>5084</v>
      </c>
      <c r="G782" s="709">
        <f t="shared" si="227"/>
        <v>0.8320785597381342</v>
      </c>
      <c r="H782" s="322"/>
    </row>
    <row r="783" spans="1:8" ht="12" customHeight="1">
      <c r="A783" s="273"/>
      <c r="B783" s="149" t="s">
        <v>245</v>
      </c>
      <c r="C783" s="214">
        <v>155</v>
      </c>
      <c r="D783" s="214">
        <v>893</v>
      </c>
      <c r="E783" s="214">
        <f>893+1759</f>
        <v>2652</v>
      </c>
      <c r="F783" s="214">
        <v>2267</v>
      </c>
      <c r="G783" s="709">
        <f t="shared" si="227"/>
        <v>0.8548265460030166</v>
      </c>
      <c r="H783" s="426"/>
    </row>
    <row r="784" spans="1:8" ht="12" customHeight="1">
      <c r="A784" s="273"/>
      <c r="B784" s="275" t="s">
        <v>234</v>
      </c>
      <c r="C784" s="214">
        <v>30345</v>
      </c>
      <c r="D784" s="214">
        <f>30479+432+4000</f>
        <v>34911</v>
      </c>
      <c r="E784" s="214">
        <f>34911-5080-2047</f>
        <v>27784</v>
      </c>
      <c r="F784" s="214">
        <v>1331</v>
      </c>
      <c r="G784" s="709">
        <f t="shared" si="227"/>
        <v>0.04790526921969479</v>
      </c>
      <c r="H784" s="337"/>
    </row>
    <row r="785" spans="1:8" ht="12" customHeight="1">
      <c r="A785" s="273"/>
      <c r="B785" s="215" t="s">
        <v>92</v>
      </c>
      <c r="C785" s="214"/>
      <c r="D785" s="214"/>
      <c r="E785" s="214"/>
      <c r="F785" s="214"/>
      <c r="G785" s="709"/>
      <c r="H785" s="322"/>
    </row>
    <row r="786" spans="1:8" ht="12" customHeight="1">
      <c r="A786" s="273"/>
      <c r="B786" s="215" t="s">
        <v>241</v>
      </c>
      <c r="C786" s="214">
        <f>3500</f>
        <v>3500</v>
      </c>
      <c r="D786" s="214">
        <f>3500</f>
        <v>3500</v>
      </c>
      <c r="E786" s="214">
        <f>3500+500</f>
        <v>4000</v>
      </c>
      <c r="F786" s="214">
        <v>4000</v>
      </c>
      <c r="G786" s="709">
        <f t="shared" si="227"/>
        <v>1</v>
      </c>
      <c r="H786" s="322"/>
    </row>
    <row r="787" spans="1:8" ht="12" customHeight="1">
      <c r="A787" s="273"/>
      <c r="B787" s="215" t="s">
        <v>10</v>
      </c>
      <c r="C787" s="765"/>
      <c r="D787" s="765"/>
      <c r="E787" s="765"/>
      <c r="F787" s="765">
        <v>2380</v>
      </c>
      <c r="G787" s="1061">
        <v>1</v>
      </c>
      <c r="H787" s="490"/>
    </row>
    <row r="788" spans="1:8" ht="12" customHeight="1" thickBot="1">
      <c r="A788" s="273"/>
      <c r="B788" s="308" t="s">
        <v>222</v>
      </c>
      <c r="C788" s="308"/>
      <c r="D788" s="308"/>
      <c r="E788" s="308"/>
      <c r="F788" s="308"/>
      <c r="G788" s="711"/>
      <c r="H788" s="339"/>
    </row>
    <row r="789" spans="1:8" ht="12.75" customHeight="1" thickBot="1">
      <c r="A789" s="281"/>
      <c r="B789" s="311" t="s">
        <v>100</v>
      </c>
      <c r="C789" s="793">
        <f aca="true" t="shared" si="228" ref="C789">SUM(C782:C788)</f>
        <v>35000</v>
      </c>
      <c r="D789" s="793">
        <f aca="true" t="shared" si="229" ref="D789">SUM(D782:D788)</f>
        <v>42593</v>
      </c>
      <c r="E789" s="793">
        <f aca="true" t="shared" si="230" ref="E789">SUM(E782:E788)</f>
        <v>40546</v>
      </c>
      <c r="F789" s="793">
        <f>SUM(F782:F788)</f>
        <v>15062</v>
      </c>
      <c r="G789" s="707">
        <f t="shared" si="227"/>
        <v>0.37147930745326296</v>
      </c>
      <c r="H789" s="326"/>
    </row>
    <row r="790" spans="1:8" ht="12.75" customHeight="1">
      <c r="A790" s="65">
        <v>3424</v>
      </c>
      <c r="B790" s="333" t="s">
        <v>559</v>
      </c>
      <c r="C790" s="270"/>
      <c r="D790" s="270"/>
      <c r="E790" s="270"/>
      <c r="F790" s="270"/>
      <c r="G790" s="297"/>
      <c r="H790" s="425" t="s">
        <v>556</v>
      </c>
    </row>
    <row r="791" spans="1:8" ht="12.75" customHeight="1">
      <c r="A791" s="273"/>
      <c r="B791" s="274" t="s">
        <v>87</v>
      </c>
      <c r="C791" s="214">
        <v>12000</v>
      </c>
      <c r="D791" s="214">
        <v>12790</v>
      </c>
      <c r="E791" s="214">
        <v>12790</v>
      </c>
      <c r="F791" s="214">
        <v>6568</v>
      </c>
      <c r="G791" s="709">
        <f t="shared" si="227"/>
        <v>0.5135261923377639</v>
      </c>
      <c r="H791" s="533"/>
    </row>
    <row r="792" spans="1:8" ht="12.75" customHeight="1">
      <c r="A792" s="273"/>
      <c r="B792" s="149" t="s">
        <v>245</v>
      </c>
      <c r="C792" s="214">
        <v>2060</v>
      </c>
      <c r="D792" s="214">
        <v>2553</v>
      </c>
      <c r="E792" s="214">
        <v>2553</v>
      </c>
      <c r="F792" s="214">
        <v>1472</v>
      </c>
      <c r="G792" s="709">
        <f t="shared" si="227"/>
        <v>0.5765765765765766</v>
      </c>
      <c r="H792" s="425"/>
    </row>
    <row r="793" spans="1:8" ht="12.75" customHeight="1">
      <c r="A793" s="273"/>
      <c r="B793" s="275" t="s">
        <v>234</v>
      </c>
      <c r="C793" s="214">
        <v>1240</v>
      </c>
      <c r="D793" s="214">
        <v>1356</v>
      </c>
      <c r="E793" s="214">
        <v>1356</v>
      </c>
      <c r="F793" s="214">
        <v>904</v>
      </c>
      <c r="G793" s="709">
        <f t="shared" si="227"/>
        <v>0.6666666666666666</v>
      </c>
      <c r="H793" s="426"/>
    </row>
    <row r="794" spans="1:8" ht="12.75" customHeight="1">
      <c r="A794" s="273"/>
      <c r="B794" s="215" t="s">
        <v>92</v>
      </c>
      <c r="C794" s="214"/>
      <c r="D794" s="214"/>
      <c r="E794" s="214"/>
      <c r="F794" s="214"/>
      <c r="G794" s="708"/>
      <c r="H794" s="802"/>
    </row>
    <row r="795" spans="1:8" ht="12.75" customHeight="1">
      <c r="A795" s="273"/>
      <c r="B795" s="215" t="s">
        <v>241</v>
      </c>
      <c r="C795" s="214"/>
      <c r="D795" s="214"/>
      <c r="E795" s="214"/>
      <c r="F795" s="214"/>
      <c r="G795" s="708"/>
      <c r="H795" s="427"/>
    </row>
    <row r="796" spans="1:8" ht="12.75" customHeight="1" thickBot="1">
      <c r="A796" s="273"/>
      <c r="B796" s="308" t="s">
        <v>10</v>
      </c>
      <c r="C796" s="790"/>
      <c r="D796" s="790"/>
      <c r="E796" s="790"/>
      <c r="F796" s="790"/>
      <c r="G796" s="710"/>
      <c r="H796" s="339"/>
    </row>
    <row r="797" spans="1:8" ht="12.75" thickBot="1">
      <c r="A797" s="281"/>
      <c r="B797" s="311" t="s">
        <v>100</v>
      </c>
      <c r="C797" s="791">
        <f aca="true" t="shared" si="231" ref="C797">SUM(C791:C796)</f>
        <v>15300</v>
      </c>
      <c r="D797" s="791">
        <f aca="true" t="shared" si="232" ref="D797">SUM(D791:D796)</f>
        <v>16699</v>
      </c>
      <c r="E797" s="791">
        <f aca="true" t="shared" si="233" ref="E797:F797">SUM(E791:E796)</f>
        <v>16699</v>
      </c>
      <c r="F797" s="791">
        <f t="shared" si="233"/>
        <v>8944</v>
      </c>
      <c r="G797" s="707">
        <f t="shared" si="227"/>
        <v>0.535600934187676</v>
      </c>
      <c r="H797" s="326"/>
    </row>
    <row r="798" spans="1:8" ht="0.75" customHeight="1">
      <c r="A798" s="320">
        <v>3425</v>
      </c>
      <c r="B798" s="300" t="s">
        <v>547</v>
      </c>
      <c r="C798" s="784"/>
      <c r="D798" s="784"/>
      <c r="E798" s="784"/>
      <c r="F798" s="784"/>
      <c r="G798" s="297" t="e">
        <f t="shared" si="227"/>
        <v>#DIV/0!</v>
      </c>
      <c r="H798" s="342"/>
    </row>
    <row r="799" spans="1:8" ht="12.75" hidden="1">
      <c r="A799" s="316"/>
      <c r="B799" s="303" t="s">
        <v>87</v>
      </c>
      <c r="C799" s="785"/>
      <c r="D799" s="785"/>
      <c r="E799" s="785"/>
      <c r="F799" s="785"/>
      <c r="G799" s="297" t="e">
        <f t="shared" si="227"/>
        <v>#DIV/0!</v>
      </c>
      <c r="H799" s="342"/>
    </row>
    <row r="800" spans="1:8" ht="12.75" hidden="1">
      <c r="A800" s="316"/>
      <c r="B800" s="305" t="s">
        <v>245</v>
      </c>
      <c r="C800" s="785"/>
      <c r="D800" s="785"/>
      <c r="E800" s="785"/>
      <c r="F800" s="785"/>
      <c r="G800" s="297" t="e">
        <f t="shared" si="227"/>
        <v>#DIV/0!</v>
      </c>
      <c r="H800" s="426"/>
    </row>
    <row r="801" spans="1:8" ht="12.75" hidden="1">
      <c r="A801" s="316"/>
      <c r="B801" s="306" t="s">
        <v>234</v>
      </c>
      <c r="C801" s="785"/>
      <c r="D801" s="785"/>
      <c r="E801" s="785"/>
      <c r="F801" s="785"/>
      <c r="G801" s="709" t="e">
        <f t="shared" si="227"/>
        <v>#DIV/0!</v>
      </c>
      <c r="H801" s="427"/>
    </row>
    <row r="802" spans="1:8" ht="12.75" hidden="1">
      <c r="A802" s="316"/>
      <c r="B802" s="307" t="s">
        <v>92</v>
      </c>
      <c r="C802" s="785"/>
      <c r="D802" s="785"/>
      <c r="E802" s="785"/>
      <c r="F802" s="785"/>
      <c r="G802" s="297" t="e">
        <f t="shared" si="227"/>
        <v>#DIV/0!</v>
      </c>
      <c r="H802" s="426"/>
    </row>
    <row r="803" spans="1:8" ht="12.75" hidden="1">
      <c r="A803" s="316"/>
      <c r="B803" s="307" t="s">
        <v>241</v>
      </c>
      <c r="C803" s="785"/>
      <c r="D803" s="785"/>
      <c r="E803" s="785"/>
      <c r="F803" s="785"/>
      <c r="G803" s="297" t="e">
        <f t="shared" si="227"/>
        <v>#DIV/0!</v>
      </c>
      <c r="H803" s="342"/>
    </row>
    <row r="804" spans="1:8" ht="12.75" hidden="1" thickBot="1">
      <c r="A804" s="316"/>
      <c r="B804" s="308" t="s">
        <v>60</v>
      </c>
      <c r="C804" s="803"/>
      <c r="D804" s="803"/>
      <c r="E804" s="803"/>
      <c r="F804" s="803"/>
      <c r="G804" s="706" t="e">
        <f t="shared" si="227"/>
        <v>#DIV/0!</v>
      </c>
      <c r="H804" s="367"/>
    </row>
    <row r="805" spans="1:8" ht="12.75" hidden="1" thickBot="1">
      <c r="A805" s="318"/>
      <c r="B805" s="311" t="s">
        <v>100</v>
      </c>
      <c r="C805" s="787">
        <f>SUM(C799:C804)</f>
        <v>0</v>
      </c>
      <c r="D805" s="787">
        <f>SUM(D799:D804)</f>
        <v>0</v>
      </c>
      <c r="E805" s="787">
        <f>SUM(E799:E804)</f>
        <v>0</v>
      </c>
      <c r="F805" s="787">
        <f>SUM(F799:F804)</f>
        <v>0</v>
      </c>
      <c r="G805" s="707" t="e">
        <f t="shared" si="227"/>
        <v>#DIV/0!</v>
      </c>
      <c r="H805" s="368"/>
    </row>
    <row r="806" spans="1:8" s="743" customFormat="1" ht="12.75" hidden="1">
      <c r="A806" s="320">
        <v>3426</v>
      </c>
      <c r="B806" s="300" t="s">
        <v>595</v>
      </c>
      <c r="C806" s="784"/>
      <c r="D806" s="784"/>
      <c r="E806" s="784"/>
      <c r="F806" s="784"/>
      <c r="G806" s="297" t="e">
        <f t="shared" si="227"/>
        <v>#DIV/0!</v>
      </c>
      <c r="H806" s="342"/>
    </row>
    <row r="807" spans="1:8" s="743" customFormat="1" ht="12.75" hidden="1">
      <c r="A807" s="316"/>
      <c r="B807" s="303" t="s">
        <v>87</v>
      </c>
      <c r="C807" s="785"/>
      <c r="D807" s="785"/>
      <c r="E807" s="785"/>
      <c r="F807" s="785"/>
      <c r="G807" s="297" t="e">
        <f t="shared" si="227"/>
        <v>#DIV/0!</v>
      </c>
      <c r="H807" s="426"/>
    </row>
    <row r="808" spans="1:8" s="743" customFormat="1" ht="12.75" hidden="1">
      <c r="A808" s="316"/>
      <c r="B808" s="305" t="s">
        <v>245</v>
      </c>
      <c r="C808" s="785"/>
      <c r="D808" s="785"/>
      <c r="E808" s="785"/>
      <c r="F808" s="785"/>
      <c r="G808" s="297" t="e">
        <f t="shared" si="227"/>
        <v>#DIV/0!</v>
      </c>
      <c r="H808" s="426"/>
    </row>
    <row r="809" spans="1:8" s="743" customFormat="1" ht="12.75" hidden="1">
      <c r="A809" s="316"/>
      <c r="B809" s="306" t="s">
        <v>234</v>
      </c>
      <c r="C809" s="785"/>
      <c r="D809" s="785"/>
      <c r="E809" s="785"/>
      <c r="F809" s="785"/>
      <c r="G809" s="709" t="e">
        <f t="shared" si="227"/>
        <v>#DIV/0!</v>
      </c>
      <c r="H809" s="578" t="s">
        <v>448</v>
      </c>
    </row>
    <row r="810" spans="1:8" s="743" customFormat="1" ht="12.75" hidden="1">
      <c r="A810" s="316"/>
      <c r="B810" s="307" t="s">
        <v>92</v>
      </c>
      <c r="C810" s="785"/>
      <c r="D810" s="785"/>
      <c r="E810" s="785"/>
      <c r="F810" s="785"/>
      <c r="G810" s="297" t="e">
        <f t="shared" si="227"/>
        <v>#DIV/0!</v>
      </c>
      <c r="H810" s="322"/>
    </row>
    <row r="811" spans="1:8" s="743" customFormat="1" ht="12.75" hidden="1">
      <c r="A811" s="316"/>
      <c r="B811" s="307" t="s">
        <v>241</v>
      </c>
      <c r="C811" s="785"/>
      <c r="D811" s="785"/>
      <c r="E811" s="785"/>
      <c r="F811" s="785"/>
      <c r="G811" s="297" t="e">
        <f t="shared" si="227"/>
        <v>#DIV/0!</v>
      </c>
      <c r="H811" s="342"/>
    </row>
    <row r="812" spans="1:8" s="743" customFormat="1" ht="12.75" hidden="1" thickBot="1">
      <c r="A812" s="316"/>
      <c r="B812" s="308" t="s">
        <v>60</v>
      </c>
      <c r="C812" s="803"/>
      <c r="D812" s="803"/>
      <c r="E812" s="803"/>
      <c r="F812" s="803"/>
      <c r="G812" s="706" t="e">
        <f t="shared" si="227"/>
        <v>#DIV/0!</v>
      </c>
      <c r="H812" s="804"/>
    </row>
    <row r="813" spans="1:8" s="743" customFormat="1" ht="12.75" hidden="1" thickBot="1">
      <c r="A813" s="318"/>
      <c r="B813" s="311" t="s">
        <v>100</v>
      </c>
      <c r="C813" s="787">
        <f aca="true" t="shared" si="234" ref="C813">SUM(C807:C812)</f>
        <v>0</v>
      </c>
      <c r="D813" s="787">
        <f aca="true" t="shared" si="235" ref="D813">SUM(D807:D812)</f>
        <v>0</v>
      </c>
      <c r="E813" s="787">
        <f aca="true" t="shared" si="236" ref="E813:F813">SUM(E807:E812)</f>
        <v>0</v>
      </c>
      <c r="F813" s="787">
        <f t="shared" si="236"/>
        <v>0</v>
      </c>
      <c r="G813" s="707" t="e">
        <f t="shared" si="227"/>
        <v>#DIV/0!</v>
      </c>
      <c r="H813" s="368"/>
    </row>
    <row r="814" spans="1:8" ht="12.75" hidden="1">
      <c r="A814" s="320">
        <v>3427</v>
      </c>
      <c r="B814" s="744" t="s">
        <v>589</v>
      </c>
      <c r="C814" s="805"/>
      <c r="D814" s="805"/>
      <c r="E814" s="805"/>
      <c r="F814" s="805"/>
      <c r="G814" s="745" t="e">
        <f t="shared" si="227"/>
        <v>#DIV/0!</v>
      </c>
      <c r="H814" s="746"/>
    </row>
    <row r="815" spans="1:8" ht="12.75" hidden="1">
      <c r="A815" s="273"/>
      <c r="B815" s="215" t="s">
        <v>87</v>
      </c>
      <c r="C815" s="214"/>
      <c r="D815" s="214"/>
      <c r="E815" s="214"/>
      <c r="F815" s="214"/>
      <c r="G815" s="708" t="e">
        <f t="shared" si="227"/>
        <v>#DIV/0!</v>
      </c>
      <c r="H815" s="322"/>
    </row>
    <row r="816" spans="1:8" ht="12.75" hidden="1">
      <c r="A816" s="273"/>
      <c r="B816" s="149" t="s">
        <v>245</v>
      </c>
      <c r="C816" s="214"/>
      <c r="D816" s="214"/>
      <c r="E816" s="214"/>
      <c r="F816" s="214"/>
      <c r="G816" s="709" t="e">
        <f t="shared" si="227"/>
        <v>#DIV/0!</v>
      </c>
      <c r="H816" s="322"/>
    </row>
    <row r="817" spans="1:8" ht="12.75" hidden="1">
      <c r="A817" s="273"/>
      <c r="B817" s="275" t="s">
        <v>234</v>
      </c>
      <c r="C817" s="214"/>
      <c r="D817" s="214"/>
      <c r="E817" s="214"/>
      <c r="F817" s="214"/>
      <c r="G817" s="709" t="e">
        <f t="shared" si="227"/>
        <v>#DIV/0!</v>
      </c>
      <c r="H817" s="578" t="s">
        <v>448</v>
      </c>
    </row>
    <row r="818" spans="1:8" ht="12.75" hidden="1">
      <c r="A818" s="273"/>
      <c r="B818" s="215" t="s">
        <v>92</v>
      </c>
      <c r="C818" s="214"/>
      <c r="D818" s="214"/>
      <c r="E818" s="214"/>
      <c r="F818" s="214"/>
      <c r="G818" s="708" t="e">
        <f t="shared" si="227"/>
        <v>#DIV/0!</v>
      </c>
      <c r="H818" s="426"/>
    </row>
    <row r="819" spans="1:8" ht="12.75" hidden="1">
      <c r="A819" s="273"/>
      <c r="B819" s="215" t="s">
        <v>241</v>
      </c>
      <c r="C819" s="214"/>
      <c r="D819" s="214"/>
      <c r="E819" s="214"/>
      <c r="F819" s="214"/>
      <c r="G819" s="708" t="e">
        <f t="shared" si="227"/>
        <v>#DIV/0!</v>
      </c>
      <c r="H819" s="322"/>
    </row>
    <row r="820" spans="1:8" ht="12.75" hidden="1" thickBot="1">
      <c r="A820" s="273"/>
      <c r="B820" s="308" t="s">
        <v>60</v>
      </c>
      <c r="C820" s="765"/>
      <c r="D820" s="765"/>
      <c r="E820" s="765"/>
      <c r="F820" s="765"/>
      <c r="G820" s="710" t="e">
        <f t="shared" si="227"/>
        <v>#DIV/0!</v>
      </c>
      <c r="H820" s="339"/>
    </row>
    <row r="821" spans="1:8" ht="12.75" hidden="1" thickBot="1">
      <c r="A821" s="281"/>
      <c r="B821" s="311" t="s">
        <v>100</v>
      </c>
      <c r="C821" s="791">
        <f aca="true" t="shared" si="237" ref="C821">SUM(C815:C820)</f>
        <v>0</v>
      </c>
      <c r="D821" s="791">
        <f aca="true" t="shared" si="238" ref="D821">SUM(D815:D820)</f>
        <v>0</v>
      </c>
      <c r="E821" s="791">
        <f aca="true" t="shared" si="239" ref="E821:F821">SUM(E815:E820)</f>
        <v>0</v>
      </c>
      <c r="F821" s="791">
        <f t="shared" si="239"/>
        <v>0</v>
      </c>
      <c r="G821" s="707" t="e">
        <f t="shared" si="227"/>
        <v>#DIV/0!</v>
      </c>
      <c r="H821" s="326"/>
    </row>
    <row r="822" spans="1:8" ht="12.75">
      <c r="A822" s="65">
        <v>3425</v>
      </c>
      <c r="B822" s="976" t="s">
        <v>716</v>
      </c>
      <c r="C822" s="386"/>
      <c r="D822" s="386"/>
      <c r="E822" s="386"/>
      <c r="F822" s="386"/>
      <c r="G822" s="890"/>
      <c r="H822" s="294"/>
    </row>
    <row r="823" spans="1:8" ht="12.75">
      <c r="A823" s="65"/>
      <c r="B823" s="64" t="s">
        <v>87</v>
      </c>
      <c r="C823" s="64"/>
      <c r="D823" s="64"/>
      <c r="E823" s="64"/>
      <c r="F823" s="64"/>
      <c r="G823" s="64"/>
      <c r="H823" s="64"/>
    </row>
    <row r="824" spans="1:8" ht="12.75">
      <c r="A824" s="65"/>
      <c r="B824" s="149" t="s">
        <v>245</v>
      </c>
      <c r="C824" s="149"/>
      <c r="D824" s="149"/>
      <c r="E824" s="149"/>
      <c r="F824" s="149"/>
      <c r="G824" s="149"/>
      <c r="H824" s="149"/>
    </row>
    <row r="825" spans="1:8" ht="12.75">
      <c r="A825" s="65"/>
      <c r="B825" s="275" t="s">
        <v>234</v>
      </c>
      <c r="C825" s="275"/>
      <c r="D825" s="214">
        <v>6000</v>
      </c>
      <c r="E825" s="214">
        <v>6000</v>
      </c>
      <c r="F825" s="214">
        <v>0</v>
      </c>
      <c r="G825" s="709">
        <f t="shared" si="227"/>
        <v>0</v>
      </c>
      <c r="H825" s="275"/>
    </row>
    <row r="826" spans="1:8" ht="12.75">
      <c r="A826" s="65"/>
      <c r="B826" s="215" t="s">
        <v>92</v>
      </c>
      <c r="C826" s="215"/>
      <c r="D826" s="215"/>
      <c r="E826" s="215"/>
      <c r="F826" s="215"/>
      <c r="G826" s="215"/>
      <c r="H826" s="215"/>
    </row>
    <row r="827" spans="1:8" ht="12.75">
      <c r="A827" s="65"/>
      <c r="B827" s="215" t="s">
        <v>241</v>
      </c>
      <c r="C827" s="215"/>
      <c r="D827" s="215"/>
      <c r="E827" s="215"/>
      <c r="F827" s="215"/>
      <c r="G827" s="215"/>
      <c r="H827" s="215"/>
    </row>
    <row r="828" spans="1:8" ht="12.75" thickBot="1">
      <c r="A828" s="65"/>
      <c r="B828" s="1016" t="s">
        <v>10</v>
      </c>
      <c r="C828" s="1016"/>
      <c r="D828" s="1016"/>
      <c r="E828" s="1016"/>
      <c r="F828" s="1016"/>
      <c r="G828" s="1016"/>
      <c r="H828" s="1016"/>
    </row>
    <row r="829" spans="1:8" ht="12.75" thickBot="1">
      <c r="A829" s="281"/>
      <c r="B829" s="311" t="s">
        <v>100</v>
      </c>
      <c r="C829" s="791"/>
      <c r="D829" s="791">
        <f>SUM(D823:D828)</f>
        <v>6000</v>
      </c>
      <c r="E829" s="791">
        <f>SUM(E823:E828)</f>
        <v>6000</v>
      </c>
      <c r="F829" s="791">
        <f>SUM(F823:F828)</f>
        <v>0</v>
      </c>
      <c r="G829" s="707">
        <f t="shared" si="227"/>
        <v>0</v>
      </c>
      <c r="H829" s="326"/>
    </row>
    <row r="830" spans="1:8" ht="12.75">
      <c r="A830" s="65">
        <v>3427</v>
      </c>
      <c r="B830" s="976" t="s">
        <v>589</v>
      </c>
      <c r="C830" s="386"/>
      <c r="D830" s="386"/>
      <c r="E830" s="386"/>
      <c r="F830" s="386"/>
      <c r="G830" s="890"/>
      <c r="H830" s="294"/>
    </row>
    <row r="831" spans="1:8" ht="12.75">
      <c r="A831" s="65"/>
      <c r="B831" s="274" t="s">
        <v>87</v>
      </c>
      <c r="C831" s="214"/>
      <c r="D831" s="214"/>
      <c r="E831" s="214"/>
      <c r="F831" s="214"/>
      <c r="G831" s="297"/>
      <c r="H831" s="322"/>
    </row>
    <row r="832" spans="1:8" ht="12.75">
      <c r="A832" s="65"/>
      <c r="B832" s="149" t="s">
        <v>245</v>
      </c>
      <c r="C832" s="214"/>
      <c r="D832" s="214"/>
      <c r="E832" s="214"/>
      <c r="F832" s="214"/>
      <c r="G832" s="709"/>
      <c r="H832" s="322"/>
    </row>
    <row r="833" spans="1:8" ht="12.75">
      <c r="A833" s="65"/>
      <c r="B833" s="275" t="s">
        <v>234</v>
      </c>
      <c r="C833" s="214"/>
      <c r="D833" s="214">
        <v>3000</v>
      </c>
      <c r="E833" s="214">
        <v>3000</v>
      </c>
      <c r="F833" s="214">
        <v>3000</v>
      </c>
      <c r="G833" s="709">
        <f t="shared" si="227"/>
        <v>1</v>
      </c>
      <c r="H833" s="578" t="s">
        <v>448</v>
      </c>
    </row>
    <row r="834" spans="1:8" ht="12.75">
      <c r="A834" s="65"/>
      <c r="B834" s="215" t="s">
        <v>92</v>
      </c>
      <c r="C834" s="214"/>
      <c r="D834" s="214"/>
      <c r="E834" s="214"/>
      <c r="F834" s="214"/>
      <c r="G834" s="709"/>
      <c r="H834" s="426"/>
    </row>
    <row r="835" spans="1:8" ht="12.75">
      <c r="A835" s="65"/>
      <c r="B835" s="215" t="s">
        <v>241</v>
      </c>
      <c r="C835" s="214"/>
      <c r="D835" s="214"/>
      <c r="E835" s="214"/>
      <c r="F835" s="214"/>
      <c r="G835" s="708"/>
      <c r="H835" s="322"/>
    </row>
    <row r="836" spans="1:8" ht="12.75" thickBot="1">
      <c r="A836" s="65"/>
      <c r="B836" s="308" t="s">
        <v>60</v>
      </c>
      <c r="C836" s="765"/>
      <c r="D836" s="765"/>
      <c r="E836" s="765"/>
      <c r="F836" s="765"/>
      <c r="G836" s="710"/>
      <c r="H836" s="339"/>
    </row>
    <row r="837" spans="1:8" ht="12.75" customHeight="1" thickBot="1">
      <c r="A837" s="281"/>
      <c r="B837" s="311" t="s">
        <v>100</v>
      </c>
      <c r="C837" s="791">
        <f aca="true" t="shared" si="240" ref="C837:D837">SUM(C831:C836)</f>
        <v>0</v>
      </c>
      <c r="D837" s="791">
        <f t="shared" si="240"/>
        <v>3000</v>
      </c>
      <c r="E837" s="791">
        <f aca="true" t="shared" si="241" ref="E837:F837">SUM(E831:E836)</f>
        <v>3000</v>
      </c>
      <c r="F837" s="791">
        <f t="shared" si="241"/>
        <v>3000</v>
      </c>
      <c r="G837" s="707">
        <f t="shared" si="227"/>
        <v>1</v>
      </c>
      <c r="H837" s="326"/>
    </row>
    <row r="838" spans="1:8" ht="12.75">
      <c r="A838" s="65">
        <v>3428</v>
      </c>
      <c r="B838" s="333" t="s">
        <v>7</v>
      </c>
      <c r="C838" s="270"/>
      <c r="D838" s="270"/>
      <c r="E838" s="270"/>
      <c r="F838" s="270"/>
      <c r="G838" s="297"/>
      <c r="H838" s="322"/>
    </row>
    <row r="839" spans="1:8" ht="12.75" customHeight="1">
      <c r="A839" s="273"/>
      <c r="B839" s="274" t="s">
        <v>87</v>
      </c>
      <c r="C839" s="214"/>
      <c r="D839" s="214"/>
      <c r="E839" s="214"/>
      <c r="F839" s="214"/>
      <c r="G839" s="297"/>
      <c r="H839" s="322"/>
    </row>
    <row r="840" spans="1:8" ht="12.75" customHeight="1">
      <c r="A840" s="273"/>
      <c r="B840" s="149" t="s">
        <v>245</v>
      </c>
      <c r="C840" s="214"/>
      <c r="D840" s="214"/>
      <c r="E840" s="214"/>
      <c r="F840" s="214"/>
      <c r="G840" s="709"/>
      <c r="H840" s="322"/>
    </row>
    <row r="841" spans="1:8" ht="12.75" customHeight="1">
      <c r="A841" s="273"/>
      <c r="B841" s="275" t="s">
        <v>234</v>
      </c>
      <c r="C841" s="214">
        <v>3000</v>
      </c>
      <c r="D841" s="214">
        <v>3000</v>
      </c>
      <c r="E841" s="214">
        <v>3000</v>
      </c>
      <c r="F841" s="214">
        <v>3000</v>
      </c>
      <c r="G841" s="709">
        <f t="shared" si="227"/>
        <v>1</v>
      </c>
      <c r="H841" s="578" t="s">
        <v>448</v>
      </c>
    </row>
    <row r="842" spans="1:8" ht="12.75" customHeight="1">
      <c r="A842" s="273"/>
      <c r="B842" s="215" t="s">
        <v>92</v>
      </c>
      <c r="C842" s="214"/>
      <c r="D842" s="214"/>
      <c r="E842" s="214"/>
      <c r="F842" s="214"/>
      <c r="G842" s="709"/>
      <c r="H842" s="426"/>
    </row>
    <row r="843" spans="1:8" ht="12.75" customHeight="1">
      <c r="A843" s="273"/>
      <c r="B843" s="215" t="s">
        <v>241</v>
      </c>
      <c r="C843" s="214"/>
      <c r="D843" s="214"/>
      <c r="E843" s="214"/>
      <c r="F843" s="214"/>
      <c r="G843" s="708"/>
      <c r="H843" s="322"/>
    </row>
    <row r="844" spans="1:8" ht="12.75" customHeight="1" thickBot="1">
      <c r="A844" s="273"/>
      <c r="B844" s="308" t="s">
        <v>60</v>
      </c>
      <c r="C844" s="765"/>
      <c r="D844" s="765"/>
      <c r="E844" s="765"/>
      <c r="F844" s="765"/>
      <c r="G844" s="710"/>
      <c r="H844" s="339"/>
    </row>
    <row r="845" spans="1:8" ht="12.75" customHeight="1" thickBot="1">
      <c r="A845" s="281"/>
      <c r="B845" s="311" t="s">
        <v>100</v>
      </c>
      <c r="C845" s="791">
        <f aca="true" t="shared" si="242" ref="C845">SUM(C839:C844)</f>
        <v>3000</v>
      </c>
      <c r="D845" s="791">
        <f aca="true" t="shared" si="243" ref="D845">SUM(D839:D844)</f>
        <v>3000</v>
      </c>
      <c r="E845" s="791">
        <f aca="true" t="shared" si="244" ref="E845:F845">SUM(E839:E844)</f>
        <v>3000</v>
      </c>
      <c r="F845" s="791">
        <f t="shared" si="244"/>
        <v>3000</v>
      </c>
      <c r="G845" s="707">
        <f aca="true" t="shared" si="245" ref="G845:G906">F845/E845</f>
        <v>1</v>
      </c>
      <c r="H845" s="326"/>
    </row>
    <row r="846" spans="1:8" ht="12.75" customHeight="1">
      <c r="A846" s="320">
        <v>3429</v>
      </c>
      <c r="B846" s="300" t="s">
        <v>16</v>
      </c>
      <c r="C846" s="784"/>
      <c r="D846" s="784"/>
      <c r="E846" s="784"/>
      <c r="F846" s="784"/>
      <c r="G846" s="297"/>
      <c r="H846" s="342"/>
    </row>
    <row r="847" spans="1:8" ht="12.75" customHeight="1">
      <c r="A847" s="316"/>
      <c r="B847" s="303" t="s">
        <v>87</v>
      </c>
      <c r="C847" s="785"/>
      <c r="D847" s="785"/>
      <c r="E847" s="785"/>
      <c r="F847" s="785"/>
      <c r="G847" s="297"/>
      <c r="H847" s="342"/>
    </row>
    <row r="848" spans="1:8" ht="12.75" customHeight="1">
      <c r="A848" s="316"/>
      <c r="B848" s="305" t="s">
        <v>245</v>
      </c>
      <c r="C848" s="785"/>
      <c r="D848" s="785"/>
      <c r="E848" s="785"/>
      <c r="F848" s="785"/>
      <c r="G848" s="709"/>
      <c r="H848" s="342"/>
    </row>
    <row r="849" spans="1:8" ht="12.75" customHeight="1">
      <c r="A849" s="316"/>
      <c r="B849" s="306" t="s">
        <v>234</v>
      </c>
      <c r="C849" s="785">
        <v>2500</v>
      </c>
      <c r="D849" s="785">
        <v>2500</v>
      </c>
      <c r="E849" s="785">
        <v>2500</v>
      </c>
      <c r="F849" s="785">
        <v>2500</v>
      </c>
      <c r="G849" s="709">
        <f t="shared" si="245"/>
        <v>1</v>
      </c>
      <c r="H849" s="578" t="s">
        <v>448</v>
      </c>
    </row>
    <row r="850" spans="1:8" ht="12.75" customHeight="1">
      <c r="A850" s="316"/>
      <c r="B850" s="307" t="s">
        <v>92</v>
      </c>
      <c r="C850" s="785"/>
      <c r="D850" s="785"/>
      <c r="E850" s="785"/>
      <c r="F850" s="785"/>
      <c r="G850" s="709"/>
      <c r="H850" s="322"/>
    </row>
    <row r="851" spans="1:8" ht="12.75" customHeight="1">
      <c r="A851" s="316"/>
      <c r="B851" s="307" t="s">
        <v>241</v>
      </c>
      <c r="C851" s="785"/>
      <c r="D851" s="785"/>
      <c r="E851" s="785"/>
      <c r="F851" s="785"/>
      <c r="G851" s="708"/>
      <c r="H851" s="342"/>
    </row>
    <row r="852" spans="1:8" ht="12.75" customHeight="1" thickBot="1">
      <c r="A852" s="316"/>
      <c r="B852" s="308" t="s">
        <v>60</v>
      </c>
      <c r="C852" s="803"/>
      <c r="D852" s="803"/>
      <c r="E852" s="803"/>
      <c r="F852" s="803"/>
      <c r="G852" s="710"/>
      <c r="H852" s="367"/>
    </row>
    <row r="853" spans="1:8" ht="12.75" customHeight="1" thickBot="1">
      <c r="A853" s="318"/>
      <c r="B853" s="311" t="s">
        <v>100</v>
      </c>
      <c r="C853" s="787">
        <f aca="true" t="shared" si="246" ref="C853">SUM(C847:C852)</f>
        <v>2500</v>
      </c>
      <c r="D853" s="787">
        <f aca="true" t="shared" si="247" ref="D853">SUM(D847:D852)</f>
        <v>2500</v>
      </c>
      <c r="E853" s="787">
        <f aca="true" t="shared" si="248" ref="E853:F853">SUM(E847:E852)</f>
        <v>2500</v>
      </c>
      <c r="F853" s="787">
        <f t="shared" si="248"/>
        <v>2500</v>
      </c>
      <c r="G853" s="707">
        <f t="shared" si="245"/>
        <v>1</v>
      </c>
      <c r="H853" s="368"/>
    </row>
    <row r="854" spans="1:8" ht="12.75" customHeight="1">
      <c r="A854" s="320">
        <v>3431</v>
      </c>
      <c r="B854" s="300" t="s">
        <v>130</v>
      </c>
      <c r="C854" s="784"/>
      <c r="D854" s="784"/>
      <c r="E854" s="784"/>
      <c r="F854" s="784"/>
      <c r="G854" s="297"/>
      <c r="H854" s="342"/>
    </row>
    <row r="855" spans="1:8" ht="12.75" customHeight="1">
      <c r="A855" s="316"/>
      <c r="B855" s="303" t="s">
        <v>87</v>
      </c>
      <c r="C855" s="785"/>
      <c r="D855" s="785"/>
      <c r="E855" s="785"/>
      <c r="F855" s="785"/>
      <c r="G855" s="297"/>
      <c r="H855" s="342"/>
    </row>
    <row r="856" spans="1:8" ht="12.75" customHeight="1">
      <c r="A856" s="316"/>
      <c r="B856" s="305" t="s">
        <v>245</v>
      </c>
      <c r="C856" s="785"/>
      <c r="D856" s="785"/>
      <c r="E856" s="785"/>
      <c r="F856" s="785"/>
      <c r="G856" s="709"/>
      <c r="H856" s="342"/>
    </row>
    <row r="857" spans="1:8" ht="12.75" customHeight="1">
      <c r="A857" s="316"/>
      <c r="B857" s="306" t="s">
        <v>234</v>
      </c>
      <c r="C857" s="785">
        <v>8000</v>
      </c>
      <c r="D857" s="785">
        <v>8000</v>
      </c>
      <c r="E857" s="785">
        <v>8000</v>
      </c>
      <c r="F857" s="785">
        <v>8000</v>
      </c>
      <c r="G857" s="709">
        <f t="shared" si="245"/>
        <v>1</v>
      </c>
      <c r="H857" s="578" t="s">
        <v>448</v>
      </c>
    </row>
    <row r="858" spans="1:8" ht="12.75" customHeight="1">
      <c r="A858" s="316"/>
      <c r="B858" s="307" t="s">
        <v>92</v>
      </c>
      <c r="C858" s="785"/>
      <c r="D858" s="785"/>
      <c r="E858" s="785"/>
      <c r="F858" s="785"/>
      <c r="G858" s="709"/>
      <c r="H858" s="342"/>
    </row>
    <row r="859" spans="1:8" ht="12.75" customHeight="1">
      <c r="A859" s="316"/>
      <c r="B859" s="307" t="s">
        <v>241</v>
      </c>
      <c r="C859" s="785"/>
      <c r="D859" s="785"/>
      <c r="E859" s="785"/>
      <c r="F859" s="785"/>
      <c r="G859" s="708"/>
      <c r="H859" s="342"/>
    </row>
    <row r="860" spans="1:8" ht="12.75" customHeight="1" thickBot="1">
      <c r="A860" s="316"/>
      <c r="B860" s="308" t="s">
        <v>60</v>
      </c>
      <c r="C860" s="803"/>
      <c r="D860" s="803"/>
      <c r="E860" s="803"/>
      <c r="F860" s="803"/>
      <c r="G860" s="710"/>
      <c r="H860" s="367"/>
    </row>
    <row r="861" spans="1:8" ht="12.75" customHeight="1" thickBot="1">
      <c r="A861" s="318"/>
      <c r="B861" s="311" t="s">
        <v>100</v>
      </c>
      <c r="C861" s="787">
        <f aca="true" t="shared" si="249" ref="C861">SUM(C855:C860)</f>
        <v>8000</v>
      </c>
      <c r="D861" s="787">
        <f aca="true" t="shared" si="250" ref="D861">SUM(D855:D860)</f>
        <v>8000</v>
      </c>
      <c r="E861" s="787">
        <f aca="true" t="shared" si="251" ref="E861:F861">SUM(E855:E860)</f>
        <v>8000</v>
      </c>
      <c r="F861" s="787">
        <f t="shared" si="251"/>
        <v>8000</v>
      </c>
      <c r="G861" s="707">
        <f t="shared" si="245"/>
        <v>1</v>
      </c>
      <c r="H861" s="368"/>
    </row>
    <row r="862" spans="1:8" ht="12.75" customHeight="1">
      <c r="A862" s="320">
        <v>3432</v>
      </c>
      <c r="B862" s="300" t="s">
        <v>312</v>
      </c>
      <c r="C862" s="784"/>
      <c r="D862" s="784"/>
      <c r="E862" s="784"/>
      <c r="F862" s="784"/>
      <c r="G862" s="297"/>
      <c r="H862" s="342"/>
    </row>
    <row r="863" spans="1:8" ht="12.75" customHeight="1">
      <c r="A863" s="316"/>
      <c r="B863" s="303" t="s">
        <v>87</v>
      </c>
      <c r="C863" s="785"/>
      <c r="D863" s="785"/>
      <c r="E863" s="785"/>
      <c r="F863" s="785"/>
      <c r="G863" s="297"/>
      <c r="H863" s="342"/>
    </row>
    <row r="864" spans="1:8" ht="12.75" customHeight="1">
      <c r="A864" s="316"/>
      <c r="B864" s="305" t="s">
        <v>245</v>
      </c>
      <c r="C864" s="785"/>
      <c r="D864" s="785"/>
      <c r="E864" s="785"/>
      <c r="F864" s="785"/>
      <c r="G864" s="297"/>
      <c r="H864" s="427"/>
    </row>
    <row r="865" spans="1:8" ht="12.75" customHeight="1">
      <c r="A865" s="316"/>
      <c r="B865" s="306" t="s">
        <v>234</v>
      </c>
      <c r="C865" s="785">
        <v>5000</v>
      </c>
      <c r="D865" s="785">
        <v>5000</v>
      </c>
      <c r="E865" s="785">
        <v>5000</v>
      </c>
      <c r="F865" s="785">
        <v>5000</v>
      </c>
      <c r="G865" s="709">
        <f t="shared" si="245"/>
        <v>1</v>
      </c>
      <c r="H865" s="578" t="s">
        <v>448</v>
      </c>
    </row>
    <row r="866" spans="1:8" ht="12.75" customHeight="1">
      <c r="A866" s="316"/>
      <c r="B866" s="307" t="s">
        <v>92</v>
      </c>
      <c r="C866" s="785"/>
      <c r="D866" s="785"/>
      <c r="E866" s="785"/>
      <c r="F866" s="785"/>
      <c r="G866" s="708"/>
      <c r="H866" s="322"/>
    </row>
    <row r="867" spans="1:8" ht="12.75" customHeight="1">
      <c r="A867" s="316"/>
      <c r="B867" s="307" t="s">
        <v>241</v>
      </c>
      <c r="C867" s="785"/>
      <c r="D867" s="785"/>
      <c r="E867" s="785"/>
      <c r="F867" s="785"/>
      <c r="G867" s="708"/>
      <c r="H867" s="342"/>
    </row>
    <row r="868" spans="1:8" ht="12.75" customHeight="1" thickBot="1">
      <c r="A868" s="316"/>
      <c r="B868" s="308" t="s">
        <v>60</v>
      </c>
      <c r="C868" s="803"/>
      <c r="D868" s="803"/>
      <c r="E868" s="803"/>
      <c r="F868" s="803"/>
      <c r="G868" s="710"/>
      <c r="H868" s="367"/>
    </row>
    <row r="869" spans="1:8" ht="11.25" customHeight="1" thickBot="1">
      <c r="A869" s="318"/>
      <c r="B869" s="311" t="s">
        <v>100</v>
      </c>
      <c r="C869" s="787">
        <f aca="true" t="shared" si="252" ref="C869">SUM(C863:C868)</f>
        <v>5000</v>
      </c>
      <c r="D869" s="787">
        <f aca="true" t="shared" si="253" ref="D869">SUM(D863:D868)</f>
        <v>5000</v>
      </c>
      <c r="E869" s="787">
        <f aca="true" t="shared" si="254" ref="E869:F869">SUM(E863:E868)</f>
        <v>5000</v>
      </c>
      <c r="F869" s="787">
        <f t="shared" si="254"/>
        <v>5000</v>
      </c>
      <c r="G869" s="707">
        <f t="shared" si="245"/>
        <v>1</v>
      </c>
      <c r="H869" s="368"/>
    </row>
    <row r="870" spans="1:8" ht="12.75" customHeight="1" hidden="1">
      <c r="A870" s="320">
        <v>3433</v>
      </c>
      <c r="B870" s="300" t="s">
        <v>597</v>
      </c>
      <c r="C870" s="784"/>
      <c r="D870" s="784"/>
      <c r="E870" s="784"/>
      <c r="F870" s="784"/>
      <c r="G870" s="297" t="e">
        <f t="shared" si="245"/>
        <v>#DIV/0!</v>
      </c>
      <c r="H870" s="342"/>
    </row>
    <row r="871" spans="1:8" ht="12.75" customHeight="1" hidden="1">
      <c r="A871" s="316"/>
      <c r="B871" s="303" t="s">
        <v>87</v>
      </c>
      <c r="C871" s="785"/>
      <c r="D871" s="785"/>
      <c r="E871" s="785"/>
      <c r="F871" s="785"/>
      <c r="G871" s="297" t="e">
        <f t="shared" si="245"/>
        <v>#DIV/0!</v>
      </c>
      <c r="H871" s="342"/>
    </row>
    <row r="872" spans="1:8" ht="12.75" customHeight="1" hidden="1">
      <c r="A872" s="316"/>
      <c r="B872" s="305" t="s">
        <v>245</v>
      </c>
      <c r="C872" s="785"/>
      <c r="D872" s="785"/>
      <c r="E872" s="785"/>
      <c r="F872" s="785"/>
      <c r="G872" s="297" t="e">
        <f t="shared" si="245"/>
        <v>#DIV/0!</v>
      </c>
      <c r="H872" s="427"/>
    </row>
    <row r="873" spans="1:8" ht="12.75" customHeight="1" hidden="1">
      <c r="A873" s="316"/>
      <c r="B873" s="306" t="s">
        <v>234</v>
      </c>
      <c r="C873" s="785"/>
      <c r="D873" s="785"/>
      <c r="E873" s="785"/>
      <c r="F873" s="785"/>
      <c r="G873" s="709" t="e">
        <f t="shared" si="245"/>
        <v>#DIV/0!</v>
      </c>
      <c r="H873" s="578"/>
    </row>
    <row r="874" spans="1:8" ht="12.75" customHeight="1" hidden="1">
      <c r="A874" s="316"/>
      <c r="B874" s="307" t="s">
        <v>92</v>
      </c>
      <c r="C874" s="785"/>
      <c r="D874" s="785"/>
      <c r="E874" s="785"/>
      <c r="F874" s="785"/>
      <c r="G874" s="708" t="e">
        <f t="shared" si="245"/>
        <v>#DIV/0!</v>
      </c>
      <c r="H874" s="322"/>
    </row>
    <row r="875" spans="1:8" ht="12.75" customHeight="1" hidden="1">
      <c r="A875" s="316"/>
      <c r="B875" s="307" t="s">
        <v>241</v>
      </c>
      <c r="C875" s="785"/>
      <c r="D875" s="785"/>
      <c r="E875" s="785"/>
      <c r="F875" s="785"/>
      <c r="G875" s="708" t="e">
        <f t="shared" si="245"/>
        <v>#DIV/0!</v>
      </c>
      <c r="H875" s="342"/>
    </row>
    <row r="876" spans="1:8" ht="12.75" customHeight="1" hidden="1" thickBot="1">
      <c r="A876" s="316"/>
      <c r="B876" s="308" t="s">
        <v>60</v>
      </c>
      <c r="C876" s="803"/>
      <c r="D876" s="803"/>
      <c r="E876" s="803"/>
      <c r="F876" s="803"/>
      <c r="G876" s="710" t="e">
        <f t="shared" si="245"/>
        <v>#DIV/0!</v>
      </c>
      <c r="H876" s="367"/>
    </row>
    <row r="877" spans="1:8" ht="12.75" customHeight="1" hidden="1" thickBot="1">
      <c r="A877" s="318"/>
      <c r="B877" s="311" t="s">
        <v>100</v>
      </c>
      <c r="C877" s="787">
        <f aca="true" t="shared" si="255" ref="C877">SUM(C871:C876)</f>
        <v>0</v>
      </c>
      <c r="D877" s="787">
        <f aca="true" t="shared" si="256" ref="D877">SUM(D871:D876)</f>
        <v>0</v>
      </c>
      <c r="E877" s="787">
        <f aca="true" t="shared" si="257" ref="E877:F877">SUM(E871:E876)</f>
        <v>0</v>
      </c>
      <c r="F877" s="787">
        <f t="shared" si="257"/>
        <v>0</v>
      </c>
      <c r="G877" s="707" t="e">
        <f t="shared" si="245"/>
        <v>#DIV/0!</v>
      </c>
      <c r="H877" s="368"/>
    </row>
    <row r="878" spans="1:8" ht="12.75" customHeight="1">
      <c r="A878" s="320">
        <v>3433</v>
      </c>
      <c r="B878" s="976" t="s">
        <v>597</v>
      </c>
      <c r="C878" s="788"/>
      <c r="D878" s="788"/>
      <c r="E878" s="788"/>
      <c r="F878" s="788"/>
      <c r="G878" s="890"/>
      <c r="H878" s="977"/>
    </row>
    <row r="879" spans="1:8" ht="12.75" customHeight="1">
      <c r="A879" s="316"/>
      <c r="B879" s="303" t="s">
        <v>87</v>
      </c>
      <c r="C879" s="785"/>
      <c r="D879" s="785"/>
      <c r="E879" s="785"/>
      <c r="F879" s="785"/>
      <c r="G879" s="297"/>
      <c r="H879" s="342"/>
    </row>
    <row r="880" spans="1:8" ht="12.75" customHeight="1">
      <c r="A880" s="316"/>
      <c r="B880" s="305" t="s">
        <v>245</v>
      </c>
      <c r="C880" s="785"/>
      <c r="D880" s="785"/>
      <c r="E880" s="785"/>
      <c r="F880" s="785"/>
      <c r="G880" s="297"/>
      <c r="H880" s="427"/>
    </row>
    <row r="881" spans="1:8" ht="12.75" customHeight="1">
      <c r="A881" s="316"/>
      <c r="B881" s="306" t="s">
        <v>234</v>
      </c>
      <c r="C881" s="785"/>
      <c r="D881" s="785">
        <v>4496</v>
      </c>
      <c r="E881" s="785">
        <f>4496+25000</f>
        <v>29496</v>
      </c>
      <c r="F881" s="785">
        <v>4496</v>
      </c>
      <c r="G881" s="709">
        <f t="shared" si="245"/>
        <v>0.1524274477895308</v>
      </c>
      <c r="H881" s="578"/>
    </row>
    <row r="882" spans="1:8" ht="12.75" customHeight="1">
      <c r="A882" s="316"/>
      <c r="B882" s="307" t="s">
        <v>92</v>
      </c>
      <c r="C882" s="785"/>
      <c r="D882" s="785"/>
      <c r="E882" s="785"/>
      <c r="F882" s="785"/>
      <c r="G882" s="708"/>
      <c r="H882" s="322"/>
    </row>
    <row r="883" spans="1:8" ht="12.75" customHeight="1">
      <c r="A883" s="316"/>
      <c r="B883" s="307" t="s">
        <v>241</v>
      </c>
      <c r="C883" s="785"/>
      <c r="D883" s="785"/>
      <c r="E883" s="785"/>
      <c r="F883" s="785"/>
      <c r="G883" s="708"/>
      <c r="H883" s="342"/>
    </row>
    <row r="884" spans="1:8" ht="12.75" customHeight="1" thickBot="1">
      <c r="A884" s="316"/>
      <c r="B884" s="308" t="s">
        <v>60</v>
      </c>
      <c r="C884" s="803"/>
      <c r="D884" s="803"/>
      <c r="E884" s="803"/>
      <c r="F884" s="803"/>
      <c r="G884" s="710"/>
      <c r="H884" s="367"/>
    </row>
    <row r="885" spans="1:8" ht="12.75" customHeight="1" thickBot="1">
      <c r="A885" s="318"/>
      <c r="B885" s="311" t="s">
        <v>100</v>
      </c>
      <c r="C885" s="787">
        <f aca="true" t="shared" si="258" ref="C885:D885">SUM(C879:C884)</f>
        <v>0</v>
      </c>
      <c r="D885" s="787">
        <f t="shared" si="258"/>
        <v>4496</v>
      </c>
      <c r="E885" s="787">
        <f aca="true" t="shared" si="259" ref="E885:F885">SUM(E879:E884)</f>
        <v>29496</v>
      </c>
      <c r="F885" s="787">
        <f t="shared" si="259"/>
        <v>4496</v>
      </c>
      <c r="G885" s="707">
        <f t="shared" si="245"/>
        <v>0.1524274477895308</v>
      </c>
      <c r="H885" s="368"/>
    </row>
    <row r="886" spans="1:8" ht="12.75" customHeight="1">
      <c r="A886" s="320">
        <v>3451</v>
      </c>
      <c r="B886" s="300" t="s">
        <v>99</v>
      </c>
      <c r="C886" s="784"/>
      <c r="D886" s="784"/>
      <c r="E886" s="784"/>
      <c r="F886" s="784"/>
      <c r="G886" s="297"/>
      <c r="H886" s="352"/>
    </row>
    <row r="887" spans="1:8" ht="12.75" customHeight="1">
      <c r="A887" s="316"/>
      <c r="B887" s="303" t="s">
        <v>87</v>
      </c>
      <c r="C887" s="785"/>
      <c r="D887" s="785"/>
      <c r="E887" s="785"/>
      <c r="F887" s="785"/>
      <c r="G887" s="297"/>
      <c r="H887" s="342"/>
    </row>
    <row r="888" spans="1:8" ht="12.75" customHeight="1">
      <c r="A888" s="316"/>
      <c r="B888" s="305" t="s">
        <v>245</v>
      </c>
      <c r="C888" s="785"/>
      <c r="D888" s="785"/>
      <c r="E888" s="785"/>
      <c r="F888" s="785"/>
      <c r="G888" s="709"/>
      <c r="H888" s="341"/>
    </row>
    <row r="889" spans="1:8" ht="12.75" customHeight="1">
      <c r="A889" s="316"/>
      <c r="B889" s="306" t="s">
        <v>234</v>
      </c>
      <c r="C889" s="785">
        <v>2000</v>
      </c>
      <c r="D889" s="785">
        <v>2188</v>
      </c>
      <c r="E889" s="785">
        <f>2188+800</f>
        <v>2988</v>
      </c>
      <c r="F889" s="785">
        <v>2653</v>
      </c>
      <c r="G889" s="709">
        <f t="shared" si="245"/>
        <v>0.8878848728246319</v>
      </c>
      <c r="H889" s="432"/>
    </row>
    <row r="890" spans="1:8" ht="12.75" customHeight="1">
      <c r="A890" s="316"/>
      <c r="B890" s="307" t="s">
        <v>92</v>
      </c>
      <c r="C890" s="785"/>
      <c r="D890" s="785"/>
      <c r="E890" s="785"/>
      <c r="F890" s="785"/>
      <c r="G890" s="708"/>
      <c r="H890" s="432"/>
    </row>
    <row r="891" spans="1:8" ht="12.75" customHeight="1">
      <c r="A891" s="316"/>
      <c r="B891" s="307" t="s">
        <v>241</v>
      </c>
      <c r="C891" s="785"/>
      <c r="D891" s="785"/>
      <c r="E891" s="785"/>
      <c r="F891" s="785"/>
      <c r="G891" s="708"/>
      <c r="H891" s="342"/>
    </row>
    <row r="892" spans="1:8" ht="12.75" customHeight="1" thickBot="1">
      <c r="A892" s="316"/>
      <c r="B892" s="308" t="s">
        <v>60</v>
      </c>
      <c r="C892" s="803"/>
      <c r="D892" s="803"/>
      <c r="E892" s="803"/>
      <c r="F892" s="803"/>
      <c r="G892" s="710"/>
      <c r="H892" s="367"/>
    </row>
    <row r="893" spans="1:8" ht="12.75" customHeight="1" thickBot="1">
      <c r="A893" s="318"/>
      <c r="B893" s="311" t="s">
        <v>100</v>
      </c>
      <c r="C893" s="787">
        <f aca="true" t="shared" si="260" ref="C893">SUM(C887:C892)</f>
        <v>2000</v>
      </c>
      <c r="D893" s="787">
        <f aca="true" t="shared" si="261" ref="D893">SUM(D887:D892)</f>
        <v>2188</v>
      </c>
      <c r="E893" s="787">
        <f aca="true" t="shared" si="262" ref="E893:F893">SUM(E887:E892)</f>
        <v>2988</v>
      </c>
      <c r="F893" s="787">
        <f t="shared" si="262"/>
        <v>2653</v>
      </c>
      <c r="G893" s="707">
        <f t="shared" si="245"/>
        <v>0.8878848728246319</v>
      </c>
      <c r="H893" s="368"/>
    </row>
    <row r="894" spans="1:8" ht="12" customHeight="1">
      <c r="A894" s="262">
        <v>3600</v>
      </c>
      <c r="B894" s="333" t="s">
        <v>33</v>
      </c>
      <c r="C894" s="270"/>
      <c r="D894" s="270"/>
      <c r="E894" s="270"/>
      <c r="F894" s="270"/>
      <c r="G894" s="297"/>
      <c r="H894" s="321"/>
    </row>
    <row r="895" spans="1:8" ht="12" customHeight="1">
      <c r="A895" s="262"/>
      <c r="B895" s="285" t="s">
        <v>47</v>
      </c>
      <c r="C895" s="270"/>
      <c r="D895" s="270"/>
      <c r="E895" s="270"/>
      <c r="F895" s="270"/>
      <c r="G895" s="297"/>
      <c r="H895" s="321"/>
    </row>
    <row r="896" spans="1:9" ht="12" customHeight="1">
      <c r="A896" s="209"/>
      <c r="B896" s="274" t="s">
        <v>87</v>
      </c>
      <c r="C896" s="214">
        <f>SUM(C64+C72+C81+C91+C107+C134+C142+C150+C158+C175+C183+C192+C200+C236+C247+C255+C263+C271+C291+C299+C307+C317+C330+C339+C347+C381+C427+C435+C514+C522+C554+C578+C586+C594+C612+C620+C628+C636+C644+C668+C686+C694+C702+C730+C739+C748+C757+C774+C782+C799+C807+C839+C847+C855+C863+C887+C208+C766+C390+C417+C372+C791)+C281+C399+C408+C166</f>
        <v>289147</v>
      </c>
      <c r="D896" s="214">
        <f>SUM(D64+D72+D81+D91+D107+D134+D142+D150+D158+D175+D183+D192+D200+D236+D247+D255+D263+D271+D291+D299+D307+D317+D330+D339+D347+D381+D427+D435+D514+D522+D554+D578+D586+D594+D612+D620+D628+D636+D644+D668+D686+D694+D702+D730+D739+D748+D757+D774+D782+D799+D807+D839+D847+D855+D863+D887+D208+D766+D390+D417+D372+D791)+D281+D399+D408+D166+D823</f>
        <v>309758</v>
      </c>
      <c r="E896" s="214">
        <f>SUM(E64+E72+E81+E91+E107+E134+E142+E150+E158+E175+E183+E192+E200+E236+E247+E255+E263+E271+E291+E299+E307+E317+E330+E339+E347+E381+E427+E435+E514+E522+E554+E578+E586+E594+E612+E620+E628+E636+E644+E668+E686+E694+E702+E730+E739+E748+E757+E774+E782+E799+E807+E839+E847+E855+E863+E887+E208+E766+E390+E417+E372+E791)+E281+E399+E408+E166+E823</f>
        <v>313520</v>
      </c>
      <c r="F896" s="214">
        <f>SUM(F64+F72+F81+F91+F107+F134+F142+F150+F158+F175+F183+F192+F200+F236+F247+F255+F263+F271+F291+F299+F307+F317+F330+F339+F347+F381+F427+F435+F514+F522+F554+F578+F586+F594+F612+F620+F628+F636+F644+F668+F686+F694+F702+F730+F739+F748+F757+F774+F782+F799+F807+F839+F847+F855+F863+F887+F208+F766+F390+F417+F372+F791)+F281+F399+F408+F166+F823</f>
        <v>208122</v>
      </c>
      <c r="G896" s="709">
        <f t="shared" si="245"/>
        <v>0.6638236795100791</v>
      </c>
      <c r="H896" s="298"/>
      <c r="I896" s="289"/>
    </row>
    <row r="897" spans="1:8" ht="12" customHeight="1">
      <c r="A897" s="209"/>
      <c r="B897" s="215" t="s">
        <v>82</v>
      </c>
      <c r="C897" s="214">
        <f>SUM(C65+C73+C82+C92+C108+C135+C143+C151+C159+C176+C184+C193+C201+C237+C248+C256+C264+C272+C292+C300+C308+C318+C331+C340+C348+C382+C428+C436+C515+C523+C555+C579+C587+C595+C613+C621+C629+C637+C645+C669+C687+C695+C703+C731+C740+C749+C758+C775+C783+C800+C808+C840+C848+C856+C864+C888+C209+C767+C391+C418)+C373+C792+C282+C400+C409+C167</f>
        <v>38206</v>
      </c>
      <c r="D897" s="214">
        <f>SUM(D65+D73+D82+D92+D108+D135+D143+D151+D159+D176+D184+D193+D201+D237+D248+D256+D264+D272+D292+D300+D308+D318+D331+D340+D348+D382+D428+D436+D515+D523+D555+D579+D587+D595+D613+D621+D629+D637+D645+D669+D687+D695+D703+D731+D740+D749+D758+D775+D783+D800+D808+D840+D848+D856+D864+D888+D209+D767+D391+D418)+D373+D792+D282+D400+D409+D167+D824</f>
        <v>43925</v>
      </c>
      <c r="E897" s="214">
        <f>SUM(E65+E73+E82+E92+E108+E135+E143+E151+E159+E176+E184+E193+E201+E237+E248+E256+E264+E272+E292+E300+E308+E318+E331+E340+E348+E382+E428+E436+E515+E523+E555+E579+E587+E595+E613+E621+E629+E637+E645+E669+E687+E695+E703+E731+E740+E749+E758+E775+E783+E800+E808+E840+E848+E856+E864+E888+E209+E767+E391+E418)+E373+E792+E282+E400+E409+E167+E824</f>
        <v>46636</v>
      </c>
      <c r="F897" s="214">
        <f>SUM(F65+F73+F82+F92+F108+F135+F143+F151+F159+F176+F184+F193+F201+F237+F248+F256+F264+F272+F292+F300+F308+F318+F331+F340+F348+F382+F428+F436+F515+F523+F555+F579+F587+F595+F613+F621+F629+F637+F645+F669+F687+F695+F703+F731+F740+F749+F758+F775+F783+F800+F808+F840+F848+F856+F864+F888+F209+F767+F391+F418)+F373+F792+F282+F400+F409+F167+F824</f>
        <v>24285</v>
      </c>
      <c r="G897" s="709">
        <f t="shared" si="245"/>
        <v>0.5207350544643623</v>
      </c>
      <c r="H897" s="298"/>
    </row>
    <row r="898" spans="1:8" ht="12" customHeight="1">
      <c r="A898" s="209"/>
      <c r="B898" s="215" t="s">
        <v>243</v>
      </c>
      <c r="C898" s="214">
        <f>SUM(C66+C74+C83+C93+C109+C136+C144+C152+C160+C177+C185+C194+C202+C238+C249+C257+C265+C273+C293+C301+C309+C319+C332+C341+C349+C383+C429+C437+C516+C524+C556+C580+C588+C596+C614+C622+C630+C638+C646+C670+C688+C696+C704+C732+C741+C750+C759+C776+C784+C801+C809+C841+C849+C857+C865+C889+C654+C532+C548+C210+C481+C119+C768+C101+C21+C127+C219+C29+C564+C662+C374+C456+C283+C38+C47+C359)+C679+C392+C419+C56+C605+C793+C447+C817+C873+C572+C401+C410+C168</f>
        <v>4477857</v>
      </c>
      <c r="D898" s="214">
        <f>SUM(D66+D74+D83+D93+D109+D136+D144+D152+D160+D177+D185+D194+D202+D238+D249+D257+D265+D273+D293+D301+D309+D319+D332+D341+D349+D383+D429+D437+D516+D524+D556+D580+D588+D596+D614+D622+D630+D638+D646+D670+D688+D696+D704+D732+D741+D750+D759+D776+D784+D801+D809+D841+D849+D857+D865+D889+D654+D532+D548+D210+D481+D119+D768+D101+D21+D127+D219+D29+D564+D662+D374+D456+D283+D38+D47+D359)+D679+D392+D419+D56+D605+D793+D447+D817+D873+D572+D401+D410+D168+D13+D473+D833+D881+D465+D499+D825+D228</f>
        <v>5010761</v>
      </c>
      <c r="E898" s="214">
        <f>SUM(E66+E74+E83+E93+E109+E136+E144+E152+E160+E177+E185+E194+E202+E238+E249+E257+E265+E273+E293+E301+E309+E319+E332+E341+E349+E383+E429+E437+E516+E524+E556+E580+E588+E596+E614+E622+E630+E638+E646+E670+E688+E696+E704+E732+E741+E750+E759+E776+E784+E801+E809+E841+E849+E857+E865+E889+E654+E532+E548+E210+E481+E119+E768+E101+E21+E127+E219+E29+E564+E662+E374+E456+E283+E38+E47+E359)+E679+E392+E419+E56+E605+E793+E447+E817+E873+E572+E401+E410+E168+E13+E473+E833+E881+E465+E499+E825+E228</f>
        <v>5089403</v>
      </c>
      <c r="F898" s="214">
        <f>SUM(F66+F74+F83+F93+F109+F136+F144+F152+F160+F177+F185+F194+F202+F238+F249+F257+F265+F273+F293+F301+F309+F319+F332+F341+F349+F383+F429+F437+F516+F524+F556+F580+F588+F596+F614+F622+F630+F638+F646+F670+F688+F696+F704+F732+F741+F750+F759+F776+F784+F801+F809+F841+F849+F857+F865+F889+F654+F532+F548+F210+F481+F119+F768+F101+F21+F127+F219+F29+F564+F662+F374+F456+F283+F38+F47+F359)+F679+F392+F419+F56+F605+F793+F447+F817+F873+F572+F401+F410+F168+F13+F473+F833+F881+F465+F499+F825+F228</f>
        <v>3160306</v>
      </c>
      <c r="G898" s="709">
        <f t="shared" si="245"/>
        <v>0.6209580966569164</v>
      </c>
      <c r="H898" s="298"/>
    </row>
    <row r="899" spans="1:8" ht="12" customHeight="1">
      <c r="A899" s="209"/>
      <c r="B899" s="149" t="s">
        <v>92</v>
      </c>
      <c r="C899" s="214">
        <f>SUM(C67+C75+C84+C94+C110+C137+C145+C153+C161+C178+C186+C195+C203+C239+C250+C258+C266+C274+C294+C302+C310+C322+C333+C342+C350+C384+C430+C438+C517+C525+C557+C581+C589+C597+C615+C623+C631+C639+C647+C671+C689+C697+C705+C733+C742+C751+C760+C777+C785+C802+C810+C842+C850+C858+C866+C890+C482+C491+C533+C541+C549+C565+C509)+C169</f>
        <v>184000</v>
      </c>
      <c r="D899" s="214">
        <f>SUM(D67+D75+D84+D94+D110+D137+D145+D153+D161+D178+D186+D195+D203+D239+D250+D258+D266+D274+D294+D302+D310+D322+D333+D342+D350+D384+D430+D438+D517+D525+D557+D581+D589+D597+D615+D623+D631+D639+D647+D671+D689+D697+D705+D733+D742+D751+D760+D777+D785+D802+D810+D842+D850+D858+D866+D890+D482+D491+D533+D541+D549+D565+D509)+D169</f>
        <v>184886</v>
      </c>
      <c r="E899" s="214">
        <f>SUM(E67+E75+E84+E94+E110+E137+E145+E153+E161+E178+E186+E195+E203+E239+E250+E258+E266+E274+E294+E302+E310+E322+E333+E342+E350+E384+E430+E438+E517+E525+E557+E581+E589+E597+E615+E623+E631+E639+E647+E671+E689+E697+E705+E733+E742+E751+E760+E777+E785+E802+E810+E842+E850+E858+E866+E890+E482+E491+E533+E541+E549+E565+E509)+E169</f>
        <v>194886</v>
      </c>
      <c r="F899" s="214">
        <f>SUM(F67+F75+F84+F94+F110+F137+F145+F153+F161+F178+F186+F195+F203+F239+F250+F258+F266+F274+F294+F302+F310+F322+F333+F342+F350+F384+F430+F438+F517+F525+F557+F581+F589+F597+F615+F623+F631+F639+F647+F671+F689+F697+F705+F733+F742+F751+F760+F777+F785+F802+F810+F842+F850+F858+F866+F890+F482+F491+F533+F541+F549+F565+F509)+F169</f>
        <v>110669</v>
      </c>
      <c r="G899" s="709">
        <f t="shared" si="245"/>
        <v>0.5678653161335345</v>
      </c>
      <c r="H899" s="298"/>
    </row>
    <row r="900" spans="1:8" ht="12" customHeight="1" thickBot="1">
      <c r="A900" s="209"/>
      <c r="B900" s="370" t="s">
        <v>241</v>
      </c>
      <c r="C900" s="790">
        <f>SUM(C68+C76+C85+C95+C111+C138+C146+C154+C162+C179+C187+C196+C204+C240+C251+C259+C267+C275+C295+C303+C311+C323+C334+C343+C385+C431+C439+C492+C518+C526+C558+C582+C590+C598+C616+C624+C632+C640+C648+C672+C690+C698+C706+C734+C743+C752+C761+C778+C786+C803+C811+C843+C851+C859+C867+C891+C212+C770)+C819+C716+C421+C170</f>
        <v>52700</v>
      </c>
      <c r="D900" s="765">
        <f>SUM(D68+D76+D85+D95+D111+D138+D146+D154+D162+D179+D187+D196+D204+D240+D251+D259+D267+D275+D295+D303+D311+D323+D334+D343+D385+D431+D439+D492+D518+D526+D558+D582+D590+D598+D616+D624+D632+D640+D648+D672+D690+D698+D706+D734+D743+D752+D761+D778+D786+D803+D811+D843+D851+D859+D867+D891+D212+D770)+D819+D716+D421+D170+D725+D412+D827</f>
        <v>94980</v>
      </c>
      <c r="E900" s="765">
        <f>SUM(E68+E76+E85+E95+E111+E138+E146+E154+E162+E179+E187+E196+E204+E240+E251+E259+E267+E275+E295+E303+E311+E323+E334+E343+E385+E431+E439+E492+E518+E526+E558+E582+E590+E598+E616+E624+E632+E640+E648+E672+E690+E698+E706+E734+E743+E752+E761+E778+E786+E803+E811+E843+E851+E859+E867+E891+E212+E770)+E819+E716+E421+E170+E725+E412+E827</f>
        <v>114645</v>
      </c>
      <c r="F900" s="765">
        <f>SUM(F68+F76+F85+F95+F111+F138+F146+F154+F162+F179+F187+F196+F204+F240+F251+F259+F267+F275+F295+F303+F311+F323+F334+F343+F385+F431+F439+F492+F518+F526+F558+F582+F590+F598+F616+F624+F632+F640+F648+F672+F690+F698+F706+F734+F743+F752+F761+F778+F786+F803+F811+F843+F851+F859+F867+F891+F212+F770)+F819+F716+F421+F170+F725+F412+F827</f>
        <v>66324</v>
      </c>
      <c r="G900" s="709">
        <f t="shared" si="245"/>
        <v>0.5785162894151511</v>
      </c>
      <c r="H900" s="324"/>
    </row>
    <row r="901" spans="1:8" ht="12" customHeight="1" thickBot="1">
      <c r="A901" s="209"/>
      <c r="B901" s="371" t="s">
        <v>38</v>
      </c>
      <c r="C901" s="806">
        <f>SUM(C896:C900)</f>
        <v>5041910</v>
      </c>
      <c r="D901" s="970">
        <f>SUM(D896:D900)</f>
        <v>5644310</v>
      </c>
      <c r="E901" s="970">
        <f>SUM(E896:E900)</f>
        <v>5759090</v>
      </c>
      <c r="F901" s="970">
        <f>SUM(F896:F900)</f>
        <v>3569706</v>
      </c>
      <c r="G901" s="707">
        <f t="shared" si="245"/>
        <v>0.6198385508821707</v>
      </c>
      <c r="H901" s="326"/>
    </row>
    <row r="902" spans="1:8" ht="12" customHeight="1">
      <c r="A902" s="209"/>
      <c r="B902" s="372" t="s">
        <v>48</v>
      </c>
      <c r="C902" s="214"/>
      <c r="D902" s="214"/>
      <c r="E902" s="214"/>
      <c r="F902" s="214"/>
      <c r="G902" s="297"/>
      <c r="H902" s="321"/>
    </row>
    <row r="903" spans="1:8" ht="12" customHeight="1">
      <c r="A903" s="209"/>
      <c r="B903" s="215" t="s">
        <v>201</v>
      </c>
      <c r="C903" s="214">
        <f>SUM(C60+C69+C252+C277+C735+C352+C779+C122+C213+C691+C188+C707+C112+C312+C753+C771+C33+C386+C104+C287)+C51+C268+C422+C744+C395</f>
        <v>20000</v>
      </c>
      <c r="D903" s="214">
        <f>SUM(D60+D69+D252+D277+D735+D352+D779+D122+D213+D691+D188+D707+D112+D312+D753+D771+D33+D386+D104+D287)+D51+D268+D422+D744+D395+D828</f>
        <v>74067</v>
      </c>
      <c r="E903" s="214">
        <f>SUM(E60+E69+E252+E277+E735+E352+E779+E122+E213+E691+E188+E707+E112+E312+E753+E771+E33+E386+E104+E287)+E51+E268+E422+E744+E395+E828</f>
        <v>75052</v>
      </c>
      <c r="F903" s="214">
        <f>SUM(F60+F69+F252+F277+F735+F352+F779+F122+F213+F691+F188+F707+F112+F312+F753+F771+F33+F386+F104+F287)+F51+F268+F422+F744+F395+F828+F787</f>
        <v>24929</v>
      </c>
      <c r="G903" s="709">
        <f t="shared" si="245"/>
        <v>0.33215637158236955</v>
      </c>
      <c r="H903" s="298"/>
    </row>
    <row r="904" spans="1:8" ht="12" customHeight="1">
      <c r="A904" s="209"/>
      <c r="B904" s="215" t="s">
        <v>202</v>
      </c>
      <c r="C904" s="214">
        <f>SUM(C113)</f>
        <v>0</v>
      </c>
      <c r="D904" s="214">
        <f>SUM(D113)</f>
        <v>2286</v>
      </c>
      <c r="E904" s="214">
        <f>SUM(E113)</f>
        <v>2286</v>
      </c>
      <c r="F904" s="214">
        <f>SUM(F113)</f>
        <v>0</v>
      </c>
      <c r="G904" s="709">
        <f t="shared" si="245"/>
        <v>0</v>
      </c>
      <c r="H904" s="298"/>
    </row>
    <row r="905" spans="1:8" ht="12" customHeight="1" thickBot="1">
      <c r="A905" s="209"/>
      <c r="B905" s="370" t="s">
        <v>269</v>
      </c>
      <c r="C905" s="790">
        <f>SUM(C96+C260+C197+C432+C278+C788+C189+C387+C754+C214+C313+C114)+C205+C736+C288+C171</f>
        <v>150100</v>
      </c>
      <c r="D905" s="765">
        <f>SUM(D96+D260+D197+D432+D278+D788+D189+D387+D754+D214+D313+D114)+D205+D736+D288+D171</f>
        <v>696460</v>
      </c>
      <c r="E905" s="765">
        <f>SUM(E96+E260+E197+E432+E278+E788+E189+E387+E754+E214+E313+E114)+E205+E736+E288+E171</f>
        <v>987908</v>
      </c>
      <c r="F905" s="765">
        <f>SUM(F96+F260+F197+F432+F278+F788+F189+F387+F754+F214+F313+F114)+F205+F736+F288+F171</f>
        <v>395238</v>
      </c>
      <c r="G905" s="709">
        <f t="shared" si="245"/>
        <v>0.40007571555246035</v>
      </c>
      <c r="H905" s="324"/>
    </row>
    <row r="906" spans="1:8" ht="12" customHeight="1" thickBot="1">
      <c r="A906" s="209"/>
      <c r="B906" s="371" t="s">
        <v>44</v>
      </c>
      <c r="C906" s="806">
        <f aca="true" t="shared" si="263" ref="C906">SUM(C903:C905)</f>
        <v>170100</v>
      </c>
      <c r="D906" s="970">
        <f aca="true" t="shared" si="264" ref="D906">SUM(D903:D905)</f>
        <v>772813</v>
      </c>
      <c r="E906" s="970">
        <f aca="true" t="shared" si="265" ref="E906:F906">SUM(E903:E905)</f>
        <v>1065246</v>
      </c>
      <c r="F906" s="970">
        <f t="shared" si="265"/>
        <v>420167</v>
      </c>
      <c r="G906" s="707">
        <f t="shared" si="245"/>
        <v>0.3944318964821271</v>
      </c>
      <c r="H906" s="326"/>
    </row>
    <row r="907" spans="1:8" ht="11.1" customHeight="1" thickBot="1">
      <c r="A907" s="264"/>
      <c r="B907" s="277" t="s">
        <v>209</v>
      </c>
      <c r="C907" s="807">
        <f>SUM(C906+C901)</f>
        <v>5212010</v>
      </c>
      <c r="D907" s="807">
        <f>SUM(D906+D901)</f>
        <v>6417123</v>
      </c>
      <c r="E907" s="807">
        <f>SUM(E906+E901)</f>
        <v>6824336</v>
      </c>
      <c r="F907" s="807">
        <f>SUM(F906+F901)</f>
        <v>3989873</v>
      </c>
      <c r="G907" s="707">
        <f aca="true" t="shared" si="266" ref="G907">F907/E907</f>
        <v>0.5846536571470103</v>
      </c>
      <c r="H907" s="326"/>
    </row>
  </sheetData>
  <mergeCells count="7">
    <mergeCell ref="A1:H1"/>
    <mergeCell ref="A2:H2"/>
    <mergeCell ref="G5:G7"/>
    <mergeCell ref="C5:C7"/>
    <mergeCell ref="D5:D7"/>
    <mergeCell ref="E5:E7"/>
    <mergeCell ref="F5:F7"/>
  </mergeCells>
  <printOptions horizontalCentered="1"/>
  <pageMargins left="0.5905511811023623" right="0" top="0.5905511811023623" bottom="0" header="0.1968503937007874" footer="0"/>
  <pageSetup firstPageNumber="23" useFirstPageNumber="1" horizontalDpi="600" verticalDpi="600" orientation="landscape" paperSize="9" scale="69" r:id="rId1"/>
  <headerFooter alignWithMargins="0">
    <oddFooter>&amp;C&amp;P. oldal</oddFooter>
  </headerFooter>
  <rowBreaks count="14" manualBreakCount="14">
    <brk id="61" max="16383" man="1"/>
    <brk id="115" max="16383" man="1"/>
    <brk id="172" max="16383" man="1"/>
    <brk id="233" max="16383" man="1"/>
    <brk id="289" max="16383" man="1"/>
    <brk id="345" max="16383" man="1"/>
    <brk id="397" max="16383" man="1"/>
    <brk id="469" max="16383" man="1"/>
    <brk id="528" max="16383" man="1"/>
    <brk id="592" max="16383" man="1"/>
    <brk id="650" max="16383" man="1"/>
    <brk id="708" max="16383" man="1"/>
    <brk id="772" max="16383" man="1"/>
    <brk id="85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"/>
  <sheetViews>
    <sheetView workbookViewId="0" topLeftCell="A22">
      <selection activeCell="F44" sqref="F44"/>
    </sheetView>
  </sheetViews>
  <sheetFormatPr defaultColWidth="9.125" defaultRowHeight="12.75" customHeight="1"/>
  <cols>
    <col min="1" max="1" width="6.875" style="8" customWidth="1"/>
    <col min="2" max="2" width="51.00390625" style="8" customWidth="1"/>
    <col min="3" max="6" width="13.75390625" style="9" customWidth="1"/>
    <col min="7" max="7" width="9.375" style="9" customWidth="1"/>
    <col min="8" max="8" width="52.875" style="8" customWidth="1"/>
    <col min="9" max="16384" width="9.125" style="8" customWidth="1"/>
  </cols>
  <sheetData>
    <row r="2" spans="1:8" ht="12.95" customHeight="1">
      <c r="A2" s="1149" t="s">
        <v>244</v>
      </c>
      <c r="B2" s="1148"/>
      <c r="C2" s="1148"/>
      <c r="D2" s="1148"/>
      <c r="E2" s="1148"/>
      <c r="F2" s="1148"/>
      <c r="G2" s="1148"/>
      <c r="H2" s="1148"/>
    </row>
    <row r="3" spans="1:8" ht="12.95" customHeight="1">
      <c r="A3" s="1147" t="s">
        <v>617</v>
      </c>
      <c r="B3" s="1148"/>
      <c r="C3" s="1148"/>
      <c r="D3" s="1148"/>
      <c r="E3" s="1148"/>
      <c r="F3" s="1148"/>
      <c r="G3" s="1148"/>
      <c r="H3" s="1148"/>
    </row>
    <row r="4" spans="3:8" ht="12.6" customHeight="1">
      <c r="C4" s="59"/>
      <c r="D4" s="59"/>
      <c r="E4" s="59"/>
      <c r="F4" s="59"/>
      <c r="G4" s="59"/>
      <c r="H4" s="68" t="s">
        <v>140</v>
      </c>
    </row>
    <row r="5" spans="1:8" ht="12.95" customHeight="1">
      <c r="A5" s="43"/>
      <c r="B5" s="44"/>
      <c r="C5" s="1098" t="s">
        <v>670</v>
      </c>
      <c r="D5" s="1098" t="s">
        <v>718</v>
      </c>
      <c r="E5" s="1098" t="s">
        <v>727</v>
      </c>
      <c r="F5" s="1098" t="s">
        <v>728</v>
      </c>
      <c r="G5" s="1098" t="s">
        <v>731</v>
      </c>
      <c r="H5" s="77" t="s">
        <v>437</v>
      </c>
    </row>
    <row r="6" spans="1:8" ht="12.75">
      <c r="A6" s="45" t="s">
        <v>229</v>
      </c>
      <c r="B6" s="76" t="s">
        <v>107</v>
      </c>
      <c r="C6" s="1145"/>
      <c r="D6" s="1145"/>
      <c r="E6" s="1145"/>
      <c r="F6" s="1145"/>
      <c r="G6" s="1143"/>
      <c r="H6" s="46" t="s">
        <v>108</v>
      </c>
    </row>
    <row r="7" spans="1:8" ht="13.5" thickBot="1">
      <c r="A7" s="47"/>
      <c r="B7" s="48"/>
      <c r="C7" s="1146"/>
      <c r="D7" s="1146"/>
      <c r="E7" s="1146"/>
      <c r="F7" s="1146"/>
      <c r="G7" s="1144"/>
      <c r="H7" s="49"/>
    </row>
    <row r="8" spans="1:8" ht="15" customHeight="1">
      <c r="A8" s="159" t="s">
        <v>125</v>
      </c>
      <c r="B8" s="160" t="s">
        <v>126</v>
      </c>
      <c r="C8" s="161" t="s">
        <v>477</v>
      </c>
      <c r="D8" s="161" t="s">
        <v>478</v>
      </c>
      <c r="E8" s="161" t="s">
        <v>491</v>
      </c>
      <c r="F8" s="161" t="s">
        <v>492</v>
      </c>
      <c r="G8" s="161" t="s">
        <v>402</v>
      </c>
      <c r="H8" s="161" t="s">
        <v>403</v>
      </c>
    </row>
    <row r="9" spans="1:8" ht="12.75" customHeight="1">
      <c r="A9" s="92"/>
      <c r="B9" s="74" t="s">
        <v>214</v>
      </c>
      <c r="C9" s="685"/>
      <c r="D9" s="685"/>
      <c r="E9" s="685"/>
      <c r="F9" s="685"/>
      <c r="G9" s="685"/>
      <c r="H9" s="455"/>
    </row>
    <row r="10" spans="1:8" ht="12.75" customHeight="1" thickBot="1">
      <c r="A10" s="38">
        <v>3911</v>
      </c>
      <c r="B10" s="31" t="s">
        <v>145</v>
      </c>
      <c r="C10" s="715">
        <v>1800</v>
      </c>
      <c r="D10" s="715">
        <v>2293</v>
      </c>
      <c r="E10" s="715">
        <v>2293</v>
      </c>
      <c r="F10" s="715">
        <v>2978</v>
      </c>
      <c r="G10" s="696">
        <f>F10/E10</f>
        <v>1.2987352812908852</v>
      </c>
      <c r="H10" s="716"/>
    </row>
    <row r="11" spans="1:8" ht="12.75" customHeight="1" thickBot="1">
      <c r="A11" s="55">
        <v>3910</v>
      </c>
      <c r="B11" s="32" t="s">
        <v>136</v>
      </c>
      <c r="C11" s="624">
        <f>SUM(C10:C10)</f>
        <v>1800</v>
      </c>
      <c r="D11" s="624">
        <f>SUM(D10:D10)</f>
        <v>2293</v>
      </c>
      <c r="E11" s="624">
        <f>SUM(E10:E10)</f>
        <v>2293</v>
      </c>
      <c r="F11" s="624">
        <f>SUM(F10:F10)</f>
        <v>2978</v>
      </c>
      <c r="G11" s="697">
        <f aca="true" t="shared" si="0" ref="G11:G74">F11/E11</f>
        <v>1.2987352812908852</v>
      </c>
      <c r="H11" s="439"/>
    </row>
    <row r="12" spans="1:8" s="12" customFormat="1" ht="12.75" customHeight="1">
      <c r="A12" s="10"/>
      <c r="B12" s="34" t="s">
        <v>213</v>
      </c>
      <c r="C12" s="686"/>
      <c r="D12" s="686"/>
      <c r="E12" s="686"/>
      <c r="F12" s="686"/>
      <c r="G12" s="695"/>
      <c r="H12" s="440"/>
    </row>
    <row r="13" spans="1:8" s="12" customFormat="1" ht="12.75" customHeight="1">
      <c r="A13" s="38">
        <v>3923</v>
      </c>
      <c r="B13" s="31" t="s">
        <v>721</v>
      </c>
      <c r="C13" s="38"/>
      <c r="D13" s="22">
        <v>3000</v>
      </c>
      <c r="E13" s="22">
        <v>3000</v>
      </c>
      <c r="F13" s="22">
        <v>3000</v>
      </c>
      <c r="G13" s="695">
        <f t="shared" si="0"/>
        <v>1</v>
      </c>
      <c r="H13" s="445"/>
    </row>
    <row r="14" spans="1:8" s="12" customFormat="1" ht="12.75" customHeight="1">
      <c r="A14" s="38">
        <v>3924</v>
      </c>
      <c r="B14" s="31" t="s">
        <v>435</v>
      </c>
      <c r="C14" s="687">
        <v>9000</v>
      </c>
      <c r="D14" s="687">
        <v>9000</v>
      </c>
      <c r="E14" s="687">
        <v>9000</v>
      </c>
      <c r="F14" s="687">
        <v>9000</v>
      </c>
      <c r="G14" s="695">
        <f t="shared" si="0"/>
        <v>1</v>
      </c>
      <c r="H14" s="442"/>
    </row>
    <row r="15" spans="1:8" s="12" customFormat="1" ht="12.75" customHeight="1">
      <c r="A15" s="38">
        <v>3925</v>
      </c>
      <c r="B15" s="31" t="s">
        <v>13</v>
      </c>
      <c r="C15" s="687">
        <v>144300</v>
      </c>
      <c r="D15" s="687">
        <f>144300+4000</f>
        <v>148300</v>
      </c>
      <c r="E15" s="687">
        <f>144300+4000</f>
        <v>148300</v>
      </c>
      <c r="F15" s="687">
        <v>111260</v>
      </c>
      <c r="G15" s="695">
        <f t="shared" si="0"/>
        <v>0.750236008091706</v>
      </c>
      <c r="H15" s="577" t="s">
        <v>451</v>
      </c>
    </row>
    <row r="16" spans="1:8" s="12" customFormat="1" ht="12.75" customHeight="1">
      <c r="A16" s="38">
        <v>3926</v>
      </c>
      <c r="B16" s="31" t="s">
        <v>549</v>
      </c>
      <c r="C16" s="687">
        <v>2000</v>
      </c>
      <c r="D16" s="687">
        <v>2000</v>
      </c>
      <c r="E16" s="687">
        <v>2000</v>
      </c>
      <c r="F16" s="687">
        <v>0</v>
      </c>
      <c r="G16" s="695">
        <f t="shared" si="0"/>
        <v>0</v>
      </c>
      <c r="H16" s="577"/>
    </row>
    <row r="17" spans="1:8" s="12" customFormat="1" ht="12.75" customHeight="1">
      <c r="A17" s="38">
        <v>3927</v>
      </c>
      <c r="B17" s="31" t="s">
        <v>436</v>
      </c>
      <c r="C17" s="687">
        <v>3000</v>
      </c>
      <c r="D17" s="687">
        <v>3000</v>
      </c>
      <c r="E17" s="687">
        <v>3000</v>
      </c>
      <c r="F17" s="687">
        <v>0</v>
      </c>
      <c r="G17" s="695">
        <f t="shared" si="0"/>
        <v>0</v>
      </c>
      <c r="H17" s="446" t="s">
        <v>426</v>
      </c>
    </row>
    <row r="18" spans="1:8" s="12" customFormat="1" ht="12.75" customHeight="1">
      <c r="A18" s="38"/>
      <c r="B18" s="155" t="s">
        <v>603</v>
      </c>
      <c r="C18" s="688"/>
      <c r="D18" s="688"/>
      <c r="E18" s="688"/>
      <c r="F18" s="688"/>
      <c r="G18" s="695"/>
      <c r="H18" s="446"/>
    </row>
    <row r="19" spans="1:8" s="12" customFormat="1" ht="12.75" customHeight="1">
      <c r="A19" s="38"/>
      <c r="B19" s="155" t="s">
        <v>320</v>
      </c>
      <c r="C19" s="688"/>
      <c r="D19" s="688"/>
      <c r="E19" s="688"/>
      <c r="F19" s="688"/>
      <c r="G19" s="695"/>
      <c r="H19" s="446"/>
    </row>
    <row r="20" spans="1:8" s="12" customFormat="1" ht="12.75" customHeight="1">
      <c r="A20" s="38">
        <v>3928</v>
      </c>
      <c r="B20" s="31" t="s">
        <v>116</v>
      </c>
      <c r="C20" s="605">
        <f>SUM(C25+C21)</f>
        <v>218500</v>
      </c>
      <c r="D20" s="605">
        <f>SUM(D25+D21)</f>
        <v>307144</v>
      </c>
      <c r="E20" s="605">
        <f>SUM(E25+E21)</f>
        <v>307144</v>
      </c>
      <c r="F20" s="605">
        <f>SUM(F25+F21)+F22</f>
        <v>81178</v>
      </c>
      <c r="G20" s="695">
        <f t="shared" si="0"/>
        <v>0.26429948167634726</v>
      </c>
      <c r="H20" s="442" t="s">
        <v>426</v>
      </c>
    </row>
    <row r="21" spans="1:8" s="12" customFormat="1" ht="12.75" customHeight="1">
      <c r="A21" s="38"/>
      <c r="B21" s="155" t="s">
        <v>53</v>
      </c>
      <c r="C21" s="583">
        <f>SUM(C22:C24)</f>
        <v>18500</v>
      </c>
      <c r="D21" s="583">
        <f>SUM(D22:D24)</f>
        <v>19614</v>
      </c>
      <c r="E21" s="583">
        <f>SUM(E22:E24)</f>
        <v>19614</v>
      </c>
      <c r="F21" s="583"/>
      <c r="G21" s="695">
        <f t="shared" si="0"/>
        <v>0</v>
      </c>
      <c r="H21" s="607"/>
    </row>
    <row r="22" spans="1:8" s="12" customFormat="1" ht="12.75" customHeight="1">
      <c r="A22" s="38"/>
      <c r="B22" s="155" t="s">
        <v>380</v>
      </c>
      <c r="C22" s="690">
        <v>10000</v>
      </c>
      <c r="D22" s="690">
        <v>11114</v>
      </c>
      <c r="E22" s="690">
        <v>11114</v>
      </c>
      <c r="F22" s="690">
        <v>4074</v>
      </c>
      <c r="G22" s="695">
        <f t="shared" si="0"/>
        <v>0.36656469317977325</v>
      </c>
      <c r="H22" s="717"/>
    </row>
    <row r="23" spans="1:8" s="12" customFormat="1" ht="12.75" customHeight="1">
      <c r="A23" s="38"/>
      <c r="B23" s="155" t="s">
        <v>381</v>
      </c>
      <c r="C23" s="688"/>
      <c r="D23" s="688"/>
      <c r="E23" s="688"/>
      <c r="F23" s="688"/>
      <c r="G23" s="695"/>
      <c r="H23" s="443"/>
    </row>
    <row r="24" spans="1:8" s="12" customFormat="1" ht="12.75" customHeight="1">
      <c r="A24" s="38"/>
      <c r="B24" s="155" t="s">
        <v>382</v>
      </c>
      <c r="C24" s="688">
        <v>8500</v>
      </c>
      <c r="D24" s="688">
        <v>8500</v>
      </c>
      <c r="E24" s="688">
        <v>8500</v>
      </c>
      <c r="F24" s="688">
        <v>0</v>
      </c>
      <c r="G24" s="695">
        <f t="shared" si="0"/>
        <v>0</v>
      </c>
      <c r="H24" s="443"/>
    </row>
    <row r="25" spans="1:8" s="12" customFormat="1" ht="12.75" customHeight="1" thickBot="1">
      <c r="A25" s="38"/>
      <c r="B25" s="155" t="s">
        <v>732</v>
      </c>
      <c r="C25" s="689">
        <f>100000+100000</f>
        <v>200000</v>
      </c>
      <c r="D25" s="689">
        <v>287530</v>
      </c>
      <c r="E25" s="689">
        <v>287530</v>
      </c>
      <c r="F25" s="689">
        <v>77104</v>
      </c>
      <c r="G25" s="696">
        <f t="shared" si="0"/>
        <v>0.26815984419017147</v>
      </c>
      <c r="H25" s="635"/>
    </row>
    <row r="26" spans="1:8" s="12" customFormat="1" ht="12.75" customHeight="1" thickBot="1">
      <c r="A26" s="55">
        <v>3920</v>
      </c>
      <c r="B26" s="32" t="s">
        <v>136</v>
      </c>
      <c r="C26" s="624">
        <f>C14+C15+C16+C17+C20</f>
        <v>376800</v>
      </c>
      <c r="D26" s="624">
        <f>D13+D14+D15+D16+D17+D20</f>
        <v>472444</v>
      </c>
      <c r="E26" s="624">
        <f>E13+E14+E15+E16+E17+E20</f>
        <v>472444</v>
      </c>
      <c r="F26" s="624">
        <f>F13+F14+F15+F16+F17+F20</f>
        <v>204438</v>
      </c>
      <c r="G26" s="697">
        <f t="shared" si="0"/>
        <v>0.43272430171618226</v>
      </c>
      <c r="H26" s="444"/>
    </row>
    <row r="27" spans="1:8" s="12" customFormat="1" ht="12.75" customHeight="1">
      <c r="A27" s="10"/>
      <c r="B27" s="34" t="s">
        <v>98</v>
      </c>
      <c r="C27" s="686"/>
      <c r="D27" s="686"/>
      <c r="E27" s="686"/>
      <c r="F27" s="686"/>
      <c r="G27" s="695"/>
      <c r="H27" s="440"/>
    </row>
    <row r="28" spans="1:8" s="12" customFormat="1" ht="12.75" customHeight="1">
      <c r="A28" s="57">
        <v>3931</v>
      </c>
      <c r="B28" s="75" t="s">
        <v>119</v>
      </c>
      <c r="C28" s="690">
        <f>2000+1500</f>
        <v>3500</v>
      </c>
      <c r="D28" s="690">
        <f>2000+1500</f>
        <v>3500</v>
      </c>
      <c r="E28" s="690">
        <f>2000+1500</f>
        <v>3500</v>
      </c>
      <c r="F28" s="690">
        <v>300</v>
      </c>
      <c r="G28" s="695">
        <f t="shared" si="0"/>
        <v>0.08571428571428572</v>
      </c>
      <c r="H28" s="442" t="s">
        <v>448</v>
      </c>
    </row>
    <row r="29" spans="1:8" s="12" customFormat="1" ht="12.75" customHeight="1">
      <c r="A29" s="57">
        <v>3932</v>
      </c>
      <c r="B29" s="75" t="s">
        <v>431</v>
      </c>
      <c r="C29" s="690">
        <v>12500</v>
      </c>
      <c r="D29" s="690">
        <v>12500</v>
      </c>
      <c r="E29" s="690">
        <v>12500</v>
      </c>
      <c r="F29" s="690">
        <v>12500</v>
      </c>
      <c r="G29" s="695">
        <f t="shared" si="0"/>
        <v>1</v>
      </c>
      <c r="H29" s="442" t="s">
        <v>448</v>
      </c>
    </row>
    <row r="30" spans="1:8" s="12" customFormat="1" ht="12.75" customHeight="1">
      <c r="A30" s="57">
        <v>3934</v>
      </c>
      <c r="B30" s="75" t="s">
        <v>690</v>
      </c>
      <c r="C30" s="690"/>
      <c r="D30" s="690">
        <v>5000</v>
      </c>
      <c r="E30" s="690">
        <v>5000</v>
      </c>
      <c r="F30" s="690">
        <v>0</v>
      </c>
      <c r="G30" s="695">
        <f t="shared" si="0"/>
        <v>0</v>
      </c>
      <c r="H30" s="442"/>
    </row>
    <row r="31" spans="1:8" s="12" customFormat="1" ht="12.75" customHeight="1" thickBot="1">
      <c r="A31" s="57">
        <v>3935</v>
      </c>
      <c r="B31" s="75" t="s">
        <v>719</v>
      </c>
      <c r="C31" s="690"/>
      <c r="D31" s="690">
        <v>12154</v>
      </c>
      <c r="E31" s="690">
        <v>12154</v>
      </c>
      <c r="F31" s="690">
        <v>12154</v>
      </c>
      <c r="G31" s="696">
        <f t="shared" si="0"/>
        <v>1</v>
      </c>
      <c r="H31" s="442"/>
    </row>
    <row r="32" spans="1:8" s="12" customFormat="1" ht="12.75" customHeight="1" thickBot="1">
      <c r="A32" s="55">
        <v>3930</v>
      </c>
      <c r="B32" s="32" t="s">
        <v>136</v>
      </c>
      <c r="C32" s="604">
        <f>SUM(C28:C29)</f>
        <v>16000</v>
      </c>
      <c r="D32" s="604">
        <f>SUM(D28:D31)</f>
        <v>33154</v>
      </c>
      <c r="E32" s="604">
        <f>SUM(E28:E31)</f>
        <v>33154</v>
      </c>
      <c r="F32" s="604">
        <f>SUM(F28:F31)</f>
        <v>24954</v>
      </c>
      <c r="G32" s="697">
        <f t="shared" si="0"/>
        <v>0.7526693611630573</v>
      </c>
      <c r="H32" s="447"/>
    </row>
    <row r="33" spans="1:8" ht="12.75" customHeight="1">
      <c r="A33" s="10"/>
      <c r="B33" s="34" t="s">
        <v>35</v>
      </c>
      <c r="C33" s="691"/>
      <c r="D33" s="691"/>
      <c r="E33" s="691"/>
      <c r="F33" s="691"/>
      <c r="G33" s="695"/>
      <c r="H33" s="448"/>
    </row>
    <row r="34" spans="1:9" ht="12.75" customHeight="1">
      <c r="A34" s="38">
        <v>3941</v>
      </c>
      <c r="B34" s="31" t="s">
        <v>374</v>
      </c>
      <c r="C34" s="687">
        <f>668000+97000</f>
        <v>765000</v>
      </c>
      <c r="D34" s="687">
        <f>668000+97000</f>
        <v>765000</v>
      </c>
      <c r="E34" s="687">
        <f>668000+97000</f>
        <v>765000</v>
      </c>
      <c r="F34" s="687">
        <v>565600</v>
      </c>
      <c r="G34" s="695">
        <f t="shared" si="0"/>
        <v>0.7393464052287582</v>
      </c>
      <c r="H34" s="577" t="s">
        <v>452</v>
      </c>
      <c r="I34" s="718"/>
    </row>
    <row r="35" spans="1:8" ht="12.75" customHeight="1">
      <c r="A35" s="38">
        <v>3943</v>
      </c>
      <c r="B35" s="31" t="s">
        <v>6</v>
      </c>
      <c r="C35" s="605">
        <f>SUM(C36:C39)</f>
        <v>1000</v>
      </c>
      <c r="D35" s="605">
        <f>SUM(D36:D39)</f>
        <v>1000</v>
      </c>
      <c r="E35" s="605">
        <f>SUM(E36:E39)</f>
        <v>1000</v>
      </c>
      <c r="F35" s="605">
        <f>SUM(F36:F39)</f>
        <v>0</v>
      </c>
      <c r="G35" s="695">
        <f t="shared" si="0"/>
        <v>0</v>
      </c>
      <c r="H35" s="442" t="s">
        <v>427</v>
      </c>
    </row>
    <row r="36" spans="1:8" ht="12.75" customHeight="1">
      <c r="A36" s="38"/>
      <c r="B36" s="155" t="s">
        <v>321</v>
      </c>
      <c r="C36" s="688">
        <v>350</v>
      </c>
      <c r="D36" s="688">
        <v>350</v>
      </c>
      <c r="E36" s="688">
        <v>350</v>
      </c>
      <c r="F36" s="688">
        <v>0</v>
      </c>
      <c r="G36" s="695">
        <f t="shared" si="0"/>
        <v>0</v>
      </c>
      <c r="H36" s="442"/>
    </row>
    <row r="37" spans="1:8" ht="12.75" customHeight="1">
      <c r="A37" s="38"/>
      <c r="B37" s="155" t="s">
        <v>322</v>
      </c>
      <c r="C37" s="688">
        <v>150</v>
      </c>
      <c r="D37" s="688">
        <v>150</v>
      </c>
      <c r="E37" s="688">
        <v>150</v>
      </c>
      <c r="F37" s="688">
        <v>0</v>
      </c>
      <c r="G37" s="695">
        <f t="shared" si="0"/>
        <v>0</v>
      </c>
      <c r="H37" s="442"/>
    </row>
    <row r="38" spans="1:8" ht="12.75" customHeight="1">
      <c r="A38" s="38"/>
      <c r="B38" s="155" t="s">
        <v>73</v>
      </c>
      <c r="C38" s="688"/>
      <c r="D38" s="688"/>
      <c r="E38" s="688"/>
      <c r="F38" s="688"/>
      <c r="G38" s="695"/>
      <c r="H38" s="442"/>
    </row>
    <row r="39" spans="1:8" ht="12.75" customHeight="1">
      <c r="A39" s="38"/>
      <c r="B39" s="155" t="s">
        <v>320</v>
      </c>
      <c r="C39" s="688">
        <v>500</v>
      </c>
      <c r="D39" s="688">
        <v>500</v>
      </c>
      <c r="E39" s="688">
        <v>500</v>
      </c>
      <c r="F39" s="688">
        <v>0</v>
      </c>
      <c r="G39" s="695">
        <f t="shared" si="0"/>
        <v>0</v>
      </c>
      <c r="H39" s="442"/>
    </row>
    <row r="40" spans="1:8" ht="12.75" customHeight="1" thickBot="1">
      <c r="A40" s="38">
        <v>3944</v>
      </c>
      <c r="B40" s="75" t="s">
        <v>676</v>
      </c>
      <c r="C40" s="688"/>
      <c r="D40" s="690">
        <v>800</v>
      </c>
      <c r="E40" s="690">
        <v>800</v>
      </c>
      <c r="F40" s="690">
        <v>800</v>
      </c>
      <c r="G40" s="696">
        <f t="shared" si="0"/>
        <v>1</v>
      </c>
      <c r="H40" s="442"/>
    </row>
    <row r="41" spans="1:8" s="12" customFormat="1" ht="12.75" customHeight="1" thickBot="1">
      <c r="A41" s="55">
        <v>3940</v>
      </c>
      <c r="B41" s="32" t="s">
        <v>134</v>
      </c>
      <c r="C41" s="604">
        <f>SUM(C34:C35)</f>
        <v>766000</v>
      </c>
      <c r="D41" s="604">
        <f>SUM(D34:D35)+D40</f>
        <v>766800</v>
      </c>
      <c r="E41" s="604">
        <f>SUM(E34:E35)+E40</f>
        <v>766800</v>
      </c>
      <c r="F41" s="604">
        <f>SUM(F34:F35)+F40</f>
        <v>566400</v>
      </c>
      <c r="G41" s="697">
        <f t="shared" si="0"/>
        <v>0.7386541471048513</v>
      </c>
      <c r="H41" s="449"/>
    </row>
    <row r="42" spans="1:8" s="12" customFormat="1" ht="12.75" customHeight="1">
      <c r="A42" s="163"/>
      <c r="B42" s="164" t="s">
        <v>34</v>
      </c>
      <c r="C42" s="692"/>
      <c r="D42" s="692"/>
      <c r="E42" s="692"/>
      <c r="F42" s="692"/>
      <c r="G42" s="695"/>
      <c r="H42" s="450"/>
    </row>
    <row r="43" spans="1:8" s="12" customFormat="1" ht="12.75" customHeight="1">
      <c r="A43" s="316">
        <v>3961</v>
      </c>
      <c r="B43" s="939" t="s">
        <v>324</v>
      </c>
      <c r="C43" s="940">
        <f>204570+109300</f>
        <v>313870</v>
      </c>
      <c r="D43" s="940">
        <f>204570+109300</f>
        <v>313870</v>
      </c>
      <c r="E43" s="940">
        <f>204570+109300</f>
        <v>313870</v>
      </c>
      <c r="F43" s="940">
        <v>213431</v>
      </c>
      <c r="G43" s="941">
        <f t="shared" si="0"/>
        <v>0.6799980883805398</v>
      </c>
      <c r="H43" s="476"/>
    </row>
    <row r="44" spans="1:8" s="12" customFormat="1" ht="12.75" customHeight="1">
      <c r="A44" s="316">
        <v>3972</v>
      </c>
      <c r="B44" s="939" t="s">
        <v>502</v>
      </c>
      <c r="C44" s="940">
        <v>30000</v>
      </c>
      <c r="D44" s="940">
        <f>30200+5000</f>
        <v>35200</v>
      </c>
      <c r="E44" s="940">
        <f>E45+E46+E47</f>
        <v>35200</v>
      </c>
      <c r="F44" s="940">
        <f>F45+F46+F47</f>
        <v>26972</v>
      </c>
      <c r="G44" s="941">
        <f t="shared" si="0"/>
        <v>0.76625</v>
      </c>
      <c r="H44" s="441" t="s">
        <v>516</v>
      </c>
    </row>
    <row r="45" spans="1:8" s="12" customFormat="1" ht="12.75" customHeight="1">
      <c r="A45" s="316"/>
      <c r="B45" s="388" t="s">
        <v>322</v>
      </c>
      <c r="C45" s="940"/>
      <c r="D45" s="940"/>
      <c r="E45" s="940">
        <v>5</v>
      </c>
      <c r="F45" s="940">
        <v>0</v>
      </c>
      <c r="G45" s="941">
        <f t="shared" si="0"/>
        <v>0</v>
      </c>
      <c r="H45" s="441"/>
    </row>
    <row r="46" spans="1:8" s="12" customFormat="1" ht="12.75" customHeight="1">
      <c r="A46" s="316"/>
      <c r="B46" s="155" t="s">
        <v>249</v>
      </c>
      <c r="C46" s="940"/>
      <c r="D46" s="940"/>
      <c r="E46" s="940">
        <v>32</v>
      </c>
      <c r="F46" s="940">
        <v>32</v>
      </c>
      <c r="G46" s="941">
        <f t="shared" si="0"/>
        <v>1</v>
      </c>
      <c r="H46" s="441"/>
    </row>
    <row r="47" spans="1:8" s="12" customFormat="1" ht="12.75" customHeight="1">
      <c r="A47" s="316"/>
      <c r="B47" s="155" t="s">
        <v>73</v>
      </c>
      <c r="C47" s="940"/>
      <c r="D47" s="940"/>
      <c r="E47" s="940">
        <f>35200-37</f>
        <v>35163</v>
      </c>
      <c r="F47" s="940">
        <v>26940</v>
      </c>
      <c r="G47" s="941">
        <f t="shared" si="0"/>
        <v>0.7661462332565481</v>
      </c>
      <c r="H47" s="441"/>
    </row>
    <row r="48" spans="1:8" s="12" customFormat="1" ht="12.75" customHeight="1">
      <c r="A48" s="316">
        <v>3973</v>
      </c>
      <c r="B48" s="939" t="s">
        <v>514</v>
      </c>
      <c r="C48" s="940">
        <v>5100</v>
      </c>
      <c r="D48" s="940">
        <f>D49+D50+D52</f>
        <v>5268</v>
      </c>
      <c r="E48" s="940">
        <f>E49+E50+E51+E52</f>
        <v>5268</v>
      </c>
      <c r="F48" s="940">
        <f>F49+F50+F51+F52</f>
        <v>712</v>
      </c>
      <c r="G48" s="941">
        <f t="shared" si="0"/>
        <v>0.13515565679574792</v>
      </c>
      <c r="H48" s="723"/>
    </row>
    <row r="49" spans="1:8" s="12" customFormat="1" ht="12.75" customHeight="1">
      <c r="A49" s="316"/>
      <c r="B49" s="388" t="s">
        <v>321</v>
      </c>
      <c r="C49" s="942"/>
      <c r="D49" s="942">
        <v>91</v>
      </c>
      <c r="E49" s="942">
        <f>91+3556</f>
        <v>3647</v>
      </c>
      <c r="F49" s="942">
        <v>617</v>
      </c>
      <c r="G49" s="941">
        <f t="shared" si="0"/>
        <v>0.16918014806690432</v>
      </c>
      <c r="H49" s="723"/>
    </row>
    <row r="50" spans="1:8" s="12" customFormat="1" ht="12.75" customHeight="1">
      <c r="A50" s="316"/>
      <c r="B50" s="388" t="s">
        <v>322</v>
      </c>
      <c r="C50" s="942"/>
      <c r="D50" s="942">
        <v>77</v>
      </c>
      <c r="E50" s="942">
        <f>77+467</f>
        <v>544</v>
      </c>
      <c r="F50" s="942">
        <v>88</v>
      </c>
      <c r="G50" s="941">
        <f t="shared" si="0"/>
        <v>0.16176470588235295</v>
      </c>
      <c r="H50" s="723"/>
    </row>
    <row r="51" spans="1:8" s="12" customFormat="1" ht="12.75" customHeight="1">
      <c r="A51" s="316"/>
      <c r="B51" s="155" t="s">
        <v>249</v>
      </c>
      <c r="C51" s="942"/>
      <c r="D51" s="942"/>
      <c r="E51" s="942">
        <v>7</v>
      </c>
      <c r="F51" s="942">
        <v>7</v>
      </c>
      <c r="G51" s="941">
        <f t="shared" si="0"/>
        <v>1</v>
      </c>
      <c r="H51" s="723"/>
    </row>
    <row r="52" spans="1:8" s="12" customFormat="1" ht="12.75" customHeight="1">
      <c r="A52" s="316"/>
      <c r="B52" s="388" t="s">
        <v>73</v>
      </c>
      <c r="C52" s="942"/>
      <c r="D52" s="942">
        <v>5100</v>
      </c>
      <c r="E52" s="942">
        <f>5100-4030</f>
        <v>1070</v>
      </c>
      <c r="F52" s="942">
        <v>0</v>
      </c>
      <c r="G52" s="941">
        <f t="shared" si="0"/>
        <v>0</v>
      </c>
      <c r="H52" s="723"/>
    </row>
    <row r="53" spans="1:8" s="12" customFormat="1" ht="12.75" customHeight="1">
      <c r="A53" s="56">
        <v>3974</v>
      </c>
      <c r="B53" s="72" t="s">
        <v>664</v>
      </c>
      <c r="C53" s="693">
        <f>C54+C55</f>
        <v>0</v>
      </c>
      <c r="D53" s="693">
        <f>D54+D55</f>
        <v>0</v>
      </c>
      <c r="E53" s="693">
        <f>E54+E55</f>
        <v>0</v>
      </c>
      <c r="F53" s="693">
        <f>F54+F55</f>
        <v>0</v>
      </c>
      <c r="G53" s="695">
        <v>0</v>
      </c>
      <c r="H53" s="441"/>
    </row>
    <row r="54" spans="1:8" s="12" customFormat="1" ht="12.75" customHeight="1">
      <c r="A54" s="56"/>
      <c r="B54" s="155" t="s">
        <v>249</v>
      </c>
      <c r="C54" s="740"/>
      <c r="D54" s="740"/>
      <c r="E54" s="740"/>
      <c r="F54" s="740"/>
      <c r="G54" s="695"/>
      <c r="H54" s="441"/>
    </row>
    <row r="55" spans="1:8" s="12" customFormat="1" ht="12.75" customHeight="1">
      <c r="A55" s="56"/>
      <c r="B55" s="155" t="s">
        <v>73</v>
      </c>
      <c r="C55" s="740"/>
      <c r="D55" s="740"/>
      <c r="E55" s="740"/>
      <c r="F55" s="740"/>
      <c r="G55" s="695"/>
      <c r="H55" s="441"/>
    </row>
    <row r="56" spans="1:8" s="12" customFormat="1" ht="12.75" customHeight="1" thickBot="1">
      <c r="A56" s="56">
        <v>3975</v>
      </c>
      <c r="B56" s="72" t="s">
        <v>550</v>
      </c>
      <c r="C56" s="693">
        <v>10000</v>
      </c>
      <c r="D56" s="693">
        <v>10000</v>
      </c>
      <c r="E56" s="693">
        <v>10000</v>
      </c>
      <c r="F56" s="693">
        <v>10000</v>
      </c>
      <c r="G56" s="695">
        <f t="shared" si="0"/>
        <v>1</v>
      </c>
      <c r="H56" s="441"/>
    </row>
    <row r="57" spans="1:8" s="12" customFormat="1" ht="12.75" customHeight="1" thickBot="1">
      <c r="A57" s="165">
        <v>3970</v>
      </c>
      <c r="B57" s="166" t="s">
        <v>115</v>
      </c>
      <c r="C57" s="606">
        <f>C43+C44+C48+C53+C56</f>
        <v>358970</v>
      </c>
      <c r="D57" s="606">
        <f>D43+D44+D48+D53+D56</f>
        <v>364338</v>
      </c>
      <c r="E57" s="606">
        <f>E43+E44+E48+E53+E56</f>
        <v>364338</v>
      </c>
      <c r="F57" s="606">
        <f>F43+F44+F48+F53+F56</f>
        <v>251115</v>
      </c>
      <c r="G57" s="943">
        <f t="shared" si="0"/>
        <v>0.6892363684271199</v>
      </c>
      <c r="H57" s="449"/>
    </row>
    <row r="58" spans="1:8" s="12" customFormat="1" ht="12.75" customHeight="1">
      <c r="A58" s="167"/>
      <c r="B58" s="168" t="s">
        <v>212</v>
      </c>
      <c r="C58" s="692"/>
      <c r="D58" s="692"/>
      <c r="E58" s="692"/>
      <c r="F58" s="692"/>
      <c r="G58" s="695"/>
      <c r="H58" s="440"/>
    </row>
    <row r="59" spans="1:8" s="12" customFormat="1" ht="12.75" customHeight="1">
      <c r="A59" s="56">
        <v>3989</v>
      </c>
      <c r="B59" s="72" t="s">
        <v>298</v>
      </c>
      <c r="C59" s="497">
        <v>6000</v>
      </c>
      <c r="D59" s="497">
        <v>6000</v>
      </c>
      <c r="E59" s="497">
        <v>6000</v>
      </c>
      <c r="F59" s="497">
        <v>5600</v>
      </c>
      <c r="G59" s="695">
        <f t="shared" si="0"/>
        <v>0.9333333333333333</v>
      </c>
      <c r="H59" s="441" t="s">
        <v>428</v>
      </c>
    </row>
    <row r="60" spans="1:8" s="12" customFormat="1" ht="12.75" customHeight="1">
      <c r="A60" s="57">
        <v>3990</v>
      </c>
      <c r="B60" s="75" t="s">
        <v>256</v>
      </c>
      <c r="C60" s="496">
        <v>1000</v>
      </c>
      <c r="D60" s="496">
        <v>1000</v>
      </c>
      <c r="E60" s="496">
        <v>1000</v>
      </c>
      <c r="F60" s="496">
        <v>1000</v>
      </c>
      <c r="G60" s="695">
        <f t="shared" si="0"/>
        <v>1</v>
      </c>
      <c r="H60" s="451"/>
    </row>
    <row r="61" spans="1:8" s="12" customFormat="1" ht="12.75" customHeight="1">
      <c r="A61" s="57">
        <v>3991</v>
      </c>
      <c r="B61" s="75" t="s">
        <v>295</v>
      </c>
      <c r="C61" s="496">
        <v>4820</v>
      </c>
      <c r="D61" s="496">
        <v>4820</v>
      </c>
      <c r="E61" s="496">
        <v>4820</v>
      </c>
      <c r="F61" s="496">
        <v>4820</v>
      </c>
      <c r="G61" s="695">
        <f t="shared" si="0"/>
        <v>1</v>
      </c>
      <c r="H61" s="451"/>
    </row>
    <row r="62" spans="1:8" s="12" customFormat="1" ht="12.75" customHeight="1">
      <c r="A62" s="57">
        <v>3992</v>
      </c>
      <c r="B62" s="75" t="s">
        <v>257</v>
      </c>
      <c r="C62" s="496">
        <v>1400</v>
      </c>
      <c r="D62" s="496">
        <v>1400</v>
      </c>
      <c r="E62" s="496">
        <v>1400</v>
      </c>
      <c r="F62" s="496">
        <v>1400</v>
      </c>
      <c r="G62" s="695">
        <f t="shared" si="0"/>
        <v>1</v>
      </c>
      <c r="H62" s="451"/>
    </row>
    <row r="63" spans="1:8" s="12" customFormat="1" ht="12.75" customHeight="1">
      <c r="A63" s="57">
        <v>3993</v>
      </c>
      <c r="B63" s="75" t="s">
        <v>258</v>
      </c>
      <c r="C63" s="496">
        <v>900</v>
      </c>
      <c r="D63" s="496">
        <v>900</v>
      </c>
      <c r="E63" s="496">
        <v>900</v>
      </c>
      <c r="F63" s="496">
        <v>900</v>
      </c>
      <c r="G63" s="695">
        <f t="shared" si="0"/>
        <v>1</v>
      </c>
      <c r="H63" s="451"/>
    </row>
    <row r="64" spans="1:8" s="12" customFormat="1" ht="12.75" customHeight="1">
      <c r="A64" s="57">
        <v>3994</v>
      </c>
      <c r="B64" s="75" t="s">
        <v>75</v>
      </c>
      <c r="C64" s="496">
        <v>900</v>
      </c>
      <c r="D64" s="496">
        <v>900</v>
      </c>
      <c r="E64" s="496">
        <v>900</v>
      </c>
      <c r="F64" s="496">
        <v>900</v>
      </c>
      <c r="G64" s="695">
        <f t="shared" si="0"/>
        <v>1</v>
      </c>
      <c r="H64" s="494"/>
    </row>
    <row r="65" spans="1:8" s="12" customFormat="1" ht="12.75" customHeight="1">
      <c r="A65" s="57">
        <v>3995</v>
      </c>
      <c r="B65" s="75" t="s">
        <v>76</v>
      </c>
      <c r="C65" s="496">
        <v>900</v>
      </c>
      <c r="D65" s="496">
        <v>900</v>
      </c>
      <c r="E65" s="496">
        <v>900</v>
      </c>
      <c r="F65" s="496">
        <v>900</v>
      </c>
      <c r="G65" s="695">
        <f t="shared" si="0"/>
        <v>1</v>
      </c>
      <c r="H65" s="494"/>
    </row>
    <row r="66" spans="1:8" s="12" customFormat="1" ht="12.75" customHeight="1">
      <c r="A66" s="57">
        <v>3997</v>
      </c>
      <c r="B66" s="75" t="s">
        <v>77</v>
      </c>
      <c r="C66" s="496">
        <v>900</v>
      </c>
      <c r="D66" s="496">
        <v>900</v>
      </c>
      <c r="E66" s="496">
        <v>900</v>
      </c>
      <c r="F66" s="496">
        <v>900</v>
      </c>
      <c r="G66" s="695">
        <f t="shared" si="0"/>
        <v>1</v>
      </c>
      <c r="H66" s="451"/>
    </row>
    <row r="67" spans="1:8" s="12" customFormat="1" ht="12.75" customHeight="1">
      <c r="A67" s="57">
        <v>3998</v>
      </c>
      <c r="B67" s="75" t="s">
        <v>78</v>
      </c>
      <c r="C67" s="496">
        <v>900</v>
      </c>
      <c r="D67" s="496">
        <v>900</v>
      </c>
      <c r="E67" s="496">
        <v>900</v>
      </c>
      <c r="F67" s="496">
        <v>900</v>
      </c>
      <c r="G67" s="695">
        <f t="shared" si="0"/>
        <v>1</v>
      </c>
      <c r="H67" s="451"/>
    </row>
    <row r="68" spans="1:8" s="12" customFormat="1" ht="12.75" customHeight="1" thickBot="1">
      <c r="A68" s="89">
        <v>3999</v>
      </c>
      <c r="B68" s="75" t="s">
        <v>79</v>
      </c>
      <c r="C68" s="496">
        <v>1000</v>
      </c>
      <c r="D68" s="496">
        <v>1000</v>
      </c>
      <c r="E68" s="496">
        <v>1000</v>
      </c>
      <c r="F68" s="496">
        <v>1000</v>
      </c>
      <c r="G68" s="695">
        <f t="shared" si="0"/>
        <v>1</v>
      </c>
      <c r="H68" s="451"/>
    </row>
    <row r="69" spans="1:8" s="12" customFormat="1" ht="12.75" customHeight="1" thickBot="1">
      <c r="A69" s="55"/>
      <c r="B69" s="32" t="s">
        <v>115</v>
      </c>
      <c r="C69" s="604">
        <f>SUM(C59:C68)</f>
        <v>18720</v>
      </c>
      <c r="D69" s="604">
        <f>SUM(D59:D68)</f>
        <v>18720</v>
      </c>
      <c r="E69" s="604">
        <f>SUM(E59:E68)</f>
        <v>18720</v>
      </c>
      <c r="F69" s="604">
        <f>SUM(F59:F68)</f>
        <v>18320</v>
      </c>
      <c r="G69" s="943">
        <f t="shared" si="0"/>
        <v>0.9786324786324786</v>
      </c>
      <c r="H69" s="449"/>
    </row>
    <row r="70" spans="1:8" s="12" customFormat="1" ht="12.75" customHeight="1" thickBot="1">
      <c r="A70" s="55">
        <v>3900</v>
      </c>
      <c r="B70" s="32" t="s">
        <v>109</v>
      </c>
      <c r="C70" s="624">
        <f>C41+C26+C11+C32+C57+C69</f>
        <v>1538290</v>
      </c>
      <c r="D70" s="624">
        <f>D41+D26+D11+D32+D57+D69</f>
        <v>1657749</v>
      </c>
      <c r="E70" s="624">
        <f>E41+E26+E11+E32+E57+E69</f>
        <v>1657749</v>
      </c>
      <c r="F70" s="624">
        <f>F41+F26+F11+F32+F57+F69</f>
        <v>1068205</v>
      </c>
      <c r="G70" s="697">
        <f t="shared" si="0"/>
        <v>0.6443707702432636</v>
      </c>
      <c r="H70" s="449"/>
    </row>
    <row r="71" spans="1:9" s="12" customFormat="1" ht="12.75" customHeight="1">
      <c r="A71" s="42"/>
      <c r="B71" s="72" t="s">
        <v>131</v>
      </c>
      <c r="C71" s="496">
        <f>SUM(C36)+C49</f>
        <v>350</v>
      </c>
      <c r="D71" s="496">
        <f>SUM(D36)+D49</f>
        <v>441</v>
      </c>
      <c r="E71" s="496">
        <f>SUM(E36)+E49</f>
        <v>3997</v>
      </c>
      <c r="F71" s="496">
        <f>SUM(F36)+F49</f>
        <v>617</v>
      </c>
      <c r="G71" s="695">
        <f t="shared" si="0"/>
        <v>0.15436577433074805</v>
      </c>
      <c r="H71" s="445"/>
      <c r="I71" s="26"/>
    </row>
    <row r="72" spans="1:8" s="12" customFormat="1" ht="12.75" customHeight="1">
      <c r="A72" s="42"/>
      <c r="B72" s="22" t="s">
        <v>82</v>
      </c>
      <c r="C72" s="496">
        <f>SUM(C37)+C50</f>
        <v>150</v>
      </c>
      <c r="D72" s="496">
        <f>SUM(D37)+D50</f>
        <v>227</v>
      </c>
      <c r="E72" s="496">
        <f>SUM(E37)+E50+E45</f>
        <v>699</v>
      </c>
      <c r="F72" s="496">
        <f>SUM(F37)+F50+F45</f>
        <v>88</v>
      </c>
      <c r="G72" s="695">
        <f t="shared" si="0"/>
        <v>0.12589413447782546</v>
      </c>
      <c r="H72" s="445"/>
    </row>
    <row r="73" spans="1:8" s="12" customFormat="1" ht="12.75" customHeight="1">
      <c r="A73" s="42"/>
      <c r="B73" s="72" t="s">
        <v>243</v>
      </c>
      <c r="C73" s="496">
        <f>SUM(C22+C54)</f>
        <v>10000</v>
      </c>
      <c r="D73" s="496">
        <f>SUM(D22+D54)</f>
        <v>11114</v>
      </c>
      <c r="E73" s="496">
        <f>SUM(E22+E54)+E46+E51</f>
        <v>11153</v>
      </c>
      <c r="F73" s="496">
        <f>SUM(F22+F54)+F46+F51</f>
        <v>4113</v>
      </c>
      <c r="G73" s="695">
        <f t="shared" si="0"/>
        <v>0.36877970052900566</v>
      </c>
      <c r="H73" s="445"/>
    </row>
    <row r="74" spans="1:8" s="12" customFormat="1" ht="12.75" customHeight="1">
      <c r="A74" s="41"/>
      <c r="B74" s="22" t="s">
        <v>241</v>
      </c>
      <c r="C74" s="605">
        <f>SUM(C11+C26+C32+C41+C57+C69)-C78-C71-C72-C73-C77</f>
        <v>1314990</v>
      </c>
      <c r="D74" s="605">
        <f>SUM(D11+D26+D32+D41+D57+D69)-D78-D71-D72-D73-D77</f>
        <v>1345144</v>
      </c>
      <c r="E74" s="605">
        <f>SUM(E11+E26+E32+E41+E57+E69)-E78-E71-E72-E73-E77</f>
        <v>1341077</v>
      </c>
      <c r="F74" s="605">
        <f>SUM(F11+F26+F32+F41+F57+F69)-F78-F71-F72-F73-F77</f>
        <v>983305</v>
      </c>
      <c r="G74" s="695">
        <f t="shared" si="0"/>
        <v>0.733220389284135</v>
      </c>
      <c r="H74" s="445"/>
    </row>
    <row r="75" spans="1:8" s="12" customFormat="1" ht="12.75" customHeight="1">
      <c r="A75" s="41"/>
      <c r="B75" s="600" t="s">
        <v>472</v>
      </c>
      <c r="C75" s="583">
        <f>C14+C16+C32+C69</f>
        <v>45720</v>
      </c>
      <c r="D75" s="583">
        <f>D14+D16+D32+D69</f>
        <v>62874</v>
      </c>
      <c r="E75" s="583">
        <f>E14+E16+E32+E69</f>
        <v>62874</v>
      </c>
      <c r="F75" s="583">
        <f>F14+F16+F32+F69</f>
        <v>52274</v>
      </c>
      <c r="G75" s="695">
        <f aca="true" t="shared" si="1" ref="G75:G79">F75/E75</f>
        <v>0.8314088494449215</v>
      </c>
      <c r="H75" s="445"/>
    </row>
    <row r="76" spans="1:9" s="12" customFormat="1" ht="12.75" customHeight="1">
      <c r="A76" s="41"/>
      <c r="B76" s="600" t="s">
        <v>473</v>
      </c>
      <c r="C76" s="583">
        <f>C74-C75</f>
        <v>1269270</v>
      </c>
      <c r="D76" s="583">
        <f>D74-D75</f>
        <v>1282270</v>
      </c>
      <c r="E76" s="583">
        <f>E74-E75</f>
        <v>1278203</v>
      </c>
      <c r="F76" s="583">
        <f>F74-F75</f>
        <v>931031</v>
      </c>
      <c r="G76" s="695">
        <f t="shared" si="1"/>
        <v>0.7283905608107633</v>
      </c>
      <c r="H76" s="445"/>
      <c r="I76" s="26"/>
    </row>
    <row r="77" spans="1:8" s="12" customFormat="1" ht="12.75" customHeight="1">
      <c r="A77" s="41"/>
      <c r="B77" s="22" t="s">
        <v>10</v>
      </c>
      <c r="C77" s="605">
        <f>SUM(C24)</f>
        <v>8500</v>
      </c>
      <c r="D77" s="605">
        <f>SUM(D24)</f>
        <v>8500</v>
      </c>
      <c r="E77" s="605">
        <f>SUM(E24)</f>
        <v>8500</v>
      </c>
      <c r="F77" s="605">
        <f>SUM(F24)</f>
        <v>0</v>
      </c>
      <c r="G77" s="695">
        <f t="shared" si="1"/>
        <v>0</v>
      </c>
      <c r="H77" s="445"/>
    </row>
    <row r="78" spans="1:8" s="12" customFormat="1" ht="12.75" customHeight="1">
      <c r="A78" s="41"/>
      <c r="B78" s="79" t="s">
        <v>471</v>
      </c>
      <c r="C78" s="605">
        <f>SUM(C10+C25+C39+C19+C16)</f>
        <v>204300</v>
      </c>
      <c r="D78" s="605">
        <f>SUM(D10+D25+D39+D19+D16)</f>
        <v>292323</v>
      </c>
      <c r="E78" s="605">
        <f>SUM(E10+E25+E39+E19+E16)</f>
        <v>292323</v>
      </c>
      <c r="F78" s="605">
        <f>SUM(F10+F25+F39+F19+F16)</f>
        <v>80082</v>
      </c>
      <c r="G78" s="698">
        <f t="shared" si="1"/>
        <v>0.2739503904927084</v>
      </c>
      <c r="H78" s="452"/>
    </row>
    <row r="79" spans="1:8" s="12" customFormat="1" ht="12.75" customHeight="1">
      <c r="A79" s="175"/>
      <c r="B79" s="176" t="s">
        <v>393</v>
      </c>
      <c r="C79" s="513">
        <f>SUM(C11+C26+C32+C41+C57+C69)</f>
        <v>1538290</v>
      </c>
      <c r="D79" s="513">
        <f>SUM(D11+D26+D32+D41+D57+D69)</f>
        <v>1657749</v>
      </c>
      <c r="E79" s="513">
        <f>SUM(E11+E26+E32+E41+E57+E69)</f>
        <v>1657749</v>
      </c>
      <c r="F79" s="513">
        <f>SUM(F11+F26+F32+F41+F57+F69)</f>
        <v>1068205</v>
      </c>
      <c r="G79" s="893">
        <f t="shared" si="1"/>
        <v>0.6443707702432636</v>
      </c>
      <c r="H79" s="452"/>
    </row>
    <row r="80" spans="1:8" ht="12.95" customHeight="1">
      <c r="A80" s="36"/>
      <c r="B80" s="37"/>
      <c r="C80" s="16"/>
      <c r="D80" s="16"/>
      <c r="E80" s="16"/>
      <c r="F80" s="16"/>
      <c r="G80" s="16"/>
      <c r="H80" s="37"/>
    </row>
    <row r="81" ht="12.95" customHeight="1">
      <c r="A81" s="50"/>
    </row>
  </sheetData>
  <mergeCells count="7">
    <mergeCell ref="A3:H3"/>
    <mergeCell ref="A2:H2"/>
    <mergeCell ref="G5:G7"/>
    <mergeCell ref="C5:C7"/>
    <mergeCell ref="D5:D7"/>
    <mergeCell ref="E5:E7"/>
    <mergeCell ref="F5:F7"/>
  </mergeCells>
  <printOptions horizontalCentered="1"/>
  <pageMargins left="0" right="0" top="0.3937007874015748" bottom="0.3937007874015748" header="0.5905511811023623" footer="0"/>
  <pageSetup firstPageNumber="38" useFirstPageNumber="1" horizontalDpi="300" verticalDpi="300" orientation="landscape" paperSize="9" scale="65" r:id="rId1"/>
  <headerFooter alignWithMargins="0">
    <oddFooter>&amp;C&amp;P. oldal</oddFooter>
  </headerFooter>
  <rowBreaks count="1" manualBreakCount="1">
    <brk id="6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 topLeftCell="A52">
      <selection activeCell="F70" sqref="F70"/>
    </sheetView>
  </sheetViews>
  <sheetFormatPr defaultColWidth="9.125" defaultRowHeight="12.75" customHeight="1"/>
  <cols>
    <col min="1" max="1" width="5.875" style="257" customWidth="1"/>
    <col min="2" max="2" width="66.125" style="256" customWidth="1"/>
    <col min="3" max="6" width="13.25390625" style="783" customWidth="1"/>
    <col min="7" max="7" width="9.625" style="783" customWidth="1"/>
    <col min="8" max="8" width="52.125" style="256" customWidth="1"/>
    <col min="9" max="11" width="9.125" style="256" customWidth="1"/>
    <col min="12" max="16384" width="9.125" style="37" customWidth="1"/>
  </cols>
  <sheetData>
    <row r="1" spans="1:11" s="15" customFormat="1" ht="12.95" customHeight="1">
      <c r="A1" s="1150" t="s">
        <v>110</v>
      </c>
      <c r="B1" s="1142"/>
      <c r="C1" s="1142"/>
      <c r="D1" s="1142"/>
      <c r="E1" s="1142"/>
      <c r="F1" s="1142"/>
      <c r="G1" s="1142"/>
      <c r="H1" s="1142"/>
      <c r="I1" s="769"/>
      <c r="J1" s="769"/>
      <c r="K1" s="769"/>
    </row>
    <row r="2" spans="1:11" s="15" customFormat="1" ht="12.95" customHeight="1">
      <c r="A2" s="1141" t="s">
        <v>618</v>
      </c>
      <c r="B2" s="1142"/>
      <c r="C2" s="1142"/>
      <c r="D2" s="1142"/>
      <c r="E2" s="1142"/>
      <c r="F2" s="1142"/>
      <c r="G2" s="1142"/>
      <c r="H2" s="1142"/>
      <c r="I2" s="769"/>
      <c r="J2" s="769"/>
      <c r="K2" s="769"/>
    </row>
    <row r="3" spans="3:8" ht="10.5" customHeight="1">
      <c r="C3" s="374"/>
      <c r="D3" s="374"/>
      <c r="E3" s="374"/>
      <c r="F3" s="374"/>
      <c r="G3" s="374"/>
      <c r="H3" s="375" t="s">
        <v>140</v>
      </c>
    </row>
    <row r="4" spans="1:8" ht="12.95" customHeight="1">
      <c r="A4" s="366"/>
      <c r="B4" s="376"/>
      <c r="C4" s="1098" t="s">
        <v>670</v>
      </c>
      <c r="D4" s="1098" t="s">
        <v>718</v>
      </c>
      <c r="E4" s="1098" t="s">
        <v>727</v>
      </c>
      <c r="F4" s="1098" t="s">
        <v>728</v>
      </c>
      <c r="G4" s="1098" t="s">
        <v>730</v>
      </c>
      <c r="H4" s="377"/>
    </row>
    <row r="5" spans="1:8" ht="12" customHeight="1">
      <c r="A5" s="262" t="s">
        <v>229</v>
      </c>
      <c r="B5" s="378" t="s">
        <v>107</v>
      </c>
      <c r="C5" s="1145"/>
      <c r="D5" s="1145"/>
      <c r="E5" s="1145"/>
      <c r="F5" s="1145"/>
      <c r="G5" s="1151"/>
      <c r="H5" s="294" t="s">
        <v>485</v>
      </c>
    </row>
    <row r="6" spans="1:8" ht="12.75" customHeight="1" thickBot="1">
      <c r="A6" s="379"/>
      <c r="B6" s="380"/>
      <c r="C6" s="1146"/>
      <c r="D6" s="1146"/>
      <c r="E6" s="1146"/>
      <c r="F6" s="1146"/>
      <c r="G6" s="1152"/>
      <c r="H6" s="281" t="s">
        <v>108</v>
      </c>
    </row>
    <row r="7" spans="1:8" ht="12.95" customHeight="1">
      <c r="A7" s="381" t="s">
        <v>125</v>
      </c>
      <c r="B7" s="267" t="s">
        <v>126</v>
      </c>
      <c r="C7" s="382" t="s">
        <v>477</v>
      </c>
      <c r="D7" s="382" t="s">
        <v>478</v>
      </c>
      <c r="E7" s="382" t="s">
        <v>491</v>
      </c>
      <c r="F7" s="382" t="s">
        <v>492</v>
      </c>
      <c r="G7" s="382" t="s">
        <v>402</v>
      </c>
      <c r="H7" s="382" t="s">
        <v>403</v>
      </c>
    </row>
    <row r="8" spans="1:8" ht="16.5" customHeight="1">
      <c r="A8" s="338"/>
      <c r="B8" s="383" t="s">
        <v>218</v>
      </c>
      <c r="C8" s="298"/>
      <c r="D8" s="298"/>
      <c r="E8" s="298"/>
      <c r="F8" s="298"/>
      <c r="G8" s="298"/>
      <c r="H8" s="384"/>
    </row>
    <row r="9" spans="1:8" ht="12">
      <c r="A9" s="262"/>
      <c r="B9" s="385" t="s">
        <v>210</v>
      </c>
      <c r="C9" s="386"/>
      <c r="D9" s="386"/>
      <c r="E9" s="386"/>
      <c r="F9" s="386"/>
      <c r="G9" s="386"/>
      <c r="H9" s="276"/>
    </row>
    <row r="10" spans="1:8" ht="12">
      <c r="A10" s="399">
        <v>4012</v>
      </c>
      <c r="B10" s="467" t="s">
        <v>396</v>
      </c>
      <c r="C10" s="770">
        <v>29982</v>
      </c>
      <c r="D10" s="770">
        <f>29982+50000</f>
        <v>79982</v>
      </c>
      <c r="E10" s="770">
        <f>29982+50000</f>
        <v>79982</v>
      </c>
      <c r="F10" s="770">
        <v>29982</v>
      </c>
      <c r="G10" s="212">
        <f>F10/E10</f>
        <v>0.37485934335225424</v>
      </c>
      <c r="H10" s="273" t="s">
        <v>443</v>
      </c>
    </row>
    <row r="11" spans="1:8" ht="12">
      <c r="A11" s="399">
        <v>4013</v>
      </c>
      <c r="B11" s="467" t="s">
        <v>552</v>
      </c>
      <c r="C11" s="770">
        <v>250664</v>
      </c>
      <c r="D11" s="770">
        <v>250664</v>
      </c>
      <c r="E11" s="770">
        <f>E12+E13</f>
        <v>250664</v>
      </c>
      <c r="F11" s="770">
        <f>F12+F13</f>
        <v>90404</v>
      </c>
      <c r="G11" s="212">
        <f aca="true" t="shared" si="0" ref="G11:G77">F11/E11</f>
        <v>0.3606580921073628</v>
      </c>
      <c r="H11" s="273"/>
    </row>
    <row r="12" spans="1:8" ht="12">
      <c r="A12" s="399"/>
      <c r="B12" s="764" t="s">
        <v>249</v>
      </c>
      <c r="C12" s="770"/>
      <c r="D12" s="770"/>
      <c r="E12" s="774">
        <v>284</v>
      </c>
      <c r="F12" s="774">
        <v>0</v>
      </c>
      <c r="G12" s="212">
        <f t="shared" si="0"/>
        <v>0</v>
      </c>
      <c r="H12" s="273"/>
    </row>
    <row r="13" spans="1:8" ht="12">
      <c r="A13" s="399"/>
      <c r="B13" s="628" t="s">
        <v>200</v>
      </c>
      <c r="C13" s="770"/>
      <c r="D13" s="770"/>
      <c r="E13" s="774">
        <f>250664-284</f>
        <v>250380</v>
      </c>
      <c r="F13" s="774">
        <v>90404</v>
      </c>
      <c r="G13" s="212">
        <f t="shared" si="0"/>
        <v>0.3610671778896078</v>
      </c>
      <c r="H13" s="273"/>
    </row>
    <row r="14" spans="1:8" ht="12">
      <c r="A14" s="387">
        <v>4014</v>
      </c>
      <c r="B14" s="210" t="s">
        <v>395</v>
      </c>
      <c r="C14" s="770">
        <f>20000+118926</f>
        <v>138926</v>
      </c>
      <c r="D14" s="770">
        <f>20000+118926+114000</f>
        <v>252926</v>
      </c>
      <c r="E14" s="770">
        <f>20000+118926+114000</f>
        <v>252926</v>
      </c>
      <c r="F14" s="770">
        <v>118636</v>
      </c>
      <c r="G14" s="212">
        <f t="shared" si="0"/>
        <v>0.46905418976301366</v>
      </c>
      <c r="H14" s="486" t="s">
        <v>454</v>
      </c>
    </row>
    <row r="15" spans="1:8" ht="12">
      <c r="A15" s="387"/>
      <c r="B15" s="628" t="s">
        <v>249</v>
      </c>
      <c r="C15" s="774"/>
      <c r="D15" s="774"/>
      <c r="E15" s="774"/>
      <c r="F15" s="774"/>
      <c r="G15" s="212"/>
      <c r="H15" s="486"/>
    </row>
    <row r="16" spans="1:8" ht="12">
      <c r="A16" s="387"/>
      <c r="B16" s="628" t="s">
        <v>200</v>
      </c>
      <c r="C16" s="774"/>
      <c r="D16" s="774"/>
      <c r="E16" s="774"/>
      <c r="F16" s="774"/>
      <c r="G16" s="212"/>
      <c r="H16" s="486"/>
    </row>
    <row r="17" spans="1:8" ht="12">
      <c r="A17" s="387">
        <v>4015</v>
      </c>
      <c r="B17" s="210" t="s">
        <v>554</v>
      </c>
      <c r="C17" s="770">
        <v>74920</v>
      </c>
      <c r="D17" s="770">
        <f>74920+140000</f>
        <v>214920</v>
      </c>
      <c r="E17" s="770">
        <f>74920+140000</f>
        <v>214920</v>
      </c>
      <c r="F17" s="770">
        <v>73149</v>
      </c>
      <c r="G17" s="212">
        <f t="shared" si="0"/>
        <v>0.3403545505304299</v>
      </c>
      <c r="H17" s="486"/>
    </row>
    <row r="18" spans="1:8" ht="12">
      <c r="A18" s="387">
        <v>4018</v>
      </c>
      <c r="B18" s="210" t="s">
        <v>494</v>
      </c>
      <c r="C18" s="770">
        <v>75785</v>
      </c>
      <c r="D18" s="770">
        <f>75785+80000</f>
        <v>155785</v>
      </c>
      <c r="E18" s="770">
        <f>75785+80000</f>
        <v>155785</v>
      </c>
      <c r="F18" s="770">
        <v>34583</v>
      </c>
      <c r="G18" s="212">
        <f t="shared" si="0"/>
        <v>0.22199184773887087</v>
      </c>
      <c r="H18" s="579"/>
    </row>
    <row r="19" spans="1:8" ht="12">
      <c r="A19" s="387">
        <v>4019</v>
      </c>
      <c r="B19" s="210" t="s">
        <v>463</v>
      </c>
      <c r="C19" s="770">
        <v>60000</v>
      </c>
      <c r="D19" s="770">
        <v>60000</v>
      </c>
      <c r="E19" s="770">
        <v>60000</v>
      </c>
      <c r="F19" s="770">
        <v>0</v>
      </c>
      <c r="G19" s="212">
        <f t="shared" si="0"/>
        <v>0</v>
      </c>
      <c r="H19" s="579"/>
    </row>
    <row r="20" spans="1:8" ht="12">
      <c r="A20" s="387">
        <v>4020</v>
      </c>
      <c r="B20" s="210" t="s">
        <v>512</v>
      </c>
      <c r="C20" s="770">
        <v>20000</v>
      </c>
      <c r="D20" s="770">
        <f>D21+D22</f>
        <v>66667</v>
      </c>
      <c r="E20" s="770">
        <f>E21+E22</f>
        <v>66667</v>
      </c>
      <c r="F20" s="770">
        <f>F21+F22</f>
        <v>4667</v>
      </c>
      <c r="G20" s="212">
        <f t="shared" si="0"/>
        <v>0.07000464997675011</v>
      </c>
      <c r="H20" s="579"/>
    </row>
    <row r="21" spans="1:8" ht="12">
      <c r="A21" s="387"/>
      <c r="B21" s="629" t="s">
        <v>199</v>
      </c>
      <c r="C21" s="770"/>
      <c r="D21" s="774">
        <v>6667</v>
      </c>
      <c r="E21" s="774">
        <v>6667</v>
      </c>
      <c r="F21" s="774">
        <v>4667</v>
      </c>
      <c r="G21" s="978">
        <f t="shared" si="0"/>
        <v>0.7000149992500375</v>
      </c>
      <c r="H21" s="579"/>
    </row>
    <row r="22" spans="1:8" ht="12">
      <c r="A22" s="387"/>
      <c r="B22" s="628" t="s">
        <v>200</v>
      </c>
      <c r="C22" s="770"/>
      <c r="D22" s="774">
        <f>20000+40000</f>
        <v>60000</v>
      </c>
      <c r="E22" s="774">
        <f>20000+40000</f>
        <v>60000</v>
      </c>
      <c r="F22" s="774">
        <v>0</v>
      </c>
      <c r="G22" s="978">
        <f t="shared" si="0"/>
        <v>0</v>
      </c>
      <c r="H22" s="579"/>
    </row>
    <row r="23" spans="1:8" ht="12">
      <c r="A23" s="387">
        <v>4021</v>
      </c>
      <c r="B23" s="210" t="s">
        <v>519</v>
      </c>
      <c r="C23" s="770">
        <f>25000+25000+45099</f>
        <v>95099</v>
      </c>
      <c r="D23" s="770">
        <f>25000+25000+45099</f>
        <v>95099</v>
      </c>
      <c r="E23" s="770">
        <f>E24+E25</f>
        <v>95099</v>
      </c>
      <c r="F23" s="770">
        <f>F24+F25</f>
        <v>17440</v>
      </c>
      <c r="G23" s="212">
        <f t="shared" si="0"/>
        <v>0.18338783793730742</v>
      </c>
      <c r="H23" s="579"/>
    </row>
    <row r="24" spans="1:8" ht="12">
      <c r="A24" s="387"/>
      <c r="B24" s="629" t="s">
        <v>199</v>
      </c>
      <c r="C24" s="774"/>
      <c r="D24" s="774"/>
      <c r="E24" s="774">
        <v>25238</v>
      </c>
      <c r="F24" s="774">
        <v>10972</v>
      </c>
      <c r="G24" s="212">
        <f t="shared" si="0"/>
        <v>0.434741263174578</v>
      </c>
      <c r="H24" s="579"/>
    </row>
    <row r="25" spans="1:8" ht="12">
      <c r="A25" s="387"/>
      <c r="B25" s="628" t="s">
        <v>200</v>
      </c>
      <c r="C25" s="774"/>
      <c r="D25" s="774"/>
      <c r="E25" s="774">
        <f>95099-25238</f>
        <v>69861</v>
      </c>
      <c r="F25" s="774">
        <v>6468</v>
      </c>
      <c r="G25" s="212">
        <f t="shared" si="0"/>
        <v>0.09258384506376949</v>
      </c>
      <c r="H25" s="579"/>
    </row>
    <row r="26" spans="1:8" ht="12">
      <c r="A26" s="387">
        <v>4022</v>
      </c>
      <c r="B26" s="395" t="s">
        <v>687</v>
      </c>
      <c r="C26" s="774"/>
      <c r="D26" s="770">
        <v>30000</v>
      </c>
      <c r="E26" s="770">
        <v>30000</v>
      </c>
      <c r="F26" s="770">
        <v>0</v>
      </c>
      <c r="G26" s="719">
        <f t="shared" si="0"/>
        <v>0</v>
      </c>
      <c r="H26" s="579"/>
    </row>
    <row r="27" spans="1:11" s="33" customFormat="1" ht="12">
      <c r="A27" s="338">
        <v>4010</v>
      </c>
      <c r="B27" s="389" t="s">
        <v>211</v>
      </c>
      <c r="C27" s="771">
        <f>C10+C11+C14+C17+C18+C20+C23+C19</f>
        <v>745376</v>
      </c>
      <c r="D27" s="771">
        <f>D10+D11+D14+D17+D18+D20+D23+D19+D26</f>
        <v>1206043</v>
      </c>
      <c r="E27" s="771">
        <f>E10+E11+E14+E17+E18+E20+E23+E19+E26</f>
        <v>1206043</v>
      </c>
      <c r="F27" s="771">
        <f>F10+F11+F14+F17+F18+F20+F23+F19+F26</f>
        <v>368861</v>
      </c>
      <c r="G27" s="720">
        <f t="shared" si="0"/>
        <v>0.30584398732051843</v>
      </c>
      <c r="H27" s="390"/>
      <c r="I27" s="772"/>
      <c r="J27" s="772"/>
      <c r="K27" s="772"/>
    </row>
    <row r="28" spans="1:11" s="33" customFormat="1" ht="12.75">
      <c r="A28" s="65"/>
      <c r="B28" s="393" t="s">
        <v>215</v>
      </c>
      <c r="C28" s="773"/>
      <c r="D28" s="773"/>
      <c r="E28" s="773"/>
      <c r="F28" s="773"/>
      <c r="G28" s="212"/>
      <c r="H28" s="394"/>
      <c r="I28" s="772"/>
      <c r="J28" s="772"/>
      <c r="K28" s="772"/>
    </row>
    <row r="29" spans="1:11" s="33" customFormat="1" ht="12">
      <c r="A29" s="387">
        <v>4111</v>
      </c>
      <c r="B29" s="210" t="s">
        <v>608</v>
      </c>
      <c r="C29" s="211">
        <v>344064</v>
      </c>
      <c r="D29" s="211">
        <f>SUM(D30:D31)</f>
        <v>194064</v>
      </c>
      <c r="E29" s="211">
        <f>SUM(E30:E31)</f>
        <v>122979</v>
      </c>
      <c r="F29" s="211">
        <f>SUM(F30:F31)</f>
        <v>97265</v>
      </c>
      <c r="G29" s="212">
        <f t="shared" si="0"/>
        <v>0.7909073906927199</v>
      </c>
      <c r="H29" s="394"/>
      <c r="I29" s="772"/>
      <c r="J29" s="772"/>
      <c r="K29" s="772"/>
    </row>
    <row r="30" spans="1:11" s="33" customFormat="1" ht="12">
      <c r="A30" s="387"/>
      <c r="B30" s="764" t="s">
        <v>249</v>
      </c>
      <c r="C30" s="764"/>
      <c r="D30" s="764">
        <v>94979</v>
      </c>
      <c r="E30" s="764">
        <f>94979+28000</f>
        <v>122979</v>
      </c>
      <c r="F30" s="764">
        <v>97265</v>
      </c>
      <c r="G30" s="212">
        <f t="shared" si="0"/>
        <v>0.7909073906927199</v>
      </c>
      <c r="H30" s="394"/>
      <c r="I30" s="772"/>
      <c r="J30" s="772"/>
      <c r="K30" s="772"/>
    </row>
    <row r="31" spans="1:11" s="33" customFormat="1" ht="12.75">
      <c r="A31" s="387"/>
      <c r="B31" s="764" t="s">
        <v>200</v>
      </c>
      <c r="C31" s="888"/>
      <c r="D31" s="764">
        <f>249085-150000</f>
        <v>99085</v>
      </c>
      <c r="E31" s="764"/>
      <c r="F31" s="764">
        <v>0</v>
      </c>
      <c r="G31" s="212"/>
      <c r="H31" s="394"/>
      <c r="I31" s="772"/>
      <c r="J31" s="772"/>
      <c r="K31" s="772"/>
    </row>
    <row r="32" spans="1:11" s="33" customFormat="1" ht="12">
      <c r="A32" s="387">
        <v>4114</v>
      </c>
      <c r="B32" s="395" t="s">
        <v>590</v>
      </c>
      <c r="C32" s="211">
        <v>52000</v>
      </c>
      <c r="D32" s="211">
        <f>SUM(52000+50000)</f>
        <v>102000</v>
      </c>
      <c r="E32" s="211">
        <f>SUM(52000+50000)</f>
        <v>102000</v>
      </c>
      <c r="F32" s="211">
        <v>50771</v>
      </c>
      <c r="G32" s="212">
        <f t="shared" si="0"/>
        <v>0.4977549019607843</v>
      </c>
      <c r="H32" s="273"/>
      <c r="I32" s="772"/>
      <c r="J32" s="772"/>
      <c r="K32" s="772"/>
    </row>
    <row r="33" spans="1:11" s="33" customFormat="1" ht="12">
      <c r="A33" s="387">
        <v>4120</v>
      </c>
      <c r="B33" s="210" t="s">
        <v>193</v>
      </c>
      <c r="C33" s="770"/>
      <c r="D33" s="770">
        <f>D34+D35+D36+D37+D38</f>
        <v>2058</v>
      </c>
      <c r="E33" s="770">
        <f>E34+E35+E36+E37+E38</f>
        <v>2058</v>
      </c>
      <c r="F33" s="770">
        <f>F34+F35+F36+F37+F38</f>
        <v>0</v>
      </c>
      <c r="G33" s="212">
        <f t="shared" si="0"/>
        <v>0</v>
      </c>
      <c r="H33" s="388"/>
      <c r="I33" s="772"/>
      <c r="J33" s="772"/>
      <c r="K33" s="772"/>
    </row>
    <row r="34" spans="1:11" s="33" customFormat="1" ht="12">
      <c r="A34" s="387"/>
      <c r="B34" s="764" t="s">
        <v>248</v>
      </c>
      <c r="C34" s="774"/>
      <c r="D34" s="774"/>
      <c r="E34" s="774"/>
      <c r="F34" s="774"/>
      <c r="G34" s="212"/>
      <c r="H34" s="388"/>
      <c r="I34" s="772"/>
      <c r="J34" s="772"/>
      <c r="K34" s="772"/>
    </row>
    <row r="35" spans="1:11" s="33" customFormat="1" ht="12">
      <c r="A35" s="387"/>
      <c r="B35" s="764" t="s">
        <v>322</v>
      </c>
      <c r="C35" s="774"/>
      <c r="D35" s="774"/>
      <c r="E35" s="774"/>
      <c r="F35" s="774"/>
      <c r="G35" s="212"/>
      <c r="H35" s="388"/>
      <c r="I35" s="772"/>
      <c r="J35" s="772"/>
      <c r="K35" s="772"/>
    </row>
    <row r="36" spans="1:11" s="33" customFormat="1" ht="12">
      <c r="A36" s="387"/>
      <c r="B36" s="628" t="s">
        <v>249</v>
      </c>
      <c r="C36" s="774"/>
      <c r="D36" s="774">
        <v>2058</v>
      </c>
      <c r="E36" s="774">
        <v>2058</v>
      </c>
      <c r="F36" s="774">
        <v>0</v>
      </c>
      <c r="G36" s="978">
        <f t="shared" si="0"/>
        <v>0</v>
      </c>
      <c r="H36" s="388"/>
      <c r="I36" s="772"/>
      <c r="J36" s="772"/>
      <c r="K36" s="772"/>
    </row>
    <row r="37" spans="1:11" s="33" customFormat="1" ht="11.25" customHeight="1">
      <c r="A37" s="387"/>
      <c r="B37" s="629" t="s">
        <v>199</v>
      </c>
      <c r="C37" s="774"/>
      <c r="D37" s="774"/>
      <c r="E37" s="774"/>
      <c r="F37" s="774"/>
      <c r="G37" s="212"/>
      <c r="H37" s="388"/>
      <c r="I37" s="772"/>
      <c r="J37" s="772"/>
      <c r="K37" s="772"/>
    </row>
    <row r="38" spans="1:11" s="33" customFormat="1" ht="12">
      <c r="A38" s="387"/>
      <c r="B38" s="628" t="s">
        <v>200</v>
      </c>
      <c r="C38" s="774"/>
      <c r="D38" s="774"/>
      <c r="E38" s="774"/>
      <c r="F38" s="774"/>
      <c r="G38" s="212"/>
      <c r="H38" s="388"/>
      <c r="I38" s="772"/>
      <c r="J38" s="772"/>
      <c r="K38" s="772"/>
    </row>
    <row r="39" spans="1:11" s="30" customFormat="1" ht="12">
      <c r="A39" s="273">
        <v>4121</v>
      </c>
      <c r="B39" s="396" t="s">
        <v>662</v>
      </c>
      <c r="C39" s="765">
        <v>59525</v>
      </c>
      <c r="D39" s="765">
        <f>D43+D44+D45</f>
        <v>169131</v>
      </c>
      <c r="E39" s="765">
        <f>E43+E44+E45</f>
        <v>169131</v>
      </c>
      <c r="F39" s="765">
        <f>F43+F44+F45</f>
        <v>19603</v>
      </c>
      <c r="G39" s="212">
        <f t="shared" si="0"/>
        <v>0.11590423990870982</v>
      </c>
      <c r="H39" s="486" t="s">
        <v>458</v>
      </c>
      <c r="I39" s="293"/>
      <c r="J39" s="293"/>
      <c r="K39" s="293"/>
    </row>
    <row r="40" spans="1:11" s="30" customFormat="1" ht="12" hidden="1">
      <c r="A40" s="316">
        <v>4125</v>
      </c>
      <c r="B40" s="395" t="s">
        <v>434</v>
      </c>
      <c r="C40" s="775"/>
      <c r="D40" s="775"/>
      <c r="E40" s="775"/>
      <c r="F40" s="775"/>
      <c r="G40" s="212" t="e">
        <f t="shared" si="0"/>
        <v>#DIV/0!</v>
      </c>
      <c r="H40" s="486" t="s">
        <v>444</v>
      </c>
      <c r="I40" s="293"/>
      <c r="J40" s="293"/>
      <c r="K40" s="293"/>
    </row>
    <row r="41" spans="1:11" s="30" customFormat="1" ht="12" hidden="1">
      <c r="A41" s="316"/>
      <c r="B41" s="629" t="s">
        <v>249</v>
      </c>
      <c r="C41" s="776"/>
      <c r="D41" s="776"/>
      <c r="E41" s="776"/>
      <c r="F41" s="776"/>
      <c r="G41" s="212" t="e">
        <f t="shared" si="0"/>
        <v>#DIV/0!</v>
      </c>
      <c r="H41" s="486"/>
      <c r="I41" s="293"/>
      <c r="J41" s="293"/>
      <c r="K41" s="293"/>
    </row>
    <row r="42" spans="1:11" s="30" customFormat="1" ht="12" hidden="1">
      <c r="A42" s="316"/>
      <c r="B42" s="629" t="s">
        <v>200</v>
      </c>
      <c r="C42" s="776"/>
      <c r="D42" s="776"/>
      <c r="E42" s="776"/>
      <c r="F42" s="776"/>
      <c r="G42" s="212" t="e">
        <f t="shared" si="0"/>
        <v>#DIV/0!</v>
      </c>
      <c r="H42" s="579"/>
      <c r="I42" s="293"/>
      <c r="J42" s="293"/>
      <c r="K42" s="293"/>
    </row>
    <row r="43" spans="1:11" s="30" customFormat="1" ht="12">
      <c r="A43" s="316"/>
      <c r="B43" s="628" t="s">
        <v>249</v>
      </c>
      <c r="C43" s="776"/>
      <c r="D43" s="776">
        <v>3245</v>
      </c>
      <c r="E43" s="776">
        <v>3245</v>
      </c>
      <c r="F43" s="776">
        <v>2426</v>
      </c>
      <c r="G43" s="978">
        <f t="shared" si="0"/>
        <v>0.7476117103235748</v>
      </c>
      <c r="H43" s="579"/>
      <c r="I43" s="293"/>
      <c r="J43" s="293"/>
      <c r="K43" s="293"/>
    </row>
    <row r="44" spans="1:11" s="30" customFormat="1" ht="12">
      <c r="A44" s="316"/>
      <c r="B44" s="629" t="s">
        <v>199</v>
      </c>
      <c r="C44" s="776"/>
      <c r="D44" s="776">
        <v>495</v>
      </c>
      <c r="E44" s="776">
        <f>495+5379</f>
        <v>5874</v>
      </c>
      <c r="F44" s="776">
        <v>4553</v>
      </c>
      <c r="G44" s="978">
        <f t="shared" si="0"/>
        <v>0.775110657133129</v>
      </c>
      <c r="H44" s="579"/>
      <c r="I44" s="293"/>
      <c r="J44" s="293"/>
      <c r="K44" s="293"/>
    </row>
    <row r="45" spans="1:11" s="30" customFormat="1" ht="12">
      <c r="A45" s="316"/>
      <c r="B45" s="628" t="s">
        <v>200</v>
      </c>
      <c r="C45" s="776"/>
      <c r="D45" s="776">
        <f>59525+2705+80000+23161</f>
        <v>165391</v>
      </c>
      <c r="E45" s="776">
        <f>165391-5379</f>
        <v>160012</v>
      </c>
      <c r="F45" s="776">
        <v>12624</v>
      </c>
      <c r="G45" s="978">
        <f t="shared" si="0"/>
        <v>0.07889408294377921</v>
      </c>
      <c r="H45" s="579"/>
      <c r="I45" s="293"/>
      <c r="J45" s="293"/>
      <c r="K45" s="293"/>
    </row>
    <row r="46" spans="1:11" s="30" customFormat="1" ht="13.15" customHeight="1">
      <c r="A46" s="316">
        <v>4122</v>
      </c>
      <c r="B46" s="395" t="s">
        <v>663</v>
      </c>
      <c r="C46" s="775">
        <f>45708</f>
        <v>45708</v>
      </c>
      <c r="D46" s="775">
        <f>45708</f>
        <v>45708</v>
      </c>
      <c r="E46" s="775">
        <f>45708</f>
        <v>45708</v>
      </c>
      <c r="F46" s="775">
        <v>25139</v>
      </c>
      <c r="G46" s="212">
        <f t="shared" si="0"/>
        <v>0.5499912487967096</v>
      </c>
      <c r="H46" s="579"/>
      <c r="I46" s="293"/>
      <c r="J46" s="293"/>
      <c r="K46" s="293"/>
    </row>
    <row r="47" spans="1:11" s="30" customFormat="1" ht="13.15" customHeight="1">
      <c r="A47" s="316">
        <v>4123</v>
      </c>
      <c r="B47" s="395" t="s">
        <v>661</v>
      </c>
      <c r="C47" s="775">
        <v>36031</v>
      </c>
      <c r="D47" s="775">
        <v>36031</v>
      </c>
      <c r="E47" s="775">
        <v>36031</v>
      </c>
      <c r="F47" s="775">
        <v>0</v>
      </c>
      <c r="G47" s="212">
        <f t="shared" si="0"/>
        <v>0</v>
      </c>
      <c r="H47" s="579"/>
      <c r="I47" s="293"/>
      <c r="J47" s="293"/>
      <c r="K47" s="293"/>
    </row>
    <row r="48" spans="1:11" s="30" customFormat="1" ht="12">
      <c r="A48" s="316">
        <v>4124</v>
      </c>
      <c r="B48" s="395" t="s">
        <v>587</v>
      </c>
      <c r="C48" s="775"/>
      <c r="D48" s="775">
        <v>5214</v>
      </c>
      <c r="E48" s="775">
        <v>5214</v>
      </c>
      <c r="F48" s="775">
        <v>0</v>
      </c>
      <c r="G48" s="212">
        <f t="shared" si="0"/>
        <v>0</v>
      </c>
      <c r="H48" s="579"/>
      <c r="I48" s="293"/>
      <c r="J48" s="293"/>
      <c r="K48" s="293"/>
    </row>
    <row r="49" spans="1:11" s="30" customFormat="1" ht="12">
      <c r="A49" s="387">
        <v>4125</v>
      </c>
      <c r="B49" s="395" t="s">
        <v>591</v>
      </c>
      <c r="C49" s="770">
        <v>1276621</v>
      </c>
      <c r="D49" s="770">
        <f>D50+D51</f>
        <v>1292765</v>
      </c>
      <c r="E49" s="770">
        <f>E50+E51</f>
        <v>1292765</v>
      </c>
      <c r="F49" s="770">
        <f>F50+F51</f>
        <v>181960</v>
      </c>
      <c r="G49" s="212">
        <f t="shared" si="0"/>
        <v>0.1407525729734329</v>
      </c>
      <c r="H49" s="388"/>
      <c r="I49" s="293"/>
      <c r="J49" s="293"/>
      <c r="K49" s="293"/>
    </row>
    <row r="50" spans="1:11" s="30" customFormat="1" ht="12">
      <c r="A50" s="387"/>
      <c r="B50" s="629" t="s">
        <v>199</v>
      </c>
      <c r="C50" s="774"/>
      <c r="D50" s="774">
        <v>5171</v>
      </c>
      <c r="E50" s="774">
        <f>5171+129</f>
        <v>5300</v>
      </c>
      <c r="F50" s="774">
        <v>5300</v>
      </c>
      <c r="G50" s="978">
        <f t="shared" si="0"/>
        <v>1</v>
      </c>
      <c r="H50" s="388"/>
      <c r="I50" s="293"/>
      <c r="J50" s="293"/>
      <c r="K50" s="293"/>
    </row>
    <row r="51" spans="1:11" s="30" customFormat="1" ht="12">
      <c r="A51" s="387"/>
      <c r="B51" s="628" t="s">
        <v>200</v>
      </c>
      <c r="C51" s="774"/>
      <c r="D51" s="774">
        <v>1287594</v>
      </c>
      <c r="E51" s="774">
        <f>1287594-129</f>
        <v>1287465</v>
      </c>
      <c r="F51" s="774">
        <v>176660</v>
      </c>
      <c r="G51" s="978">
        <f t="shared" si="0"/>
        <v>0.1372153806122885</v>
      </c>
      <c r="H51" s="388"/>
      <c r="I51" s="293"/>
      <c r="J51" s="293"/>
      <c r="K51" s="293"/>
    </row>
    <row r="52" spans="1:11" s="30" customFormat="1" ht="12">
      <c r="A52" s="316">
        <v>4126</v>
      </c>
      <c r="B52" s="395" t="s">
        <v>504</v>
      </c>
      <c r="C52" s="775">
        <f>100000+100000</f>
        <v>200000</v>
      </c>
      <c r="D52" s="775">
        <f>D53+D54</f>
        <v>364124</v>
      </c>
      <c r="E52" s="775">
        <f>E53+E54</f>
        <v>364124</v>
      </c>
      <c r="F52" s="775">
        <f>F53+F54</f>
        <v>237978</v>
      </c>
      <c r="G52" s="212">
        <f t="shared" si="0"/>
        <v>0.6535630719205545</v>
      </c>
      <c r="H52" s="579"/>
      <c r="I52" s="293"/>
      <c r="J52" s="293"/>
      <c r="K52" s="293"/>
    </row>
    <row r="53" spans="1:11" s="30" customFormat="1" ht="12">
      <c r="A53" s="316"/>
      <c r="B53" s="628" t="s">
        <v>249</v>
      </c>
      <c r="C53" s="776"/>
      <c r="D53" s="776">
        <v>1275</v>
      </c>
      <c r="E53" s="776">
        <f>1275+2640</f>
        <v>3915</v>
      </c>
      <c r="F53" s="776">
        <v>4139</v>
      </c>
      <c r="G53" s="978">
        <f t="shared" si="0"/>
        <v>1.0572158365261815</v>
      </c>
      <c r="H53" s="579"/>
      <c r="I53" s="293"/>
      <c r="J53" s="293"/>
      <c r="K53" s="293"/>
    </row>
    <row r="54" spans="1:11" s="30" customFormat="1" ht="12">
      <c r="A54" s="316"/>
      <c r="B54" s="628" t="s">
        <v>200</v>
      </c>
      <c r="C54" s="776"/>
      <c r="D54" s="776">
        <f>312849+50000</f>
        <v>362849</v>
      </c>
      <c r="E54" s="776">
        <f>362849-2640</f>
        <v>360209</v>
      </c>
      <c r="F54" s="776">
        <v>233839</v>
      </c>
      <c r="G54" s="978">
        <f t="shared" si="0"/>
        <v>0.6491758951053416</v>
      </c>
      <c r="H54" s="579"/>
      <c r="I54" s="293"/>
      <c r="J54" s="293"/>
      <c r="K54" s="293"/>
    </row>
    <row r="55" spans="1:11" s="30" customFormat="1" ht="12">
      <c r="A55" s="302">
        <v>4127</v>
      </c>
      <c r="B55" s="210" t="s">
        <v>509</v>
      </c>
      <c r="C55" s="775">
        <f>66810</f>
        <v>66810</v>
      </c>
      <c r="D55" s="775">
        <f>66860</f>
        <v>66860</v>
      </c>
      <c r="E55" s="775">
        <f>66860</f>
        <v>66860</v>
      </c>
      <c r="F55" s="775">
        <v>66786</v>
      </c>
      <c r="G55" s="212">
        <f t="shared" si="0"/>
        <v>0.9988932096918935</v>
      </c>
      <c r="H55" s="579"/>
      <c r="I55" s="293"/>
      <c r="J55" s="293"/>
      <c r="K55" s="293"/>
    </row>
    <row r="56" spans="1:11" s="30" customFormat="1" ht="12">
      <c r="A56" s="302">
        <v>4129</v>
      </c>
      <c r="B56" s="210" t="s">
        <v>555</v>
      </c>
      <c r="C56" s="775">
        <f>54195+20000</f>
        <v>74195</v>
      </c>
      <c r="D56" s="775">
        <f>54195+20000</f>
        <v>74195</v>
      </c>
      <c r="E56" s="775">
        <f>54195+20000</f>
        <v>74195</v>
      </c>
      <c r="F56" s="775">
        <v>0</v>
      </c>
      <c r="G56" s="212">
        <f t="shared" si="0"/>
        <v>0</v>
      </c>
      <c r="H56" s="579"/>
      <c r="I56" s="293"/>
      <c r="J56" s="293"/>
      <c r="K56" s="293"/>
    </row>
    <row r="57" spans="1:11" s="30" customFormat="1" ht="12">
      <c r="A57" s="302">
        <v>4151</v>
      </c>
      <c r="B57" s="1012" t="s">
        <v>682</v>
      </c>
      <c r="C57" s="775"/>
      <c r="D57" s="775">
        <v>100000</v>
      </c>
      <c r="E57" s="775">
        <v>100000</v>
      </c>
      <c r="F57" s="775">
        <v>0</v>
      </c>
      <c r="G57" s="212">
        <f t="shared" si="0"/>
        <v>0</v>
      </c>
      <c r="H57" s="579"/>
      <c r="I57" s="293"/>
      <c r="J57" s="293"/>
      <c r="K57" s="293"/>
    </row>
    <row r="58" spans="1:11" s="30" customFormat="1" ht="12">
      <c r="A58" s="302">
        <v>4152</v>
      </c>
      <c r="B58" s="210" t="s">
        <v>683</v>
      </c>
      <c r="C58" s="775"/>
      <c r="D58" s="775">
        <v>210000</v>
      </c>
      <c r="E58" s="775">
        <v>210000</v>
      </c>
      <c r="F58" s="775">
        <v>0</v>
      </c>
      <c r="G58" s="212">
        <f t="shared" si="0"/>
        <v>0</v>
      </c>
      <c r="H58" s="579"/>
      <c r="I58" s="293"/>
      <c r="J58" s="293"/>
      <c r="K58" s="293"/>
    </row>
    <row r="59" spans="1:11" s="30" customFormat="1" ht="12">
      <c r="A59" s="302">
        <v>4153</v>
      </c>
      <c r="B59" s="1014" t="s">
        <v>684</v>
      </c>
      <c r="C59" s="775"/>
      <c r="D59" s="775">
        <v>50000</v>
      </c>
      <c r="E59" s="775">
        <v>50000</v>
      </c>
      <c r="F59" s="775">
        <f>F60+F61</f>
        <v>9525</v>
      </c>
      <c r="G59" s="212">
        <f t="shared" si="0"/>
        <v>0.1905</v>
      </c>
      <c r="H59" s="579"/>
      <c r="I59" s="293"/>
      <c r="J59" s="293"/>
      <c r="K59" s="293"/>
    </row>
    <row r="60" spans="1:11" s="30" customFormat="1" ht="12">
      <c r="A60" s="302"/>
      <c r="B60" s="628" t="s">
        <v>249</v>
      </c>
      <c r="C60" s="775"/>
      <c r="D60" s="775"/>
      <c r="E60" s="775"/>
      <c r="F60" s="776">
        <v>9525</v>
      </c>
      <c r="G60" s="212">
        <v>1</v>
      </c>
      <c r="H60" s="579"/>
      <c r="I60" s="293"/>
      <c r="J60" s="293"/>
      <c r="K60" s="293"/>
    </row>
    <row r="61" spans="1:11" s="30" customFormat="1" ht="12">
      <c r="A61" s="302"/>
      <c r="B61" s="628" t="s">
        <v>200</v>
      </c>
      <c r="C61" s="775"/>
      <c r="D61" s="775"/>
      <c r="E61" s="775"/>
      <c r="F61" s="775">
        <v>0</v>
      </c>
      <c r="G61" s="212"/>
      <c r="H61" s="579"/>
      <c r="I61" s="293"/>
      <c r="J61" s="293"/>
      <c r="K61" s="293"/>
    </row>
    <row r="62" spans="1:11" s="30" customFormat="1" ht="12">
      <c r="A62" s="302">
        <v>4154</v>
      </c>
      <c r="B62" s="1014" t="s">
        <v>685</v>
      </c>
      <c r="C62" s="775"/>
      <c r="D62" s="775">
        <v>250000</v>
      </c>
      <c r="E62" s="775">
        <v>250000</v>
      </c>
      <c r="F62" s="775">
        <v>30420</v>
      </c>
      <c r="G62" s="212">
        <f t="shared" si="0"/>
        <v>0.12168</v>
      </c>
      <c r="H62" s="579"/>
      <c r="I62" s="293"/>
      <c r="J62" s="293"/>
      <c r="K62" s="293"/>
    </row>
    <row r="63" spans="1:11" s="30" customFormat="1" ht="12">
      <c r="A63" s="302">
        <v>4155</v>
      </c>
      <c r="B63" s="210" t="s">
        <v>686</v>
      </c>
      <c r="C63" s="775"/>
      <c r="D63" s="775">
        <v>800000</v>
      </c>
      <c r="E63" s="775">
        <f>800000-150000</f>
        <v>650000</v>
      </c>
      <c r="F63" s="775">
        <v>0</v>
      </c>
      <c r="G63" s="212">
        <f t="shared" si="0"/>
        <v>0</v>
      </c>
      <c r="H63" s="579"/>
      <c r="I63" s="293"/>
      <c r="J63" s="293"/>
      <c r="K63" s="293"/>
    </row>
    <row r="64" spans="1:11" s="30" customFormat="1" ht="12">
      <c r="A64" s="302">
        <v>4156</v>
      </c>
      <c r="B64" s="210" t="s">
        <v>692</v>
      </c>
      <c r="C64" s="775"/>
      <c r="D64" s="775">
        <v>70000</v>
      </c>
      <c r="E64" s="775">
        <v>70000</v>
      </c>
      <c r="F64" s="775">
        <v>0</v>
      </c>
      <c r="G64" s="212">
        <f t="shared" si="0"/>
        <v>0</v>
      </c>
      <c r="H64" s="579"/>
      <c r="I64" s="293"/>
      <c r="J64" s="293"/>
      <c r="K64" s="293"/>
    </row>
    <row r="65" spans="1:11" s="30" customFormat="1" ht="12">
      <c r="A65" s="407"/>
      <c r="B65" s="634" t="s">
        <v>111</v>
      </c>
      <c r="C65" s="767">
        <f>C29+C33+C39+C40+C46+C47+C52+C55+C56+C49+C48+C32</f>
        <v>2154954</v>
      </c>
      <c r="D65" s="767">
        <f>D29+D33+D39+D40+D46+D47+D52+D55+D56+D49+D48+D32+D57+D58+D59+D62+D64+D63</f>
        <v>3832150</v>
      </c>
      <c r="E65" s="767">
        <f>E29+E33+E39+E40+E46+E47+E52+E55+E56+E49+E48+E32+E57+E58+E59+E62+E64+E63</f>
        <v>3611065</v>
      </c>
      <c r="F65" s="767">
        <f>F29+F33+F39+F40+F46+F47+F52+F55+F56+F49+F48+F32+F57+F58+F59+F62+F64+F63</f>
        <v>719447</v>
      </c>
      <c r="G65" s="721">
        <f t="shared" si="0"/>
        <v>0.199234020988268</v>
      </c>
      <c r="H65" s="274"/>
      <c r="I65" s="293"/>
      <c r="J65" s="293"/>
      <c r="K65" s="293"/>
    </row>
    <row r="66" spans="1:11" s="30" customFormat="1" ht="12">
      <c r="A66" s="209">
        <v>4131</v>
      </c>
      <c r="B66" s="599" t="s">
        <v>236</v>
      </c>
      <c r="C66" s="211">
        <v>30000</v>
      </c>
      <c r="D66" s="211">
        <f>D67+D68</f>
        <v>42982</v>
      </c>
      <c r="E66" s="211">
        <f>E67+E68</f>
        <v>62982</v>
      </c>
      <c r="F66" s="211">
        <f>F67+F68</f>
        <v>33638</v>
      </c>
      <c r="G66" s="212">
        <f t="shared" si="0"/>
        <v>0.5340891048236004</v>
      </c>
      <c r="H66" s="273" t="s">
        <v>443</v>
      </c>
      <c r="I66" s="293"/>
      <c r="J66" s="293"/>
      <c r="K66" s="293"/>
    </row>
    <row r="67" spans="1:11" s="30" customFormat="1" ht="12.6" customHeight="1">
      <c r="A67" s="209"/>
      <c r="B67" s="582" t="s">
        <v>249</v>
      </c>
      <c r="C67" s="764"/>
      <c r="D67" s="764">
        <v>504</v>
      </c>
      <c r="E67" s="764">
        <f>504+6600+20000</f>
        <v>27104</v>
      </c>
      <c r="F67" s="764">
        <v>7006</v>
      </c>
      <c r="G67" s="978">
        <f t="shared" si="0"/>
        <v>0.2584858323494687</v>
      </c>
      <c r="H67" s="273"/>
      <c r="I67" s="293"/>
      <c r="J67" s="293"/>
      <c r="K67" s="293"/>
    </row>
    <row r="68" spans="1:11" s="30" customFormat="1" ht="12">
      <c r="A68" s="209"/>
      <c r="B68" s="582" t="s">
        <v>200</v>
      </c>
      <c r="C68" s="764"/>
      <c r="D68" s="764">
        <v>42478</v>
      </c>
      <c r="E68" s="764">
        <f>42478-6600</f>
        <v>35878</v>
      </c>
      <c r="F68" s="764">
        <v>26632</v>
      </c>
      <c r="G68" s="978">
        <f t="shared" si="0"/>
        <v>0.7422933273872568</v>
      </c>
      <c r="H68" s="273"/>
      <c r="I68" s="293"/>
      <c r="J68" s="293"/>
      <c r="K68" s="293"/>
    </row>
    <row r="69" spans="1:11" s="30" customFormat="1" ht="11.25" customHeight="1">
      <c r="A69" s="209">
        <v>4132</v>
      </c>
      <c r="B69" s="213" t="s">
        <v>96</v>
      </c>
      <c r="C69" s="211">
        <v>6000</v>
      </c>
      <c r="D69" s="211">
        <v>21691</v>
      </c>
      <c r="E69" s="211">
        <f>21691+6000</f>
        <v>27691</v>
      </c>
      <c r="F69" s="211">
        <v>12691</v>
      </c>
      <c r="G69" s="212">
        <f t="shared" si="0"/>
        <v>0.45830775342168933</v>
      </c>
      <c r="H69" s="273" t="s">
        <v>443</v>
      </c>
      <c r="I69" s="293"/>
      <c r="J69" s="293"/>
      <c r="K69" s="293"/>
    </row>
    <row r="70" spans="1:11" s="30" customFormat="1" ht="12.95" customHeight="1">
      <c r="A70" s="209">
        <v>4133</v>
      </c>
      <c r="B70" s="213" t="s">
        <v>237</v>
      </c>
      <c r="C70" s="211">
        <v>60198</v>
      </c>
      <c r="D70" s="211">
        <v>60198</v>
      </c>
      <c r="E70" s="211">
        <v>60198</v>
      </c>
      <c r="F70" s="211">
        <v>12958</v>
      </c>
      <c r="G70" s="212">
        <f t="shared" si="0"/>
        <v>0.21525632080800028</v>
      </c>
      <c r="H70" s="273" t="s">
        <v>443</v>
      </c>
      <c r="I70" s="293"/>
      <c r="J70" s="293"/>
      <c r="K70" s="293"/>
    </row>
    <row r="71" spans="1:11" s="30" customFormat="1" ht="12.95" customHeight="1">
      <c r="A71" s="209">
        <v>4140</v>
      </c>
      <c r="B71" s="213" t="s">
        <v>535</v>
      </c>
      <c r="C71" s="211">
        <v>19945</v>
      </c>
      <c r="D71" s="211">
        <v>19945</v>
      </c>
      <c r="E71" s="211">
        <v>19945</v>
      </c>
      <c r="F71" s="211">
        <v>19945</v>
      </c>
      <c r="G71" s="212">
        <f t="shared" si="0"/>
        <v>1</v>
      </c>
      <c r="H71" s="273"/>
      <c r="I71" s="293"/>
      <c r="J71" s="293"/>
      <c r="K71" s="293"/>
    </row>
    <row r="72" spans="1:11" s="30" customFormat="1" ht="12">
      <c r="A72" s="209">
        <v>4141</v>
      </c>
      <c r="B72" s="210" t="s">
        <v>723</v>
      </c>
      <c r="C72" s="211">
        <f>10000+10000</f>
        <v>20000</v>
      </c>
      <c r="D72" s="211">
        <f>21206+15000</f>
        <v>36206</v>
      </c>
      <c r="E72" s="211">
        <f>E73+E75</f>
        <v>36206</v>
      </c>
      <c r="F72" s="211">
        <f>F73+F75+F74</f>
        <v>4040</v>
      </c>
      <c r="G72" s="212">
        <f t="shared" si="0"/>
        <v>0.11158371540628625</v>
      </c>
      <c r="H72" s="273" t="s">
        <v>443</v>
      </c>
      <c r="I72" s="293"/>
      <c r="J72" s="293"/>
      <c r="K72" s="293"/>
    </row>
    <row r="73" spans="1:11" s="30" customFormat="1" ht="12">
      <c r="A73" s="209"/>
      <c r="B73" s="582" t="s">
        <v>249</v>
      </c>
      <c r="C73" s="764"/>
      <c r="D73" s="764"/>
      <c r="E73" s="764">
        <v>18000</v>
      </c>
      <c r="F73" s="764">
        <v>0</v>
      </c>
      <c r="G73" s="212">
        <f t="shared" si="0"/>
        <v>0</v>
      </c>
      <c r="H73" s="273"/>
      <c r="I73" s="293"/>
      <c r="J73" s="293"/>
      <c r="K73" s="293"/>
    </row>
    <row r="74" spans="1:11" s="30" customFormat="1" ht="12">
      <c r="A74" s="209"/>
      <c r="B74" s="582" t="s">
        <v>199</v>
      </c>
      <c r="C74" s="764"/>
      <c r="D74" s="764"/>
      <c r="E74" s="764"/>
      <c r="F74" s="764">
        <v>4040</v>
      </c>
      <c r="G74" s="212">
        <v>1</v>
      </c>
      <c r="H74" s="273"/>
      <c r="I74" s="293"/>
      <c r="J74" s="293"/>
      <c r="K74" s="293"/>
    </row>
    <row r="75" spans="1:11" s="30" customFormat="1" ht="12">
      <c r="A75" s="209"/>
      <c r="B75" s="749" t="s">
        <v>200</v>
      </c>
      <c r="C75" s="764"/>
      <c r="D75" s="764"/>
      <c r="E75" s="764">
        <f>36206-18000</f>
        <v>18206</v>
      </c>
      <c r="F75" s="764">
        <v>0</v>
      </c>
      <c r="G75" s="719">
        <f t="shared" si="0"/>
        <v>0</v>
      </c>
      <c r="H75" s="397"/>
      <c r="I75" s="293"/>
      <c r="J75" s="293"/>
      <c r="K75" s="293"/>
    </row>
    <row r="76" spans="1:11" s="30" customFormat="1" ht="12">
      <c r="A76" s="338">
        <v>4100</v>
      </c>
      <c r="B76" s="481" t="s">
        <v>134</v>
      </c>
      <c r="C76" s="777">
        <f>SUM(C65+C66+C69+C70+C72+C71)</f>
        <v>2291097</v>
      </c>
      <c r="D76" s="777">
        <f>SUM(D65+D66+D69+D70+D72+D71)</f>
        <v>4013172</v>
      </c>
      <c r="E76" s="777">
        <f>SUM(E65+E66+E69+E70+E72+E71)</f>
        <v>3818087</v>
      </c>
      <c r="F76" s="777">
        <f>SUM(F65+F66+F69+F70+F72+F71)</f>
        <v>802719</v>
      </c>
      <c r="G76" s="720">
        <f t="shared" si="0"/>
        <v>0.21024114955997597</v>
      </c>
      <c r="H76" s="531"/>
      <c r="I76" s="293"/>
      <c r="J76" s="293"/>
      <c r="K76" s="293"/>
    </row>
    <row r="77" spans="1:11" s="30" customFormat="1" ht="12" hidden="1">
      <c r="A77" s="387">
        <v>4227</v>
      </c>
      <c r="B77" s="210" t="s">
        <v>513</v>
      </c>
      <c r="C77" s="211"/>
      <c r="D77" s="211"/>
      <c r="E77" s="211"/>
      <c r="F77" s="211"/>
      <c r="G77" s="212" t="e">
        <f t="shared" si="0"/>
        <v>#DIV/0!</v>
      </c>
      <c r="H77" s="276"/>
      <c r="I77" s="293"/>
      <c r="J77" s="293"/>
      <c r="K77" s="293"/>
    </row>
    <row r="78" spans="1:11" s="30" customFormat="1" ht="12">
      <c r="A78" s="399">
        <v>4223</v>
      </c>
      <c r="B78" s="400" t="s">
        <v>543</v>
      </c>
      <c r="C78" s="211"/>
      <c r="D78" s="211">
        <v>20000</v>
      </c>
      <c r="E78" s="211">
        <v>20000</v>
      </c>
      <c r="F78" s="211">
        <v>0</v>
      </c>
      <c r="G78" s="212">
        <f aca="true" t="shared" si="1" ref="G78:G107">F78/E78</f>
        <v>0</v>
      </c>
      <c r="H78" s="506"/>
      <c r="I78" s="293"/>
      <c r="J78" s="293"/>
      <c r="K78" s="293"/>
    </row>
    <row r="79" spans="1:11" s="30" customFormat="1" ht="12">
      <c r="A79" s="399">
        <v>4225</v>
      </c>
      <c r="B79" s="400" t="s">
        <v>677</v>
      </c>
      <c r="C79" s="211"/>
      <c r="D79" s="211">
        <v>325</v>
      </c>
      <c r="E79" s="211">
        <v>325</v>
      </c>
      <c r="F79" s="211">
        <v>0</v>
      </c>
      <c r="G79" s="212">
        <f t="shared" si="1"/>
        <v>0</v>
      </c>
      <c r="H79" s="506"/>
      <c r="I79" s="293"/>
      <c r="J79" s="293"/>
      <c r="K79" s="293"/>
    </row>
    <row r="80" spans="1:11" s="30" customFormat="1" ht="12">
      <c r="A80" s="399">
        <v>4230</v>
      </c>
      <c r="B80" s="400" t="s">
        <v>406</v>
      </c>
      <c r="C80" s="211"/>
      <c r="D80" s="211">
        <v>37733</v>
      </c>
      <c r="E80" s="211">
        <v>37733</v>
      </c>
      <c r="F80" s="211">
        <v>35867</v>
      </c>
      <c r="G80" s="212">
        <f t="shared" si="1"/>
        <v>0.9505472663186071</v>
      </c>
      <c r="H80" s="506"/>
      <c r="I80" s="293"/>
      <c r="J80" s="293"/>
      <c r="K80" s="293"/>
    </row>
    <row r="81" spans="1:11" s="30" customFormat="1" ht="12">
      <c r="A81" s="504">
        <v>4200</v>
      </c>
      <c r="B81" s="505" t="s">
        <v>394</v>
      </c>
      <c r="C81" s="777">
        <f>SUM(C77:C80)</f>
        <v>0</v>
      </c>
      <c r="D81" s="777">
        <f>SUM(D77:D80)</f>
        <v>58058</v>
      </c>
      <c r="E81" s="777">
        <f>SUM(E77:E80)</f>
        <v>58058</v>
      </c>
      <c r="F81" s="777">
        <f>SUM(F77:F80)</f>
        <v>35867</v>
      </c>
      <c r="G81" s="720">
        <f t="shared" si="1"/>
        <v>0.6177787729511868</v>
      </c>
      <c r="H81" s="392"/>
      <c r="I81" s="293"/>
      <c r="J81" s="293"/>
      <c r="K81" s="293"/>
    </row>
    <row r="82" spans="1:11" s="33" customFormat="1" ht="12">
      <c r="A82" s="65"/>
      <c r="B82" s="391" t="s">
        <v>216</v>
      </c>
      <c r="C82" s="211"/>
      <c r="D82" s="211"/>
      <c r="E82" s="211"/>
      <c r="F82" s="211"/>
      <c r="G82" s="212"/>
      <c r="H82" s="394"/>
      <c r="I82" s="772"/>
      <c r="J82" s="772"/>
      <c r="K82" s="772"/>
    </row>
    <row r="83" spans="1:11" s="33" customFormat="1" ht="12">
      <c r="A83" s="387">
        <v>4311</v>
      </c>
      <c r="B83" s="210" t="s">
        <v>553</v>
      </c>
      <c r="C83" s="211">
        <v>20000</v>
      </c>
      <c r="D83" s="211">
        <f>40000+130000</f>
        <v>170000</v>
      </c>
      <c r="E83" s="211">
        <f>40000+130000</f>
        <v>170000</v>
      </c>
      <c r="F83" s="211">
        <v>0</v>
      </c>
      <c r="G83" s="212">
        <f t="shared" si="1"/>
        <v>0</v>
      </c>
      <c r="H83" s="726"/>
      <c r="I83" s="772"/>
      <c r="J83" s="772"/>
      <c r="K83" s="772"/>
    </row>
    <row r="84" spans="1:11" s="33" customFormat="1" ht="12">
      <c r="A84" s="387">
        <v>4312</v>
      </c>
      <c r="B84" s="210" t="s">
        <v>599</v>
      </c>
      <c r="C84" s="211">
        <v>19158</v>
      </c>
      <c r="D84" s="211">
        <v>19158</v>
      </c>
      <c r="E84" s="211">
        <v>19158</v>
      </c>
      <c r="F84" s="211">
        <v>16523</v>
      </c>
      <c r="G84" s="212">
        <f t="shared" si="1"/>
        <v>0.8624595469255664</v>
      </c>
      <c r="H84" s="726"/>
      <c r="I84" s="772"/>
      <c r="J84" s="772"/>
      <c r="K84" s="772"/>
    </row>
    <row r="85" spans="1:11" s="33" customFormat="1" ht="12">
      <c r="A85" s="387">
        <v>4313</v>
      </c>
      <c r="B85" s="210" t="s">
        <v>575</v>
      </c>
      <c r="C85" s="211">
        <v>14241</v>
      </c>
      <c r="D85" s="211">
        <v>14241</v>
      </c>
      <c r="E85" s="211">
        <v>14241</v>
      </c>
      <c r="F85" s="211">
        <v>0</v>
      </c>
      <c r="G85" s="212">
        <f t="shared" si="1"/>
        <v>0</v>
      </c>
      <c r="H85" s="726"/>
      <c r="I85" s="772"/>
      <c r="J85" s="772"/>
      <c r="K85" s="772"/>
    </row>
    <row r="86" spans="1:11" s="30" customFormat="1" ht="12">
      <c r="A86" s="273">
        <v>4323</v>
      </c>
      <c r="B86" s="213" t="s">
        <v>414</v>
      </c>
      <c r="C86" s="211">
        <v>33719</v>
      </c>
      <c r="D86" s="211">
        <v>33719</v>
      </c>
      <c r="E86" s="211">
        <v>33719</v>
      </c>
      <c r="F86" s="211">
        <v>33617</v>
      </c>
      <c r="G86" s="212">
        <f t="shared" si="1"/>
        <v>0.9969749992585782</v>
      </c>
      <c r="H86" s="575" t="s">
        <v>446</v>
      </c>
      <c r="I86" s="293"/>
      <c r="J86" s="293"/>
      <c r="K86" s="293"/>
    </row>
    <row r="87" spans="1:11" s="30" customFormat="1" ht="12">
      <c r="A87" s="273">
        <v>4324</v>
      </c>
      <c r="B87" s="213" t="s">
        <v>470</v>
      </c>
      <c r="C87" s="211">
        <f>SUM(C88:C90)</f>
        <v>4179751</v>
      </c>
      <c r="D87" s="211">
        <f>SUM(D88:D90)</f>
        <v>5221963</v>
      </c>
      <c r="E87" s="211">
        <f>SUM(E88:E90)</f>
        <v>5144278</v>
      </c>
      <c r="F87" s="211">
        <f>SUM(F88:F90)</f>
        <v>2098387</v>
      </c>
      <c r="G87" s="212">
        <f t="shared" si="1"/>
        <v>0.40790699880527453</v>
      </c>
      <c r="H87" s="575"/>
      <c r="I87" s="293"/>
      <c r="J87" s="293"/>
      <c r="K87" s="293"/>
    </row>
    <row r="88" spans="1:11" s="30" customFormat="1" ht="12">
      <c r="A88" s="273"/>
      <c r="B88" s="582" t="s">
        <v>249</v>
      </c>
      <c r="C88" s="764">
        <v>19053</v>
      </c>
      <c r="D88" s="764">
        <f>19053+18798</f>
        <v>37851</v>
      </c>
      <c r="E88" s="764">
        <f>37851+250</f>
        <v>38101</v>
      </c>
      <c r="F88" s="764">
        <v>25400</v>
      </c>
      <c r="G88" s="212">
        <f t="shared" si="1"/>
        <v>0.6666491693131413</v>
      </c>
      <c r="H88" s="575"/>
      <c r="I88" s="293"/>
      <c r="J88" s="293"/>
      <c r="K88" s="293"/>
    </row>
    <row r="89" spans="1:11" s="30" customFormat="1" ht="12">
      <c r="A89" s="273"/>
      <c r="B89" s="630" t="s">
        <v>199</v>
      </c>
      <c r="C89" s="764"/>
      <c r="D89" s="764">
        <v>499983</v>
      </c>
      <c r="E89" s="764">
        <f>499983+1542921</f>
        <v>2042904</v>
      </c>
      <c r="F89" s="764">
        <v>349127</v>
      </c>
      <c r="G89" s="212">
        <f t="shared" si="1"/>
        <v>0.17089740878670756</v>
      </c>
      <c r="H89" s="575"/>
      <c r="I89" s="293"/>
      <c r="J89" s="293"/>
      <c r="K89" s="293"/>
    </row>
    <row r="90" spans="1:11" s="30" customFormat="1" ht="12">
      <c r="A90" s="273"/>
      <c r="B90" s="582" t="s">
        <v>401</v>
      </c>
      <c r="C90" s="764">
        <v>4160698</v>
      </c>
      <c r="D90" s="764">
        <f>4160698+739161-215730</f>
        <v>4684129</v>
      </c>
      <c r="E90" s="764">
        <f>4684129+41662-119347-1543171</f>
        <v>3063273</v>
      </c>
      <c r="F90" s="764">
        <v>1723860</v>
      </c>
      <c r="G90" s="212">
        <f t="shared" si="1"/>
        <v>0.5627510182735916</v>
      </c>
      <c r="H90" s="575"/>
      <c r="I90" s="293"/>
      <c r="J90" s="293"/>
      <c r="K90" s="293"/>
    </row>
    <row r="91" spans="1:11" s="30" customFormat="1" ht="12">
      <c r="A91" s="273">
        <v>4325</v>
      </c>
      <c r="B91" s="210" t="s">
        <v>598</v>
      </c>
      <c r="C91" s="211">
        <v>139954</v>
      </c>
      <c r="D91" s="211">
        <v>139954</v>
      </c>
      <c r="E91" s="211">
        <v>139954</v>
      </c>
      <c r="F91" s="211">
        <v>66405</v>
      </c>
      <c r="G91" s="212">
        <f t="shared" si="1"/>
        <v>0.47447732826500133</v>
      </c>
      <c r="H91" s="575"/>
      <c r="I91" s="293"/>
      <c r="J91" s="293"/>
      <c r="K91" s="293"/>
    </row>
    <row r="92" spans="1:11" s="30" customFormat="1" ht="12">
      <c r="A92" s="273">
        <v>4326</v>
      </c>
      <c r="B92" s="210" t="s">
        <v>610</v>
      </c>
      <c r="C92" s="211">
        <v>19909</v>
      </c>
      <c r="D92" s="211">
        <v>19909</v>
      </c>
      <c r="E92" s="211">
        <v>19909</v>
      </c>
      <c r="F92" s="211">
        <v>12700</v>
      </c>
      <c r="G92" s="212">
        <f t="shared" si="1"/>
        <v>0.6379024561755989</v>
      </c>
      <c r="H92" s="575"/>
      <c r="I92" s="293"/>
      <c r="J92" s="293"/>
      <c r="K92" s="293"/>
    </row>
    <row r="93" spans="1:11" s="30" customFormat="1" ht="12">
      <c r="A93" s="273">
        <v>4329</v>
      </c>
      <c r="B93" s="210" t="s">
        <v>644</v>
      </c>
      <c r="C93" s="211">
        <v>10000</v>
      </c>
      <c r="D93" s="211">
        <v>10000</v>
      </c>
      <c r="E93" s="211">
        <v>10000</v>
      </c>
      <c r="F93" s="211">
        <v>0</v>
      </c>
      <c r="G93" s="719">
        <f t="shared" si="1"/>
        <v>0</v>
      </c>
      <c r="H93" s="575"/>
      <c r="I93" s="293"/>
      <c r="J93" s="293"/>
      <c r="K93" s="293"/>
    </row>
    <row r="94" spans="1:11" s="33" customFormat="1" ht="12">
      <c r="A94" s="384">
        <v>4300</v>
      </c>
      <c r="B94" s="398" t="s">
        <v>217</v>
      </c>
      <c r="C94" s="778">
        <f>SUM(C83:C87)+C91+C92+C93</f>
        <v>4436732</v>
      </c>
      <c r="D94" s="778">
        <f>SUM(D83:D87)+D91+D92+D93</f>
        <v>5628944</v>
      </c>
      <c r="E94" s="778">
        <f>SUM(E83:E87)+E91+E92+E93</f>
        <v>5551259</v>
      </c>
      <c r="F94" s="778">
        <f>SUM(F83:F87)+F91+F92+F93</f>
        <v>2227632</v>
      </c>
      <c r="G94" s="720">
        <f t="shared" si="1"/>
        <v>0.40128410510120316</v>
      </c>
      <c r="H94" s="334"/>
      <c r="I94" s="772"/>
      <c r="J94" s="772"/>
      <c r="K94" s="772"/>
    </row>
    <row r="95" spans="1:11" s="33" customFormat="1" ht="16.5" customHeight="1">
      <c r="A95" s="384"/>
      <c r="B95" s="383" t="s">
        <v>219</v>
      </c>
      <c r="C95" s="778">
        <f>SUM(C94+C81+C76+C27)</f>
        <v>7473205</v>
      </c>
      <c r="D95" s="778">
        <f>SUM(D94+D81+D76+D27)</f>
        <v>10906217</v>
      </c>
      <c r="E95" s="778">
        <f>SUM(E94+E81+E76+E27)</f>
        <v>10633447</v>
      </c>
      <c r="F95" s="778">
        <f>SUM(F94+F81+F76+F27)</f>
        <v>3435079</v>
      </c>
      <c r="G95" s="720">
        <f t="shared" si="1"/>
        <v>0.323044728581428</v>
      </c>
      <c r="H95" s="334"/>
      <c r="I95" s="772"/>
      <c r="J95" s="772"/>
      <c r="K95" s="772"/>
    </row>
    <row r="96" spans="1:11" s="33" customFormat="1" ht="12">
      <c r="A96" s="402"/>
      <c r="B96" s="403" t="s">
        <v>47</v>
      </c>
      <c r="C96" s="386"/>
      <c r="D96" s="386"/>
      <c r="E96" s="386"/>
      <c r="F96" s="386"/>
      <c r="G96" s="212"/>
      <c r="H96" s="394"/>
      <c r="I96" s="772"/>
      <c r="J96" s="772"/>
      <c r="K96" s="772"/>
    </row>
    <row r="97" spans="1:11" s="33" customFormat="1" ht="11.25" customHeight="1">
      <c r="A97" s="402"/>
      <c r="B97" s="211" t="s">
        <v>233</v>
      </c>
      <c r="C97" s="770">
        <f aca="true" t="shared" si="2" ref="C97:E98">C34</f>
        <v>0</v>
      </c>
      <c r="D97" s="770">
        <f t="shared" si="2"/>
        <v>0</v>
      </c>
      <c r="E97" s="770">
        <f t="shared" si="2"/>
        <v>0</v>
      </c>
      <c r="F97" s="770">
        <f aca="true" t="shared" si="3" ref="F97">F34</f>
        <v>0</v>
      </c>
      <c r="G97" s="212"/>
      <c r="H97" s="394"/>
      <c r="I97" s="772"/>
      <c r="J97" s="772"/>
      <c r="K97" s="772"/>
    </row>
    <row r="98" spans="1:11" s="33" customFormat="1" ht="9.75" customHeight="1">
      <c r="A98" s="402"/>
      <c r="B98" s="211" t="s">
        <v>17</v>
      </c>
      <c r="C98" s="770">
        <f t="shared" si="2"/>
        <v>0</v>
      </c>
      <c r="D98" s="770">
        <f t="shared" si="2"/>
        <v>0</v>
      </c>
      <c r="E98" s="770">
        <f t="shared" si="2"/>
        <v>0</v>
      </c>
      <c r="F98" s="770">
        <f aca="true" t="shared" si="4" ref="F98">F35</f>
        <v>0</v>
      </c>
      <c r="G98" s="212"/>
      <c r="H98" s="394"/>
      <c r="I98" s="772"/>
      <c r="J98" s="772"/>
      <c r="K98" s="772"/>
    </row>
    <row r="99" spans="1:11" s="30" customFormat="1" ht="12">
      <c r="A99" s="402"/>
      <c r="B99" s="404" t="s">
        <v>243</v>
      </c>
      <c r="C99" s="770">
        <f>C30+C36+C41+C67+C88+C43+C73+C15+C53</f>
        <v>19053</v>
      </c>
      <c r="D99" s="770">
        <f>D30+D36+D41+D67+D88+D43+D73+D15+D53+D79</f>
        <v>140237</v>
      </c>
      <c r="E99" s="770">
        <f>E30+E36+E41+E67+E88+E43+E73+E15+E53+E79</f>
        <v>215727</v>
      </c>
      <c r="F99" s="770">
        <f>F30+F36+F41+F67+F88+F43+F73+F15+F53+F79+F12+F60</f>
        <v>145761</v>
      </c>
      <c r="G99" s="212">
        <f t="shared" si="1"/>
        <v>0.6756734205732244</v>
      </c>
      <c r="H99" s="276"/>
      <c r="I99" s="595"/>
      <c r="J99" s="293"/>
      <c r="K99" s="293"/>
    </row>
    <row r="100" spans="1:8" ht="12" customHeight="1">
      <c r="A100" s="209"/>
      <c r="B100" s="404" t="s">
        <v>241</v>
      </c>
      <c r="C100" s="211"/>
      <c r="D100" s="211"/>
      <c r="E100" s="211"/>
      <c r="F100" s="211"/>
      <c r="G100" s="212"/>
      <c r="H100" s="276"/>
    </row>
    <row r="101" spans="1:8" ht="12" customHeight="1">
      <c r="A101" s="209"/>
      <c r="B101" s="405" t="s">
        <v>38</v>
      </c>
      <c r="C101" s="405">
        <f>SUM(C97:C100)</f>
        <v>19053</v>
      </c>
      <c r="D101" s="405">
        <f>SUM(D97:D100)</f>
        <v>140237</v>
      </c>
      <c r="E101" s="405">
        <f>SUM(E97:E100)</f>
        <v>215727</v>
      </c>
      <c r="F101" s="405">
        <f>SUM(F97:F100)</f>
        <v>145761</v>
      </c>
      <c r="G101" s="212">
        <f t="shared" si="1"/>
        <v>0.6756734205732244</v>
      </c>
      <c r="H101" s="276"/>
    </row>
    <row r="102" spans="1:8" ht="12" customHeight="1">
      <c r="A102" s="209"/>
      <c r="B102" s="406" t="s">
        <v>48</v>
      </c>
      <c r="C102" s="779"/>
      <c r="D102" s="779"/>
      <c r="E102" s="779"/>
      <c r="F102" s="779"/>
      <c r="G102" s="212"/>
      <c r="H102" s="276"/>
    </row>
    <row r="103" spans="1:8" ht="12" customHeight="1">
      <c r="A103" s="209"/>
      <c r="B103" s="211" t="s">
        <v>201</v>
      </c>
      <c r="C103" s="211">
        <f>C89+C37+C24+C44+C50</f>
        <v>0</v>
      </c>
      <c r="D103" s="211">
        <f>D21+D44+D50+D89</f>
        <v>512316</v>
      </c>
      <c r="E103" s="211">
        <f>E21+E44+E50+E89+E56</f>
        <v>2134940</v>
      </c>
      <c r="F103" s="211">
        <f>F21+F44+F50+F89+F56+F24+F74</f>
        <v>378659</v>
      </c>
      <c r="G103" s="212">
        <f t="shared" si="1"/>
        <v>0.1773628298687551</v>
      </c>
      <c r="H103" s="276"/>
    </row>
    <row r="104" spans="1:8" ht="12">
      <c r="A104" s="209"/>
      <c r="B104" s="404" t="s">
        <v>202</v>
      </c>
      <c r="C104" s="211">
        <f>SUM(C27+C76+C81+C94)-C97-C98-C99-C100-C103-C105</f>
        <v>7448152</v>
      </c>
      <c r="D104" s="211">
        <f>SUM(D27+D76+D81+D94)-D97-D98-D99-D100-D103-D105</f>
        <v>10231973</v>
      </c>
      <c r="E104" s="211">
        <f>SUM(E27+E76+E81+E94)-E97-E98-E99-E100-E103-E105</f>
        <v>8255089</v>
      </c>
      <c r="F104" s="211">
        <f>SUM(F27+F76+F81+F94)-F97-F98-F99-F100-F103-F105</f>
        <v>2897968</v>
      </c>
      <c r="G104" s="212">
        <f t="shared" si="1"/>
        <v>0.351052302404008</v>
      </c>
      <c r="H104" s="276"/>
    </row>
    <row r="105" spans="1:8" ht="12">
      <c r="A105" s="209"/>
      <c r="B105" s="404" t="s">
        <v>269</v>
      </c>
      <c r="C105" s="211">
        <f>SUM(C69)</f>
        <v>6000</v>
      </c>
      <c r="D105" s="211">
        <f>SUM(D69)</f>
        <v>21691</v>
      </c>
      <c r="E105" s="211">
        <f>SUM(E69)</f>
        <v>27691</v>
      </c>
      <c r="F105" s="211">
        <f>SUM(F69)</f>
        <v>12691</v>
      </c>
      <c r="G105" s="212">
        <f t="shared" si="1"/>
        <v>0.45830775342168933</v>
      </c>
      <c r="H105" s="276"/>
    </row>
    <row r="106" spans="1:8" ht="12">
      <c r="A106" s="209"/>
      <c r="B106" s="405" t="s">
        <v>44</v>
      </c>
      <c r="C106" s="405">
        <f>SUM(C103:C105)</f>
        <v>7454152</v>
      </c>
      <c r="D106" s="405">
        <f>SUM(D103:D105)</f>
        <v>10765980</v>
      </c>
      <c r="E106" s="405">
        <f>SUM(E103:E105)</f>
        <v>10417720</v>
      </c>
      <c r="F106" s="405">
        <f>SUM(F103:F105)</f>
        <v>3289318</v>
      </c>
      <c r="G106" s="1022">
        <f t="shared" si="1"/>
        <v>0.31574260010827704</v>
      </c>
      <c r="H106" s="276"/>
    </row>
    <row r="107" spans="1:8" ht="12" customHeight="1">
      <c r="A107" s="407"/>
      <c r="B107" s="401" t="s">
        <v>84</v>
      </c>
      <c r="C107" s="405">
        <f>SUM(C101+C106)</f>
        <v>7473205</v>
      </c>
      <c r="D107" s="405">
        <f>SUM(D101+D106)</f>
        <v>10906217</v>
      </c>
      <c r="E107" s="405">
        <f>SUM(E101+E106)</f>
        <v>10633447</v>
      </c>
      <c r="F107" s="405">
        <f>SUM(F101+F106)</f>
        <v>3435079</v>
      </c>
      <c r="G107" s="1022">
        <f t="shared" si="1"/>
        <v>0.323044728581428</v>
      </c>
      <c r="H107" s="274"/>
    </row>
    <row r="108" spans="1:7" ht="12">
      <c r="A108" s="290"/>
      <c r="C108" s="780"/>
      <c r="D108" s="780"/>
      <c r="E108" s="780"/>
      <c r="F108" s="780"/>
      <c r="G108" s="781"/>
    </row>
    <row r="109" spans="3:6" ht="12">
      <c r="C109" s="782"/>
      <c r="D109" s="782"/>
      <c r="E109" s="782"/>
      <c r="F109" s="782"/>
    </row>
  </sheetData>
  <mergeCells count="7">
    <mergeCell ref="A1:H1"/>
    <mergeCell ref="A2:H2"/>
    <mergeCell ref="G4:G6"/>
    <mergeCell ref="C4:C6"/>
    <mergeCell ref="D4:D6"/>
    <mergeCell ref="E4:E6"/>
    <mergeCell ref="F4:F6"/>
  </mergeCells>
  <printOptions horizontalCentered="1"/>
  <pageMargins left="0" right="0" top="0.5905511811023623" bottom="0.3937007874015748" header="0.11811023622047245" footer="0"/>
  <pageSetup firstPageNumber="40" useFirstPageNumber="1" horizontalDpi="600" verticalDpi="600" orientation="landscape" paperSize="9" scale="54" r:id="rId1"/>
  <headerFooter alignWithMargins="0">
    <oddFooter>&amp;C&amp;P. oldal</oddFooter>
  </headerFooter>
  <rowBreaks count="1" manualBreakCount="1"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 topLeftCell="A42">
      <selection activeCell="F72" sqref="F72"/>
    </sheetView>
  </sheetViews>
  <sheetFormatPr defaultColWidth="9.125" defaultRowHeight="12.75"/>
  <cols>
    <col min="1" max="1" width="6.125" style="256" customWidth="1"/>
    <col min="2" max="2" width="52.00390625" style="256" customWidth="1"/>
    <col min="3" max="6" width="12.375" style="595" customWidth="1"/>
    <col min="7" max="7" width="10.625" style="768" customWidth="1"/>
    <col min="8" max="8" width="44.75390625" style="256" customWidth="1"/>
    <col min="9" max="12" width="9.125" style="256" customWidth="1"/>
    <col min="13" max="16384" width="9.125" style="37" customWidth="1"/>
  </cols>
  <sheetData>
    <row r="1" spans="1:12" s="35" customFormat="1" ht="12.75">
      <c r="A1" s="1153" t="s">
        <v>112</v>
      </c>
      <c r="B1" s="1154"/>
      <c r="C1" s="1154"/>
      <c r="D1" s="1154"/>
      <c r="E1" s="1154"/>
      <c r="F1" s="1154"/>
      <c r="G1" s="1154"/>
      <c r="H1" s="1154"/>
      <c r="I1" s="261"/>
      <c r="J1" s="261"/>
      <c r="K1" s="261"/>
      <c r="L1" s="261"/>
    </row>
    <row r="2" spans="1:12" s="35" customFormat="1" ht="12.75">
      <c r="A2" s="1141" t="s">
        <v>619</v>
      </c>
      <c r="B2" s="1142"/>
      <c r="C2" s="1142"/>
      <c r="D2" s="1142"/>
      <c r="E2" s="1142"/>
      <c r="F2" s="1142"/>
      <c r="G2" s="1142"/>
      <c r="H2" s="1142"/>
      <c r="I2" s="261"/>
      <c r="J2" s="261"/>
      <c r="K2" s="261"/>
      <c r="L2" s="261"/>
    </row>
    <row r="3" spans="1:12" s="35" customFormat="1" ht="9.75" customHeight="1">
      <c r="A3" s="757"/>
      <c r="B3" s="757"/>
      <c r="C3" s="409"/>
      <c r="D3" s="409"/>
      <c r="E3" s="409"/>
      <c r="F3" s="409"/>
      <c r="G3" s="410"/>
      <c r="H3" s="261"/>
      <c r="I3" s="261"/>
      <c r="J3" s="261"/>
      <c r="K3" s="261"/>
      <c r="L3" s="261"/>
    </row>
    <row r="4" spans="1:12" s="35" customFormat="1" ht="12.75">
      <c r="A4" s="408"/>
      <c r="B4" s="408"/>
      <c r="C4" s="409"/>
      <c r="D4" s="409"/>
      <c r="E4" s="409"/>
      <c r="F4" s="409"/>
      <c r="G4" s="410"/>
      <c r="H4" s="292" t="s">
        <v>140</v>
      </c>
      <c r="I4" s="261"/>
      <c r="J4" s="261"/>
      <c r="K4" s="261"/>
      <c r="L4" s="261"/>
    </row>
    <row r="5" spans="1:8" ht="12" customHeight="1">
      <c r="A5" s="366"/>
      <c r="B5" s="376"/>
      <c r="C5" s="1098" t="s">
        <v>670</v>
      </c>
      <c r="D5" s="1098" t="s">
        <v>718</v>
      </c>
      <c r="E5" s="1098" t="s">
        <v>727</v>
      </c>
      <c r="F5" s="1098" t="s">
        <v>728</v>
      </c>
      <c r="G5" s="1155" t="s">
        <v>729</v>
      </c>
      <c r="H5" s="294" t="s">
        <v>440</v>
      </c>
    </row>
    <row r="6" spans="1:8" ht="12" customHeight="1">
      <c r="A6" s="65" t="s">
        <v>229</v>
      </c>
      <c r="B6" s="378" t="s">
        <v>107</v>
      </c>
      <c r="C6" s="1145"/>
      <c r="D6" s="1145"/>
      <c r="E6" s="1145"/>
      <c r="F6" s="1145"/>
      <c r="G6" s="1156"/>
      <c r="H6" s="65" t="s">
        <v>108</v>
      </c>
    </row>
    <row r="7" spans="1:12" s="35" customFormat="1" ht="12.75" customHeight="1" thickBot="1">
      <c r="A7" s="65"/>
      <c r="B7" s="281"/>
      <c r="C7" s="1146"/>
      <c r="D7" s="1146"/>
      <c r="E7" s="1146"/>
      <c r="F7" s="1146"/>
      <c r="G7" s="1157"/>
      <c r="H7" s="281"/>
      <c r="I7" s="261"/>
      <c r="J7" s="261"/>
      <c r="K7" s="261"/>
      <c r="L7" s="261"/>
    </row>
    <row r="8" spans="1:12" s="35" customFormat="1" ht="12.6" customHeight="1">
      <c r="A8" s="282" t="s">
        <v>125</v>
      </c>
      <c r="B8" s="282" t="s">
        <v>126</v>
      </c>
      <c r="C8" s="294" t="s">
        <v>477</v>
      </c>
      <c r="D8" s="294" t="s">
        <v>478</v>
      </c>
      <c r="E8" s="294" t="s">
        <v>491</v>
      </c>
      <c r="F8" s="294" t="s">
        <v>492</v>
      </c>
      <c r="G8" s="294" t="s">
        <v>402</v>
      </c>
      <c r="H8" s="294" t="s">
        <v>403</v>
      </c>
      <c r="I8" s="261"/>
      <c r="J8" s="261"/>
      <c r="K8" s="261"/>
      <c r="L8" s="261"/>
    </row>
    <row r="9" spans="1:12" s="35" customFormat="1" ht="12.75">
      <c r="A9" s="338"/>
      <c r="B9" s="411" t="s">
        <v>221</v>
      </c>
      <c r="C9" s="298"/>
      <c r="D9" s="298"/>
      <c r="E9" s="298"/>
      <c r="F9" s="298"/>
      <c r="G9" s="369"/>
      <c r="H9" s="334"/>
      <c r="I9" s="261"/>
      <c r="J9" s="261"/>
      <c r="K9" s="261"/>
      <c r="L9" s="261"/>
    </row>
    <row r="10" spans="1:8" ht="12.75">
      <c r="A10" s="65"/>
      <c r="B10" s="385" t="s">
        <v>210</v>
      </c>
      <c r="C10" s="758"/>
      <c r="D10" s="758"/>
      <c r="E10" s="758"/>
      <c r="F10" s="758"/>
      <c r="G10" s="412"/>
      <c r="H10" s="276"/>
    </row>
    <row r="11" spans="1:8" ht="12.75">
      <c r="A11" s="387">
        <v>5003</v>
      </c>
      <c r="B11" s="574" t="s">
        <v>715</v>
      </c>
      <c r="C11" s="758"/>
      <c r="D11" s="404">
        <v>10000</v>
      </c>
      <c r="E11" s="404">
        <v>10000</v>
      </c>
      <c r="F11" s="404">
        <v>0</v>
      </c>
      <c r="G11" s="412">
        <f>F11/E11</f>
        <v>0</v>
      </c>
      <c r="H11" s="276"/>
    </row>
    <row r="12" spans="1:8" ht="12.75">
      <c r="A12" s="387">
        <v>5004</v>
      </c>
      <c r="B12" s="1015" t="s">
        <v>714</v>
      </c>
      <c r="C12" s="758"/>
      <c r="D12" s="404">
        <v>20000</v>
      </c>
      <c r="E12" s="404">
        <v>20000</v>
      </c>
      <c r="F12" s="404">
        <v>0</v>
      </c>
      <c r="G12" s="412">
        <f aca="true" t="shared" si="0" ref="G12:G74">F12/E12</f>
        <v>0</v>
      </c>
      <c r="H12" s="276"/>
    </row>
    <row r="13" spans="1:8" ht="12.75">
      <c r="A13" s="387">
        <v>5005</v>
      </c>
      <c r="B13" s="722" t="s">
        <v>713</v>
      </c>
      <c r="C13" s="758"/>
      <c r="D13" s="404">
        <v>30000</v>
      </c>
      <c r="E13" s="404">
        <v>30000</v>
      </c>
      <c r="F13" s="404">
        <v>0</v>
      </c>
      <c r="G13" s="412">
        <f t="shared" si="0"/>
        <v>0</v>
      </c>
      <c r="H13" s="276"/>
    </row>
    <row r="14" spans="1:8" ht="12.75">
      <c r="A14" s="387">
        <v>5006</v>
      </c>
      <c r="B14" s="722" t="s">
        <v>689</v>
      </c>
      <c r="C14" s="758"/>
      <c r="D14" s="404">
        <v>10000</v>
      </c>
      <c r="E14" s="404">
        <v>10000</v>
      </c>
      <c r="F14" s="404">
        <v>0</v>
      </c>
      <c r="G14" s="412">
        <f t="shared" si="0"/>
        <v>0</v>
      </c>
      <c r="H14" s="276"/>
    </row>
    <row r="15" spans="1:8" ht="12.75">
      <c r="A15" s="387">
        <v>5007</v>
      </c>
      <c r="B15" s="722" t="s">
        <v>688</v>
      </c>
      <c r="C15" s="758"/>
      <c r="D15" s="404">
        <v>10000</v>
      </c>
      <c r="E15" s="404">
        <v>10000</v>
      </c>
      <c r="F15" s="404">
        <v>0</v>
      </c>
      <c r="G15" s="412">
        <f t="shared" si="0"/>
        <v>0</v>
      </c>
      <c r="H15" s="276"/>
    </row>
    <row r="16" spans="1:8" ht="12.75">
      <c r="A16" s="387">
        <v>5008</v>
      </c>
      <c r="B16" s="722" t="s">
        <v>671</v>
      </c>
      <c r="C16" s="404"/>
      <c r="D16" s="404">
        <v>40000</v>
      </c>
      <c r="E16" s="404">
        <v>40000</v>
      </c>
      <c r="F16" s="404">
        <v>0</v>
      </c>
      <c r="G16" s="412">
        <f t="shared" si="0"/>
        <v>0</v>
      </c>
      <c r="H16" s="276"/>
    </row>
    <row r="17" spans="1:8" ht="12.75">
      <c r="A17" s="387">
        <v>5009</v>
      </c>
      <c r="B17" s="722" t="s">
        <v>600</v>
      </c>
      <c r="C17" s="404">
        <v>20000</v>
      </c>
      <c r="D17" s="404">
        <v>20000</v>
      </c>
      <c r="E17" s="404">
        <v>20000</v>
      </c>
      <c r="F17" s="404">
        <v>0</v>
      </c>
      <c r="G17" s="412">
        <f t="shared" si="0"/>
        <v>0</v>
      </c>
      <c r="H17" s="276"/>
    </row>
    <row r="18" spans="1:8" ht="12.75">
      <c r="A18" s="387">
        <v>5010</v>
      </c>
      <c r="B18" s="722" t="s">
        <v>658</v>
      </c>
      <c r="C18" s="404">
        <v>5100</v>
      </c>
      <c r="D18" s="404">
        <v>5100</v>
      </c>
      <c r="E18" s="404">
        <v>5100</v>
      </c>
      <c r="F18" s="404">
        <v>0</v>
      </c>
      <c r="G18" s="412">
        <f t="shared" si="0"/>
        <v>0</v>
      </c>
      <c r="H18" s="276"/>
    </row>
    <row r="19" spans="1:8" ht="12.75">
      <c r="A19" s="387">
        <v>5011</v>
      </c>
      <c r="B19" s="722" t="s">
        <v>536</v>
      </c>
      <c r="C19" s="404">
        <v>82725</v>
      </c>
      <c r="D19" s="404">
        <v>82860</v>
      </c>
      <c r="E19" s="404">
        <v>82860</v>
      </c>
      <c r="F19" s="404">
        <v>0</v>
      </c>
      <c r="G19" s="412">
        <f t="shared" si="0"/>
        <v>0</v>
      </c>
      <c r="H19" s="276"/>
    </row>
    <row r="20" spans="1:8" ht="12.75">
      <c r="A20" s="387">
        <v>5012</v>
      </c>
      <c r="B20" s="722" t="s">
        <v>724</v>
      </c>
      <c r="C20" s="404"/>
      <c r="D20" s="404"/>
      <c r="E20" s="404">
        <v>199000</v>
      </c>
      <c r="F20" s="404">
        <v>0</v>
      </c>
      <c r="G20" s="412">
        <f t="shared" si="0"/>
        <v>0</v>
      </c>
      <c r="H20" s="276"/>
    </row>
    <row r="21" spans="1:8" ht="12.75">
      <c r="A21" s="316">
        <v>5013</v>
      </c>
      <c r="B21" s="469" t="s">
        <v>411</v>
      </c>
      <c r="C21" s="759">
        <v>26963</v>
      </c>
      <c r="D21" s="759">
        <v>26963</v>
      </c>
      <c r="E21" s="759">
        <f>E22</f>
        <v>26963</v>
      </c>
      <c r="F21" s="759">
        <f>F22</f>
        <v>1412</v>
      </c>
      <c r="G21" s="412">
        <f t="shared" si="0"/>
        <v>0.05236805993398361</v>
      </c>
      <c r="H21" s="273" t="s">
        <v>457</v>
      </c>
    </row>
    <row r="22" spans="1:8" ht="12.75">
      <c r="A22" s="316"/>
      <c r="B22" s="582" t="s">
        <v>249</v>
      </c>
      <c r="C22" s="762"/>
      <c r="D22" s="762"/>
      <c r="E22" s="762">
        <v>26963</v>
      </c>
      <c r="F22" s="762">
        <v>1412</v>
      </c>
      <c r="G22" s="412">
        <f t="shared" si="0"/>
        <v>0.05236805993398361</v>
      </c>
      <c r="H22" s="273"/>
    </row>
    <row r="23" spans="1:8" ht="12.75">
      <c r="A23" s="316"/>
      <c r="B23" s="630" t="s">
        <v>199</v>
      </c>
      <c r="C23" s="762"/>
      <c r="D23" s="762"/>
      <c r="E23" s="762"/>
      <c r="F23" s="762"/>
      <c r="G23" s="412"/>
      <c r="H23" s="273"/>
    </row>
    <row r="24" spans="1:8" ht="12.75">
      <c r="A24" s="316">
        <v>5014</v>
      </c>
      <c r="B24" s="469" t="s">
        <v>413</v>
      </c>
      <c r="C24" s="759">
        <f>10000+20000+10000</f>
        <v>40000</v>
      </c>
      <c r="D24" s="759">
        <f>10000+20000+10000</f>
        <v>40000</v>
      </c>
      <c r="E24" s="759">
        <f>10000+20000+10000</f>
        <v>40000</v>
      </c>
      <c r="F24" s="759">
        <f>F25+F26</f>
        <v>19952</v>
      </c>
      <c r="G24" s="412">
        <f t="shared" si="0"/>
        <v>0.4988</v>
      </c>
      <c r="H24" s="486" t="s">
        <v>454</v>
      </c>
    </row>
    <row r="25" spans="1:8" ht="12.75">
      <c r="A25" s="316"/>
      <c r="B25" s="582" t="s">
        <v>249</v>
      </c>
      <c r="C25" s="762"/>
      <c r="D25" s="762"/>
      <c r="E25" s="762"/>
      <c r="F25" s="762"/>
      <c r="G25" s="412"/>
      <c r="H25" s="486"/>
    </row>
    <row r="26" spans="1:8" ht="12.75">
      <c r="A26" s="316"/>
      <c r="B26" s="630" t="s">
        <v>199</v>
      </c>
      <c r="C26" s="762"/>
      <c r="D26" s="762"/>
      <c r="E26" s="762"/>
      <c r="F26" s="762">
        <v>19952</v>
      </c>
      <c r="G26" s="412"/>
      <c r="H26" s="486"/>
    </row>
    <row r="27" spans="1:8" ht="12.75">
      <c r="A27" s="316">
        <v>5015</v>
      </c>
      <c r="B27" s="469" t="s">
        <v>515</v>
      </c>
      <c r="C27" s="759">
        <f>5000+10000</f>
        <v>15000</v>
      </c>
      <c r="D27" s="759">
        <f>D28+D29</f>
        <v>16477</v>
      </c>
      <c r="E27" s="759">
        <f>E28+E29</f>
        <v>16477</v>
      </c>
      <c r="F27" s="759">
        <f>F28+F29+F30</f>
        <v>5457</v>
      </c>
      <c r="G27" s="412">
        <f t="shared" si="0"/>
        <v>0.33118893002366934</v>
      </c>
      <c r="H27" s="486" t="s">
        <v>454</v>
      </c>
    </row>
    <row r="28" spans="1:8" ht="12.75">
      <c r="A28" s="316"/>
      <c r="B28" s="582" t="s">
        <v>249</v>
      </c>
      <c r="C28" s="762"/>
      <c r="D28" s="762">
        <v>20</v>
      </c>
      <c r="E28" s="762">
        <v>20</v>
      </c>
      <c r="F28" s="762">
        <v>0</v>
      </c>
      <c r="G28" s="412">
        <f t="shared" si="0"/>
        <v>0</v>
      </c>
      <c r="H28" s="442"/>
    </row>
    <row r="29" spans="1:8" ht="12.75">
      <c r="A29" s="316"/>
      <c r="B29" s="630" t="s">
        <v>199</v>
      </c>
      <c r="C29" s="762"/>
      <c r="D29" s="762">
        <v>16457</v>
      </c>
      <c r="E29" s="762">
        <v>16457</v>
      </c>
      <c r="F29" s="762">
        <v>1457</v>
      </c>
      <c r="G29" s="412">
        <f t="shared" si="0"/>
        <v>0.08853375463328675</v>
      </c>
      <c r="H29" s="442"/>
    </row>
    <row r="30" spans="1:8" ht="12.75">
      <c r="A30" s="316"/>
      <c r="B30" s="629" t="s">
        <v>735</v>
      </c>
      <c r="C30" s="762"/>
      <c r="D30" s="762"/>
      <c r="E30" s="762"/>
      <c r="F30" s="762">
        <v>4000</v>
      </c>
      <c r="G30" s="412"/>
      <c r="H30" s="442"/>
    </row>
    <row r="31" spans="1:8" ht="12.75">
      <c r="A31" s="316">
        <v>5016</v>
      </c>
      <c r="B31" s="469" t="s">
        <v>483</v>
      </c>
      <c r="C31" s="759">
        <v>50000</v>
      </c>
      <c r="D31" s="759">
        <v>50000</v>
      </c>
      <c r="E31" s="759">
        <v>50000</v>
      </c>
      <c r="F31" s="759">
        <v>0</v>
      </c>
      <c r="G31" s="412">
        <f t="shared" si="0"/>
        <v>0</v>
      </c>
      <c r="H31" s="760" t="s">
        <v>439</v>
      </c>
    </row>
    <row r="32" spans="1:8" ht="12.75">
      <c r="A32" s="316">
        <v>5018</v>
      </c>
      <c r="B32" s="469" t="s">
        <v>510</v>
      </c>
      <c r="C32" s="759">
        <v>55000</v>
      </c>
      <c r="D32" s="759">
        <v>55000</v>
      </c>
      <c r="E32" s="759">
        <v>55000</v>
      </c>
      <c r="F32" s="759">
        <v>0</v>
      </c>
      <c r="G32" s="412">
        <f t="shared" si="0"/>
        <v>0</v>
      </c>
      <c r="H32" s="760"/>
    </row>
    <row r="33" spans="1:8" ht="12.75">
      <c r="A33" s="316">
        <v>5019</v>
      </c>
      <c r="B33" s="469" t="s">
        <v>511</v>
      </c>
      <c r="C33" s="759">
        <f>60000+14859</f>
        <v>74859</v>
      </c>
      <c r="D33" s="1013">
        <f>60000+14859+300000</f>
        <v>374859</v>
      </c>
      <c r="E33" s="1013">
        <f>60000+14859+300000</f>
        <v>374859</v>
      </c>
      <c r="F33" s="1013">
        <v>10681</v>
      </c>
      <c r="G33" s="894">
        <f t="shared" si="0"/>
        <v>0.02849338017761345</v>
      </c>
      <c r="H33" s="760"/>
    </row>
    <row r="34" spans="1:8" ht="12.75">
      <c r="A34" s="338">
        <v>5010</v>
      </c>
      <c r="B34" s="468" t="s">
        <v>134</v>
      </c>
      <c r="C34" s="217">
        <f>C17+C18+C19+C21+C24+C27+C31+C32+C33+C16</f>
        <v>369647</v>
      </c>
      <c r="D34" s="219">
        <f>D17+D18+D19+D21+D24+D27+D31+D32+D33+D16+D15+D14+D13+D12+D11</f>
        <v>791259</v>
      </c>
      <c r="E34" s="219">
        <f>E17+E18+E19+E20+E21+E24+E27+E31+E32+E33+E16+E15+E14+E13+E12+E11</f>
        <v>990259</v>
      </c>
      <c r="F34" s="219">
        <f>F17+F18+F19+F20+F21+F24+F27+F31+F32+F33+F16+F15+F14+F13+F12+F11</f>
        <v>37502</v>
      </c>
      <c r="G34" s="523">
        <f t="shared" si="0"/>
        <v>0.03787090044119771</v>
      </c>
      <c r="H34" s="64"/>
    </row>
    <row r="35" spans="1:12" s="35" customFormat="1" ht="12.75">
      <c r="A35" s="65"/>
      <c r="B35" s="398" t="s">
        <v>480</v>
      </c>
      <c r="C35" s="761"/>
      <c r="D35" s="761"/>
      <c r="E35" s="761"/>
      <c r="F35" s="761"/>
      <c r="G35" s="415"/>
      <c r="H35" s="394"/>
      <c r="I35" s="261"/>
      <c r="J35" s="261"/>
      <c r="K35" s="261"/>
      <c r="L35" s="261"/>
    </row>
    <row r="36" spans="1:12" s="35" customFormat="1" ht="12.75">
      <c r="A36" s="273">
        <v>5020</v>
      </c>
      <c r="B36" s="213" t="s">
        <v>592</v>
      </c>
      <c r="C36" s="761">
        <v>40000</v>
      </c>
      <c r="D36" s="761"/>
      <c r="E36" s="761"/>
      <c r="F36" s="761">
        <v>0</v>
      </c>
      <c r="G36" s="412"/>
      <c r="H36" s="394"/>
      <c r="I36" s="261"/>
      <c r="J36" s="261"/>
      <c r="K36" s="261"/>
      <c r="L36" s="261"/>
    </row>
    <row r="37" spans="1:8" ht="12.75">
      <c r="A37" s="316">
        <v>5022</v>
      </c>
      <c r="B37" s="413" t="s">
        <v>551</v>
      </c>
      <c r="C37" s="759">
        <v>32000</v>
      </c>
      <c r="D37" s="759">
        <v>32000</v>
      </c>
      <c r="E37" s="759">
        <f>E38</f>
        <v>32000</v>
      </c>
      <c r="F37" s="759">
        <f>F38</f>
        <v>32000</v>
      </c>
      <c r="G37" s="412">
        <f t="shared" si="0"/>
        <v>1</v>
      </c>
      <c r="H37" s="581"/>
    </row>
    <row r="38" spans="1:8" ht="12.75">
      <c r="A38" s="316"/>
      <c r="B38" s="1035" t="s">
        <v>73</v>
      </c>
      <c r="C38" s="759"/>
      <c r="D38" s="759"/>
      <c r="E38" s="762">
        <v>32000</v>
      </c>
      <c r="F38" s="762">
        <v>32000</v>
      </c>
      <c r="G38" s="412">
        <f t="shared" si="0"/>
        <v>1</v>
      </c>
      <c r="H38" s="581"/>
    </row>
    <row r="39" spans="1:8" ht="12.75">
      <c r="A39" s="316"/>
      <c r="B39" s="741" t="s">
        <v>199</v>
      </c>
      <c r="C39" s="759"/>
      <c r="D39" s="759"/>
      <c r="E39" s="759"/>
      <c r="F39" s="759"/>
      <c r="G39" s="412"/>
      <c r="H39" s="581"/>
    </row>
    <row r="40" spans="1:9" ht="12.75">
      <c r="A40" s="316">
        <v>5023</v>
      </c>
      <c r="B40" s="413" t="s">
        <v>593</v>
      </c>
      <c r="C40" s="759">
        <v>1183504</v>
      </c>
      <c r="D40" s="759">
        <f>1183504-120000</f>
        <v>1063504</v>
      </c>
      <c r="E40" s="759">
        <f>1183504-120000</f>
        <v>1063504</v>
      </c>
      <c r="F40" s="759">
        <f>F41+F42</f>
        <v>88915</v>
      </c>
      <c r="G40" s="412">
        <f t="shared" si="0"/>
        <v>0.08360570341061246</v>
      </c>
      <c r="H40" s="581"/>
      <c r="I40" s="931"/>
    </row>
    <row r="41" spans="1:9" ht="12.75">
      <c r="A41" s="316"/>
      <c r="B41" s="582" t="s">
        <v>249</v>
      </c>
      <c r="C41" s="759"/>
      <c r="D41" s="759"/>
      <c r="E41" s="759"/>
      <c r="F41" s="759">
        <v>96</v>
      </c>
      <c r="G41" s="412">
        <v>1</v>
      </c>
      <c r="H41" s="581"/>
      <c r="I41" s="931"/>
    </row>
    <row r="42" spans="1:9" ht="12.75">
      <c r="A42" s="316"/>
      <c r="B42" s="630" t="s">
        <v>199</v>
      </c>
      <c r="C42" s="759"/>
      <c r="D42" s="759"/>
      <c r="E42" s="759"/>
      <c r="F42" s="759">
        <v>88819</v>
      </c>
      <c r="G42" s="412">
        <v>1</v>
      </c>
      <c r="H42" s="581"/>
      <c r="I42" s="931"/>
    </row>
    <row r="43" spans="1:8" ht="12.75">
      <c r="A43" s="316">
        <v>5024</v>
      </c>
      <c r="B43" s="413" t="s">
        <v>588</v>
      </c>
      <c r="C43" s="759"/>
      <c r="D43" s="759">
        <f>D44</f>
        <v>4660</v>
      </c>
      <c r="E43" s="759">
        <f>E44</f>
        <v>4660</v>
      </c>
      <c r="F43" s="759">
        <f>F44</f>
        <v>0</v>
      </c>
      <c r="G43" s="412">
        <f t="shared" si="0"/>
        <v>0</v>
      </c>
      <c r="H43" s="581"/>
    </row>
    <row r="44" spans="1:8" ht="12.75">
      <c r="A44" s="316"/>
      <c r="B44" s="741" t="s">
        <v>249</v>
      </c>
      <c r="C44" s="762"/>
      <c r="D44" s="762">
        <v>4660</v>
      </c>
      <c r="E44" s="762">
        <v>4660</v>
      </c>
      <c r="F44" s="762">
        <v>0</v>
      </c>
      <c r="G44" s="979">
        <f t="shared" si="0"/>
        <v>0</v>
      </c>
      <c r="H44" s="581"/>
    </row>
    <row r="45" spans="1:8" ht="12.75">
      <c r="A45" s="316">
        <v>5025</v>
      </c>
      <c r="B45" s="413" t="s">
        <v>666</v>
      </c>
      <c r="C45" s="759">
        <v>30000</v>
      </c>
      <c r="D45" s="759">
        <v>30000</v>
      </c>
      <c r="E45" s="759">
        <v>30000</v>
      </c>
      <c r="F45" s="759">
        <v>24112</v>
      </c>
      <c r="G45" s="412">
        <f t="shared" si="0"/>
        <v>0.8037333333333333</v>
      </c>
      <c r="H45" s="581"/>
    </row>
    <row r="46" spans="1:8" ht="12.75">
      <c r="A46" s="316">
        <v>5027</v>
      </c>
      <c r="B46" s="413" t="s">
        <v>400</v>
      </c>
      <c r="C46" s="759"/>
      <c r="D46" s="759"/>
      <c r="E46" s="759"/>
      <c r="F46" s="759"/>
      <c r="G46" s="412"/>
      <c r="H46" s="276"/>
    </row>
    <row r="47" spans="1:12" s="35" customFormat="1" ht="12.75">
      <c r="A47" s="338">
        <v>5020</v>
      </c>
      <c r="B47" s="414" t="s">
        <v>134</v>
      </c>
      <c r="C47" s="217">
        <f>C36+C37+C40+C43+C46+C45</f>
        <v>1285504</v>
      </c>
      <c r="D47" s="217">
        <f>D36+D37+D40+D43+D46+D45</f>
        <v>1130164</v>
      </c>
      <c r="E47" s="217">
        <f>E36+E37+E40+E43+E46+E45</f>
        <v>1130164</v>
      </c>
      <c r="F47" s="217">
        <f>F36+F37+F40+F43+F46+F45</f>
        <v>145027</v>
      </c>
      <c r="G47" s="1018">
        <f t="shared" si="0"/>
        <v>0.12832385388315323</v>
      </c>
      <c r="H47" s="392"/>
      <c r="I47" s="261"/>
      <c r="J47" s="261"/>
      <c r="K47" s="261"/>
      <c r="L47" s="261"/>
    </row>
    <row r="48" spans="1:12" s="35" customFormat="1" ht="12" customHeight="1">
      <c r="A48" s="65"/>
      <c r="B48" s="416" t="s">
        <v>410</v>
      </c>
      <c r="C48" s="761"/>
      <c r="D48" s="761"/>
      <c r="E48" s="761"/>
      <c r="F48" s="761"/>
      <c r="G48" s="415"/>
      <c r="H48" s="394"/>
      <c r="I48" s="261"/>
      <c r="J48" s="261"/>
      <c r="K48" s="261"/>
      <c r="L48" s="261"/>
    </row>
    <row r="49" spans="1:8" ht="12.75">
      <c r="A49" s="316">
        <v>5033</v>
      </c>
      <c r="B49" s="469" t="s">
        <v>14</v>
      </c>
      <c r="C49" s="759">
        <f>22993+30000</f>
        <v>52993</v>
      </c>
      <c r="D49" s="759">
        <f>22993+30000</f>
        <v>52993</v>
      </c>
      <c r="E49" s="759">
        <v>82993</v>
      </c>
      <c r="F49" s="759">
        <v>33839</v>
      </c>
      <c r="G49" s="412">
        <f t="shared" si="0"/>
        <v>0.4077331823165809</v>
      </c>
      <c r="H49" s="760" t="s">
        <v>455</v>
      </c>
    </row>
    <row r="50" spans="1:8" ht="12.75">
      <c r="A50" s="316">
        <v>5034</v>
      </c>
      <c r="B50" s="469" t="s">
        <v>596</v>
      </c>
      <c r="C50" s="759"/>
      <c r="D50" s="759">
        <f>D51+D52</f>
        <v>108</v>
      </c>
      <c r="E50" s="759">
        <f>E51+E52</f>
        <v>108</v>
      </c>
      <c r="F50" s="759">
        <f>F51+F52</f>
        <v>0</v>
      </c>
      <c r="G50" s="412">
        <f t="shared" si="0"/>
        <v>0</v>
      </c>
      <c r="H50" s="760"/>
    </row>
    <row r="51" spans="1:8" ht="12.75">
      <c r="A51" s="316"/>
      <c r="B51" s="582" t="s">
        <v>249</v>
      </c>
      <c r="C51" s="762"/>
      <c r="D51" s="762">
        <v>108</v>
      </c>
      <c r="E51" s="762">
        <v>108</v>
      </c>
      <c r="F51" s="762"/>
      <c r="G51" s="979">
        <f t="shared" si="0"/>
        <v>0</v>
      </c>
      <c r="H51" s="760"/>
    </row>
    <row r="52" spans="1:8" ht="12.75">
      <c r="A52" s="316"/>
      <c r="B52" s="630" t="s">
        <v>199</v>
      </c>
      <c r="C52" s="762"/>
      <c r="D52" s="762"/>
      <c r="E52" s="1040"/>
      <c r="F52" s="1040"/>
      <c r="G52" s="894"/>
      <c r="H52" s="1041"/>
    </row>
    <row r="53" spans="1:8" ht="12.75" hidden="1">
      <c r="A53" s="316">
        <v>5038</v>
      </c>
      <c r="B53" s="574" t="s">
        <v>433</v>
      </c>
      <c r="C53" s="759"/>
      <c r="D53" s="759"/>
      <c r="E53" s="759"/>
      <c r="F53" s="759"/>
      <c r="G53" s="415" t="e">
        <f t="shared" si="0"/>
        <v>#DIV/0!</v>
      </c>
      <c r="H53" s="417"/>
    </row>
    <row r="54" spans="1:8" ht="12.75" hidden="1">
      <c r="A54" s="316">
        <v>5037</v>
      </c>
      <c r="B54" s="574" t="s">
        <v>465</v>
      </c>
      <c r="C54" s="759"/>
      <c r="D54" s="759"/>
      <c r="E54" s="759"/>
      <c r="F54" s="759"/>
      <c r="G54" s="415" t="e">
        <f t="shared" si="0"/>
        <v>#DIV/0!</v>
      </c>
      <c r="H54" s="417"/>
    </row>
    <row r="55" spans="1:8" ht="12.75" hidden="1">
      <c r="A55" s="316">
        <v>5039</v>
      </c>
      <c r="B55" s="574" t="s">
        <v>464</v>
      </c>
      <c r="C55" s="759"/>
      <c r="D55" s="759"/>
      <c r="E55" s="759"/>
      <c r="F55" s="759"/>
      <c r="G55" s="415" t="e">
        <f t="shared" si="0"/>
        <v>#DIV/0!</v>
      </c>
      <c r="H55" s="417"/>
    </row>
    <row r="56" spans="1:8" ht="12.75" hidden="1">
      <c r="A56" s="316">
        <v>5049</v>
      </c>
      <c r="B56" s="413" t="s">
        <v>399</v>
      </c>
      <c r="C56" s="759"/>
      <c r="D56" s="759"/>
      <c r="E56" s="759"/>
      <c r="F56" s="759"/>
      <c r="G56" s="415" t="e">
        <f t="shared" si="0"/>
        <v>#DIV/0!</v>
      </c>
      <c r="H56" s="417"/>
    </row>
    <row r="57" spans="1:8" ht="12" customHeight="1">
      <c r="A57" s="338">
        <v>5030</v>
      </c>
      <c r="B57" s="414" t="s">
        <v>134</v>
      </c>
      <c r="C57" s="217">
        <f>C49+C50</f>
        <v>52993</v>
      </c>
      <c r="D57" s="217">
        <f>D49+D50</f>
        <v>53101</v>
      </c>
      <c r="E57" s="219">
        <f>E49+E50</f>
        <v>83101</v>
      </c>
      <c r="F57" s="219">
        <f>F49+F50</f>
        <v>33839</v>
      </c>
      <c r="G57" s="894">
        <f t="shared" si="0"/>
        <v>0.40720328275231343</v>
      </c>
      <c r="H57" s="392"/>
    </row>
    <row r="58" spans="1:8" ht="12" customHeight="1">
      <c r="A58" s="366"/>
      <c r="B58" s="462" t="s">
        <v>484</v>
      </c>
      <c r="C58" s="763"/>
      <c r="D58" s="763"/>
      <c r="E58" s="763"/>
      <c r="F58" s="763"/>
      <c r="G58" s="415"/>
      <c r="H58" s="463"/>
    </row>
    <row r="59" spans="1:8" ht="12" customHeight="1">
      <c r="A59" s="387">
        <v>5056</v>
      </c>
      <c r="B59" s="470" t="s">
        <v>645</v>
      </c>
      <c r="C59" s="211">
        <v>8917</v>
      </c>
      <c r="D59" s="211">
        <v>8917</v>
      </c>
      <c r="E59" s="211">
        <v>8917</v>
      </c>
      <c r="F59" s="211">
        <v>0</v>
      </c>
      <c r="G59" s="415">
        <f t="shared" si="0"/>
        <v>0</v>
      </c>
      <c r="H59" s="471"/>
    </row>
    <row r="60" spans="1:8" ht="12" customHeight="1">
      <c r="A60" s="387">
        <v>5061</v>
      </c>
      <c r="B60" s="470" t="s">
        <v>722</v>
      </c>
      <c r="C60" s="211"/>
      <c r="D60" s="211">
        <v>10000</v>
      </c>
      <c r="E60" s="211">
        <v>10000</v>
      </c>
      <c r="F60" s="211">
        <v>0</v>
      </c>
      <c r="G60" s="415">
        <f t="shared" si="0"/>
        <v>0</v>
      </c>
      <c r="H60" s="471"/>
    </row>
    <row r="61" spans="1:8" ht="12" customHeight="1">
      <c r="A61" s="338">
        <v>5060</v>
      </c>
      <c r="B61" s="414" t="s">
        <v>134</v>
      </c>
      <c r="C61" s="217">
        <f>C59</f>
        <v>8917</v>
      </c>
      <c r="D61" s="217">
        <f>D59+D60</f>
        <v>18917</v>
      </c>
      <c r="E61" s="217">
        <f>E59+E60</f>
        <v>18917</v>
      </c>
      <c r="F61" s="217">
        <f>F59+F60</f>
        <v>0</v>
      </c>
      <c r="G61" s="895">
        <f t="shared" si="0"/>
        <v>0</v>
      </c>
      <c r="H61" s="392"/>
    </row>
    <row r="62" spans="1:8" ht="15.75" customHeight="1">
      <c r="A62" s="268"/>
      <c r="B62" s="464" t="s">
        <v>221</v>
      </c>
      <c r="C62" s="219">
        <f>SUM(C57+C47+C34+C61)</f>
        <v>1717061</v>
      </c>
      <c r="D62" s="219">
        <f>SUM(D57+D47+D34+D61)</f>
        <v>1993441</v>
      </c>
      <c r="E62" s="219">
        <f>SUM(E57+E47+E34+E61)</f>
        <v>2222441</v>
      </c>
      <c r="F62" s="219">
        <f>SUM(F57+F47+F34+F61)</f>
        <v>216368</v>
      </c>
      <c r="G62" s="895">
        <f t="shared" si="0"/>
        <v>0.09735601530029368</v>
      </c>
      <c r="H62" s="401"/>
    </row>
    <row r="63" spans="1:8" ht="12.75">
      <c r="A63" s="65"/>
      <c r="B63" s="403" t="s">
        <v>47</v>
      </c>
      <c r="C63" s="763"/>
      <c r="D63" s="763"/>
      <c r="E63" s="763"/>
      <c r="F63" s="763"/>
      <c r="G63" s="415"/>
      <c r="H63" s="276"/>
    </row>
    <row r="64" spans="1:8" ht="12.75">
      <c r="A64" s="65"/>
      <c r="B64" s="276" t="s">
        <v>85</v>
      </c>
      <c r="C64" s="211"/>
      <c r="D64" s="211"/>
      <c r="E64" s="211"/>
      <c r="F64" s="211"/>
      <c r="G64" s="415"/>
      <c r="H64" s="276"/>
    </row>
    <row r="65" spans="1:8" ht="12.75">
      <c r="A65" s="65"/>
      <c r="B65" s="404" t="s">
        <v>80</v>
      </c>
      <c r="C65" s="211"/>
      <c r="D65" s="211"/>
      <c r="E65" s="211"/>
      <c r="F65" s="211"/>
      <c r="G65" s="415"/>
      <c r="H65" s="276"/>
    </row>
    <row r="66" spans="1:9" ht="12" customHeight="1">
      <c r="A66" s="273"/>
      <c r="B66" s="404" t="s">
        <v>81</v>
      </c>
      <c r="C66" s="211">
        <f>C44+C22+C25+C28+C51</f>
        <v>0</v>
      </c>
      <c r="D66" s="211">
        <f>D44+D22+D25+D28+D51</f>
        <v>4788</v>
      </c>
      <c r="E66" s="211">
        <f>E44+E22+E25+E28+E51</f>
        <v>31751</v>
      </c>
      <c r="F66" s="211">
        <f>F44+F22+F25+F28+F51+F41</f>
        <v>1508</v>
      </c>
      <c r="G66" s="412">
        <f t="shared" si="0"/>
        <v>0.04749456710024881</v>
      </c>
      <c r="H66" s="276"/>
      <c r="I66" s="289"/>
    </row>
    <row r="67" spans="1:9" ht="12" customHeight="1">
      <c r="A67" s="273"/>
      <c r="B67" s="404" t="s">
        <v>240</v>
      </c>
      <c r="C67" s="765"/>
      <c r="D67" s="765"/>
      <c r="E67" s="765">
        <f>E38</f>
        <v>32000</v>
      </c>
      <c r="F67" s="765">
        <f>F38</f>
        <v>32000</v>
      </c>
      <c r="G67" s="412">
        <f t="shared" si="0"/>
        <v>1</v>
      </c>
      <c r="H67" s="276"/>
      <c r="I67" s="289"/>
    </row>
    <row r="68" spans="1:9" ht="12" customHeight="1">
      <c r="A68" s="273"/>
      <c r="B68" s="405" t="s">
        <v>38</v>
      </c>
      <c r="C68" s="766">
        <f>SUM(C64:C67)</f>
        <v>0</v>
      </c>
      <c r="D68" s="766">
        <f>SUM(D64:D67)</f>
        <v>4788</v>
      </c>
      <c r="E68" s="766">
        <f>SUM(E64:E67)</f>
        <v>63751</v>
      </c>
      <c r="F68" s="766">
        <f>SUM(F64:F67)</f>
        <v>33508</v>
      </c>
      <c r="G68" s="412">
        <f t="shared" si="0"/>
        <v>0.5256074414518987</v>
      </c>
      <c r="H68" s="276"/>
      <c r="I68" s="289"/>
    </row>
    <row r="69" spans="1:9" ht="12" customHeight="1">
      <c r="A69" s="273"/>
      <c r="B69" s="406" t="s">
        <v>48</v>
      </c>
      <c r="C69" s="765"/>
      <c r="D69" s="765"/>
      <c r="E69" s="765"/>
      <c r="F69" s="765"/>
      <c r="G69" s="412"/>
      <c r="H69" s="276"/>
      <c r="I69" s="289"/>
    </row>
    <row r="70" spans="1:9" ht="12" customHeight="1">
      <c r="A70" s="273"/>
      <c r="B70" s="404" t="s">
        <v>202</v>
      </c>
      <c r="C70" s="765"/>
      <c r="D70" s="765"/>
      <c r="E70" s="765"/>
      <c r="F70" s="765"/>
      <c r="G70" s="412"/>
      <c r="H70" s="276"/>
      <c r="I70" s="289"/>
    </row>
    <row r="71" spans="1:9" ht="12" customHeight="1">
      <c r="A71" s="273"/>
      <c r="B71" s="404" t="s">
        <v>329</v>
      </c>
      <c r="C71" s="765">
        <f>SUM(C57+C47+C34+C61)-C66-C64-C65-C72-C70</f>
        <v>1717061</v>
      </c>
      <c r="D71" s="765">
        <f>SUM(D57+D47+D34+D61)-D66-D64-D65-D72-D70</f>
        <v>1988653</v>
      </c>
      <c r="E71" s="765">
        <f>SUM(E57+E47+E34+E61)-E66-E64-E65-E72-E70-E67</f>
        <v>2158690</v>
      </c>
      <c r="F71" s="765">
        <f>SUM(F57+F47+F34+F61)-F66-F64-F65-F72-F70-F67</f>
        <v>178860</v>
      </c>
      <c r="G71" s="412">
        <f t="shared" si="0"/>
        <v>0.08285580606756876</v>
      </c>
      <c r="H71" s="276"/>
      <c r="I71" s="289"/>
    </row>
    <row r="72" spans="1:9" ht="12" customHeight="1">
      <c r="A72" s="273"/>
      <c r="B72" s="404" t="s">
        <v>269</v>
      </c>
      <c r="C72" s="765"/>
      <c r="D72" s="765"/>
      <c r="E72" s="765"/>
      <c r="F72" s="765">
        <f>F30</f>
        <v>4000</v>
      </c>
      <c r="G72" s="412"/>
      <c r="H72" s="276"/>
      <c r="I72" s="289"/>
    </row>
    <row r="73" spans="1:9" ht="12" customHeight="1">
      <c r="A73" s="397"/>
      <c r="B73" s="218" t="s">
        <v>44</v>
      </c>
      <c r="C73" s="767">
        <f>SUM(C70:C72)</f>
        <v>1717061</v>
      </c>
      <c r="D73" s="767">
        <f>SUM(D70:D72)</f>
        <v>1988653</v>
      </c>
      <c r="E73" s="767">
        <f>SUM(E70:E72)</f>
        <v>2158690</v>
      </c>
      <c r="F73" s="767">
        <f>SUM(F70:F72)</f>
        <v>182860</v>
      </c>
      <c r="G73" s="896">
        <f t="shared" si="0"/>
        <v>0.08470878171483631</v>
      </c>
      <c r="H73" s="274"/>
      <c r="I73" s="289"/>
    </row>
    <row r="74" spans="1:9" ht="12" customHeight="1">
      <c r="A74" s="418"/>
      <c r="B74" s="392" t="s">
        <v>84</v>
      </c>
      <c r="C74" s="767">
        <f>SUM(C57+C47+C34+C61)</f>
        <v>1717061</v>
      </c>
      <c r="D74" s="767">
        <f>SUM(D57+D47+D34+D61)</f>
        <v>1993441</v>
      </c>
      <c r="E74" s="767">
        <f>SUM(E57+E47+E34+E61)</f>
        <v>2222441</v>
      </c>
      <c r="F74" s="767">
        <f>SUM(F57+F47+F34+F61)</f>
        <v>216368</v>
      </c>
      <c r="G74" s="895">
        <f t="shared" si="0"/>
        <v>0.09735601530029368</v>
      </c>
      <c r="H74" s="64"/>
      <c r="I74" s="289"/>
    </row>
  </sheetData>
  <mergeCells count="7">
    <mergeCell ref="A2:H2"/>
    <mergeCell ref="A1:H1"/>
    <mergeCell ref="G5:G7"/>
    <mergeCell ref="C5:C7"/>
    <mergeCell ref="D5:D7"/>
    <mergeCell ref="E5:E7"/>
    <mergeCell ref="F5:F7"/>
  </mergeCells>
  <printOptions horizontalCentered="1"/>
  <pageMargins left="0" right="0" top="0.3937007874015748" bottom="0.07874015748031496" header="0.5118110236220472" footer="0"/>
  <pageSetup firstPageNumber="42" useFirstPageNumber="1" horizontalDpi="300" verticalDpi="300" orientation="landscape" paperSize="9" scale="61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2023-11-07T11:56:01Z</cp:lastPrinted>
  <dcterms:created xsi:type="dcterms:W3CDTF">2004-02-02T11:10:51Z</dcterms:created>
  <dcterms:modified xsi:type="dcterms:W3CDTF">2023-11-07T11:56:05Z</dcterms:modified>
  <cp:category/>
  <cp:version/>
  <cp:contentType/>
  <cp:contentStatus/>
</cp:coreProperties>
</file>