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8800" windowHeight="12435" tabRatio="652" activeTab="1"/>
  </bookViews>
  <sheets>
    <sheet name="1a.mell " sheetId="115" r:id="rId1"/>
    <sheet name="1b.mell " sheetId="136" r:id="rId2"/>
    <sheet name="1c.mell " sheetId="98" r:id="rId3"/>
    <sheet name="2.mell" sheetId="135" r:id="rId4"/>
    <sheet name="3a.m." sheetId="43" r:id="rId5"/>
    <sheet name="3c.m." sheetId="44" r:id="rId6"/>
    <sheet name="3d.m." sheetId="125" r:id="rId7"/>
    <sheet name="4.mell." sheetId="47" r:id="rId8"/>
    <sheet name="5.mell. " sheetId="48" r:id="rId9"/>
    <sheet name="6.mell. " sheetId="49" r:id="rId10"/>
    <sheet name="7.mell" sheetId="137" r:id="rId11"/>
    <sheet name="8.mell. " sheetId="138" r:id="rId12"/>
    <sheet name="9.mell. " sheetId="139" r:id="rId13"/>
    <sheet name="10.mell " sheetId="140" r:id="rId14"/>
    <sheet name="11.mell" sheetId="141" r:id="rId15"/>
    <sheet name="12.mell" sheetId="142" r:id="rId16"/>
    <sheet name="13.mell" sheetId="143" r:id="rId17"/>
    <sheet name="14.mell" sheetId="144" r:id="rId18"/>
    <sheet name="15.mell" sheetId="145" r:id="rId19"/>
    <sheet name="16.mell" sheetId="146" r:id="rId20"/>
    <sheet name="17.mell" sheetId="147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dósság">0</definedName>
    <definedName name="beruh" localSheetId="13">#REF!</definedName>
    <definedName name="beruh" localSheetId="14">#REF!</definedName>
    <definedName name="beruh" localSheetId="15">#REF!</definedName>
    <definedName name="beruh" localSheetId="16">#REF!</definedName>
    <definedName name="beruh" localSheetId="17">#REF!</definedName>
    <definedName name="beruh" localSheetId="18">#REF!</definedName>
    <definedName name="beruh" localSheetId="19">#REF!</definedName>
    <definedName name="beruh" localSheetId="20">#REF!</definedName>
    <definedName name="beruh" localSheetId="10">#REF!</definedName>
    <definedName name="beruh" localSheetId="11">#REF!</definedName>
    <definedName name="beruh" localSheetId="12">#REF!</definedName>
    <definedName name="beruh">#REF!</definedName>
    <definedName name="beruházás" localSheetId="13">#REF!</definedName>
    <definedName name="beruházás" localSheetId="14">#REF!</definedName>
    <definedName name="beruházás" localSheetId="15">#REF!</definedName>
    <definedName name="beruházás" localSheetId="16">#REF!</definedName>
    <definedName name="beruházás" localSheetId="17">#REF!</definedName>
    <definedName name="beruházás" localSheetId="18">#REF!</definedName>
    <definedName name="beruházás" localSheetId="19">#REF!</definedName>
    <definedName name="beruházás" localSheetId="20">#REF!</definedName>
    <definedName name="beruházás" localSheetId="10">#REF!</definedName>
    <definedName name="beruházás" localSheetId="11">#REF!</definedName>
    <definedName name="beruházás" localSheetId="12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'[2]Bevétel'!$A$10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3">#REF!</definedName>
    <definedName name="cskimutatas_hivatal_szakmai_igenyek_Dim06" localSheetId="14">#REF!</definedName>
    <definedName name="cskimutatas_hivatal_szakmai_igenyek_Dim06" localSheetId="15">#REF!</definedName>
    <definedName name="cskimutatas_hivatal_szakmai_igenyek_Dim06" localSheetId="16">#REF!</definedName>
    <definedName name="cskimutatas_hivatal_szakmai_igenyek_Dim06" localSheetId="17">#REF!</definedName>
    <definedName name="cskimutatas_hivatal_szakmai_igenyek_Dim06" localSheetId="18">#REF!</definedName>
    <definedName name="cskimutatas_hivatal_szakmai_igenyek_Dim06" localSheetId="19">#REF!</definedName>
    <definedName name="cskimutatas_hivatal_szakmai_igenyek_Dim06" localSheetId="20">#REF!</definedName>
    <definedName name="cskimutatas_hivatal_szakmai_igenyek_Dim06" localSheetId="10">#REF!</definedName>
    <definedName name="cskimutatas_hivatal_szakmai_igenyek_Dim06" localSheetId="11">#REF!</definedName>
    <definedName name="cskimutatas_hivatal_szakmai_igenyek_Dim06" localSheetId="12">#REF!</definedName>
    <definedName name="cskimutatas_hivatal_szakmai_igenyek_Dim06">#REF!</definedName>
    <definedName name="cskimutatas_hivatal_szakmai_igenyek_Dim07">"="</definedName>
    <definedName name="cskimutatas_hivatal_szakmai_igenyek_Dim08">"="</definedName>
    <definedName name="cskimutatas_hivatal_szakmai_igenyek_Dim09" localSheetId="13">#REF!</definedName>
    <definedName name="cskimutatas_hivatal_szakmai_igenyek_Dim09" localSheetId="14">#REF!</definedName>
    <definedName name="cskimutatas_hivatal_szakmai_igenyek_Dim09" localSheetId="15">#REF!</definedName>
    <definedName name="cskimutatas_hivatal_szakmai_igenyek_Dim09" localSheetId="16">#REF!</definedName>
    <definedName name="cskimutatas_hivatal_szakmai_igenyek_Dim09" localSheetId="17">#REF!</definedName>
    <definedName name="cskimutatas_hivatal_szakmai_igenyek_Dim09" localSheetId="18">#REF!</definedName>
    <definedName name="cskimutatas_hivatal_szakmai_igenyek_Dim09" localSheetId="19">#REF!</definedName>
    <definedName name="cskimutatas_hivatal_szakmai_igenyek_Dim09" localSheetId="20">#REF!</definedName>
    <definedName name="cskimutatas_hivatal_szakmai_igenyek_Dim09" localSheetId="10">#REF!</definedName>
    <definedName name="cskimutatas_hivatal_szakmai_igenyek_Dim09" localSheetId="11">#REF!</definedName>
    <definedName name="cskimutatas_hivatal_szakmai_igenyek_Dim09" localSheetId="12">#REF!</definedName>
    <definedName name="cskimutatas_hivatal_szakmai_igenyek_Dim09">#REF!</definedName>
    <definedName name="cskimutatas_hivatal_szakmai_igenyek_Dim10">"="</definedName>
    <definedName name="cskimutatas_hivatal_szakmai_igenyek_Dim11">"="</definedName>
    <definedName name="cskimutatas_hivatal_szakmai_igenyekAnchor" localSheetId="13">#REF!</definedName>
    <definedName name="cskimutatas_hivatal_szakmai_igenyekAnchor" localSheetId="14">#REF!</definedName>
    <definedName name="cskimutatas_hivatal_szakmai_igenyekAnchor" localSheetId="15">#REF!</definedName>
    <definedName name="cskimutatas_hivatal_szakmai_igenyekAnchor" localSheetId="16">#REF!</definedName>
    <definedName name="cskimutatas_hivatal_szakmai_igenyekAnchor" localSheetId="17">#REF!</definedName>
    <definedName name="cskimutatas_hivatal_szakmai_igenyekAnchor" localSheetId="18">#REF!</definedName>
    <definedName name="cskimutatas_hivatal_szakmai_igenyekAnchor" localSheetId="19">#REF!</definedName>
    <definedName name="cskimutatas_hivatal_szakmai_igenyekAnchor" localSheetId="20">#REF!</definedName>
    <definedName name="cskimutatas_hivatal_szakmai_igenyekAnchor" localSheetId="10">#REF!</definedName>
    <definedName name="cskimutatas_hivatal_szakmai_igenyekAnchor" localSheetId="11">#REF!</definedName>
    <definedName name="cskimutatas_hivatal_szakmai_igenyekAnchor" localSheetId="12">#REF!</definedName>
    <definedName name="cskimutatas_hivatal_szakmai_igenyekAnchor">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'[2]Kiadás'!$A$8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'[5]10intberuh-felúj'!$A$10</definedName>
    <definedName name="Hiv.felújtás">1</definedName>
    <definedName name="kkkkk">#REF!</definedName>
    <definedName name="kkkkkkk" localSheetId="13">#REF!</definedName>
    <definedName name="kkkkkkk" localSheetId="14">#REF!</definedName>
    <definedName name="kkkkkkk" localSheetId="15">#REF!</definedName>
    <definedName name="kkkkkkk" localSheetId="16">#REF!</definedName>
    <definedName name="kkkkkkk" localSheetId="17">#REF!</definedName>
    <definedName name="kkkkkkk" localSheetId="18">#REF!</definedName>
    <definedName name="kkkkkkk" localSheetId="19">#REF!</definedName>
    <definedName name="kkkkkkk" localSheetId="20">#REF!</definedName>
    <definedName name="kkkkkkk" localSheetId="10">#REF!</definedName>
    <definedName name="kkkkkkk" localSheetId="11">#REF!</definedName>
    <definedName name="kkkkkkk" localSheetId="12">#REF!</definedName>
    <definedName name="kkkkkkk">#REF!</definedName>
    <definedName name="l" localSheetId="13">#REF!</definedName>
    <definedName name="l" localSheetId="14">#REF!</definedName>
    <definedName name="l" localSheetId="15">#REF!</definedName>
    <definedName name="l" localSheetId="16">#REF!</definedName>
    <definedName name="l" localSheetId="17">#REF!</definedName>
    <definedName name="l" localSheetId="18">#REF!</definedName>
    <definedName name="l" localSheetId="19">#REF!</definedName>
    <definedName name="l" localSheetId="20">#REF!</definedName>
    <definedName name="l" localSheetId="10">#REF!</definedName>
    <definedName name="l" localSheetId="11">#REF!</definedName>
    <definedName name="l" localSheetId="12">#REF!</definedName>
    <definedName name="l">#REF!</definedName>
    <definedName name="nem">1</definedName>
    <definedName name="nnn">#REF!</definedName>
    <definedName name="_xlnm.Print_Area" localSheetId="0">'1a.mell '!$A$1:$F$57</definedName>
    <definedName name="_xlnm.Print_Area" localSheetId="1">'1b.mell '!$A$1:$G$249</definedName>
    <definedName name="_xlnm.Print_Area" localSheetId="2">'1c.mell '!$A$1:$F$142</definedName>
    <definedName name="_xlnm.Print_Area" localSheetId="3">'2.mell'!$A$1:$F$660</definedName>
    <definedName name="_xlnm.Print_Area" localSheetId="11">'8.mell. '!$A$1:$J$46</definedName>
    <definedName name="székház" localSheetId="13">#REF!</definedName>
    <definedName name="székház" localSheetId="14">#REF!</definedName>
    <definedName name="székház" localSheetId="15">#REF!</definedName>
    <definedName name="székház" localSheetId="16">#REF!</definedName>
    <definedName name="székház" localSheetId="17">#REF!</definedName>
    <definedName name="székház" localSheetId="18">#REF!</definedName>
    <definedName name="székház" localSheetId="19">#REF!</definedName>
    <definedName name="székház" localSheetId="20">#REF!</definedName>
    <definedName name="székház" localSheetId="10">#REF!</definedName>
    <definedName name="székház" localSheetId="11">#REF!</definedName>
    <definedName name="székház" localSheetId="12">#REF!</definedName>
    <definedName name="székház">#REF!</definedName>
    <definedName name="székházbérlők" localSheetId="13">#REF!</definedName>
    <definedName name="székházbérlők" localSheetId="14">#REF!</definedName>
    <definedName name="székházbérlők" localSheetId="15">#REF!</definedName>
    <definedName name="székházbérlők" localSheetId="16">#REF!</definedName>
    <definedName name="székházbérlők" localSheetId="17">#REF!</definedName>
    <definedName name="székházbérlők" localSheetId="18">#REF!</definedName>
    <definedName name="székházbérlők" localSheetId="19">#REF!</definedName>
    <definedName name="székházbérlők" localSheetId="20">#REF!</definedName>
    <definedName name="székházbérlők" localSheetId="10">#REF!</definedName>
    <definedName name="székházbérlők" localSheetId="11">#REF!</definedName>
    <definedName name="székházbérlők" localSheetId="12">#REF!</definedName>
    <definedName name="székházbérlők">#REF!</definedName>
    <definedName name="szintrehotzás" localSheetId="13">#REF!</definedName>
    <definedName name="szintrehotzás" localSheetId="14">#REF!</definedName>
    <definedName name="szintrehotzás" localSheetId="15">#REF!</definedName>
    <definedName name="szintrehotzás" localSheetId="16">#REF!</definedName>
    <definedName name="szintrehotzás" localSheetId="17">#REF!</definedName>
    <definedName name="szintrehotzás" localSheetId="18">#REF!</definedName>
    <definedName name="szintrehotzás" localSheetId="19">#REF!</definedName>
    <definedName name="szintrehotzás" localSheetId="20">#REF!</definedName>
    <definedName name="szintrehotzás" localSheetId="10">#REF!</definedName>
    <definedName name="szintrehotzás" localSheetId="11">#REF!</definedName>
    <definedName name="szintrehotzás" localSheetId="12">#REF!</definedName>
    <definedName name="szintrehotzás">#REF!</definedName>
    <definedName name="szintrehozás2" localSheetId="13">#REF!</definedName>
    <definedName name="szintrehozás2" localSheetId="14">#REF!</definedName>
    <definedName name="szintrehozás2" localSheetId="15">#REF!</definedName>
    <definedName name="szintrehozás2" localSheetId="16">#REF!</definedName>
    <definedName name="szintrehozás2" localSheetId="17">#REF!</definedName>
    <definedName name="szintrehozás2" localSheetId="18">#REF!</definedName>
    <definedName name="szintrehozás2" localSheetId="19">#REF!</definedName>
    <definedName name="szintrehozás2" localSheetId="20">#REF!</definedName>
    <definedName name="szintrehozás2" localSheetId="10">#REF!</definedName>
    <definedName name="szintrehozás2" localSheetId="11">#REF!</definedName>
    <definedName name="szintrehozás2" localSheetId="12">#REF!</definedName>
    <definedName name="szintrehozás2">#REF!</definedName>
    <definedName name="szintrhozás2" localSheetId="13">#REF!</definedName>
    <definedName name="szintrhozás2" localSheetId="14">#REF!</definedName>
    <definedName name="szintrhozás2" localSheetId="15">#REF!</definedName>
    <definedName name="szintrhozás2" localSheetId="16">#REF!</definedName>
    <definedName name="szintrhozás2" localSheetId="17">#REF!</definedName>
    <definedName name="szintrhozás2" localSheetId="18">#REF!</definedName>
    <definedName name="szintrhozás2" localSheetId="19">#REF!</definedName>
    <definedName name="szintrhozás2" localSheetId="20">#REF!</definedName>
    <definedName name="szintrhozás2" localSheetId="10">#REF!</definedName>
    <definedName name="szintrhozás2" localSheetId="11">#REF!</definedName>
    <definedName name="szintrhozás2" localSheetId="12">#REF!</definedName>
    <definedName name="szintrhozás2">#REF!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'3a.m.'!$3:$7</definedName>
    <definedName name="_xlnm.Print_Titles" localSheetId="5">'3c.m.'!$4:$8</definedName>
    <definedName name="_xlnm.Print_Titles" localSheetId="6">'3d.m.'!$3:$7</definedName>
    <definedName name="_xlnm.Print_Titles" localSheetId="7">'4.mell.'!$3:$7</definedName>
    <definedName name="_xlnm.Print_Titles" localSheetId="8">'5.mell. '!$4:$8</definedName>
    <definedName name="_xlnm.Print_Titles" localSheetId="9">'6.mell. '!$7:$10</definedName>
    <definedName name="_xlnm.Print_Titles" localSheetId="12">'9.mell. '!$8:$11</definedName>
    <definedName name="_xlnm.Print_Titles" localSheetId="14">'11.mell'!$8:$9</definedName>
    <definedName name="_xlnm.Print_Titles" localSheetId="15">'12.mell'!$5:$6</definedName>
  </definedNames>
  <calcPr calcId="152511"/>
</workbook>
</file>

<file path=xl/sharedStrings.xml><?xml version="1.0" encoding="utf-8"?>
<sst xmlns="http://schemas.openxmlformats.org/spreadsheetml/2006/main" count="3491" uniqueCount="1379">
  <si>
    <t xml:space="preserve">       - Helyiség megszerzési díj  </t>
  </si>
  <si>
    <t xml:space="preserve">       - Önkormányzat közvetített szolgáltatások ellenértéke  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</si>
  <si>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</si>
  <si>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</si>
  <si>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</si>
  <si>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 xml:space="preserve">Egyéb közhatalmi bevételek </t>
  </si>
  <si>
    <t>Akadálymentesítési támogatás</t>
  </si>
  <si>
    <t>Ferencvárosi Helytörténeti Egyesület</t>
  </si>
  <si>
    <t>Gyermekétkeztetés támogatása</t>
  </si>
  <si>
    <t>Gépkocsi elszállítás</t>
  </si>
  <si>
    <t>Jövedelempótló rendszeres támogatás</t>
  </si>
  <si>
    <t>Közüzemi díj és közös költség támogatása</t>
  </si>
  <si>
    <t>Lakások és helyiségek, ingatlan vásárlása</t>
  </si>
  <si>
    <t xml:space="preserve">                                   9TV</t>
  </si>
  <si>
    <t xml:space="preserve">                        ebből: kiemelt rendezvények</t>
  </si>
  <si>
    <t>Horvát Nemzetiségi Önkormányzat</t>
  </si>
  <si>
    <t xml:space="preserve">   Beruházási kiadások</t>
  </si>
  <si>
    <t>Közfoglalkoztatottak pályázat tám.önrésze, kapcs.egyéb kiad.tám.</t>
  </si>
  <si>
    <t>Termelői piac</t>
  </si>
  <si>
    <t xml:space="preserve">Ferencvárosi Intézmény Üzemeltetési Központ 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</si>
  <si>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</si>
  <si>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</si>
  <si>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</si>
  <si>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</si>
  <si>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</si>
  <si>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 xml:space="preserve">    Építményadó                        </t>
  </si>
  <si>
    <t xml:space="preserve">    Telekadó                   </t>
  </si>
  <si>
    <t xml:space="preserve">Felhalmozási finanszírozási kiadások </t>
  </si>
  <si>
    <t xml:space="preserve">Működési finanszírozási kiadások </t>
  </si>
  <si>
    <t>FESZOFE Nonprofit Kft</t>
  </si>
  <si>
    <t>Szociális és köznevelési feladatok</t>
  </si>
  <si>
    <t>Idősügyi Koncepció</t>
  </si>
  <si>
    <t>Ifjusági és drogprevenciós feladatok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</si>
  <si>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</si>
  <si>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</si>
  <si>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</si>
  <si>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Általános tartalék - </t>
    </r>
    <r>
      <rPr>
        <i/>
        <sz val="9"/>
        <rFont val="Arial CE"/>
        <family val="2"/>
      </rPr>
      <t>Egyéb működési célú kiadás</t>
    </r>
  </si>
  <si>
    <r>
      <t xml:space="preserve">Céltartalék - </t>
    </r>
    <r>
      <rPr>
        <i/>
        <sz val="9"/>
        <rFont val="Arial CE"/>
        <family val="2"/>
      </rPr>
      <t>Egyéb működési célú kiadás</t>
    </r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</si>
  <si>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</si>
  <si>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</si>
  <si>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</si>
  <si>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</si>
  <si>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</si>
  <si>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</si>
  <si>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r>
      <t xml:space="preserve">Általános tartalék  - </t>
    </r>
    <r>
      <rPr>
        <sz val="10"/>
        <rFont val="Arial CE"/>
        <family val="2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</si>
  <si>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</si>
  <si>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2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</si>
  <si>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</si>
  <si>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</si>
  <si>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</si>
  <si>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</si>
  <si>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</si>
  <si>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</si>
  <si>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</si>
  <si>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</si>
  <si>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</si>
  <si>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Működési költségvetési kiadások</t>
  </si>
  <si>
    <t>Felhalmozási költségvetési kiadások</t>
  </si>
  <si>
    <t>Felhalmozási költségvetés kiadások mindösszesen</t>
  </si>
  <si>
    <t>Bevételek mindösszesen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</si>
  <si>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</si>
  <si>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</si>
  <si>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</si>
  <si>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</si>
  <si>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</si>
  <si>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</si>
  <si>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</si>
  <si>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</si>
  <si>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</si>
  <si>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</si>
  <si>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</si>
  <si>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</si>
  <si>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</si>
  <si>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</si>
  <si>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</si>
  <si>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</si>
  <si>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</si>
  <si>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</si>
  <si>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</si>
  <si>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</si>
  <si>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</si>
  <si>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</si>
  <si>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</si>
  <si>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</si>
  <si>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</si>
  <si>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</si>
  <si>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</si>
  <si>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</si>
  <si>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</si>
  <si>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</si>
  <si>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</si>
  <si>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</si>
  <si>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</si>
  <si>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</si>
  <si>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</si>
  <si>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</si>
  <si>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</si>
  <si>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</si>
  <si>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</si>
  <si>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</si>
  <si>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</si>
  <si>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</si>
  <si>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</si>
  <si>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</si>
  <si>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</si>
  <si>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</si>
  <si>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</si>
  <si>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</si>
  <si>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</si>
  <si>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>Csicsergő Óvoda felújítás</t>
  </si>
  <si>
    <t>Csudafa Óvoda felújítás</t>
  </si>
  <si>
    <t>Kerekerdő Óvoda felújítás</t>
  </si>
  <si>
    <t>Nemzetiségi Önkormányzat működési kiadásai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</si>
  <si>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</si>
  <si>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</si>
  <si>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</si>
  <si>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</si>
  <si>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</si>
  <si>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</si>
  <si>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</si>
  <si>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</si>
  <si>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</si>
  <si>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</si>
  <si>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</si>
  <si>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</si>
  <si>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</si>
  <si>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</si>
  <si>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</si>
  <si>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</si>
  <si>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</si>
  <si>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</si>
  <si>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</si>
  <si>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</si>
  <si>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</si>
  <si>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</si>
  <si>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</si>
  <si>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Környezetvédelmi Bizottság</t>
  </si>
  <si>
    <t xml:space="preserve">    Ellátottak pénzbeli juttatásai</t>
  </si>
  <si>
    <t>Megnevezés</t>
  </si>
  <si>
    <t>1.</t>
  </si>
  <si>
    <t>2.</t>
  </si>
  <si>
    <t>3.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</si>
  <si>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</si>
  <si>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</si>
  <si>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</si>
  <si>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</si>
  <si>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</si>
  <si>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</si>
  <si>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</si>
  <si>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</si>
  <si>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</si>
  <si>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</si>
  <si>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</si>
  <si>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</si>
  <si>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</si>
  <si>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</si>
  <si>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</si>
  <si>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</si>
  <si>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</si>
  <si>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</si>
  <si>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</si>
  <si>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</si>
  <si>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</si>
  <si>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</si>
  <si>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</si>
  <si>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</si>
  <si>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</si>
  <si>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</si>
  <si>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</si>
  <si>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</si>
  <si>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</si>
  <si>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</si>
  <si>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</si>
  <si>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</si>
  <si>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</si>
  <si>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</si>
  <si>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</si>
  <si>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</si>
  <si>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</si>
  <si>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</si>
  <si>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</si>
  <si>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</si>
  <si>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</si>
  <si>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</si>
  <si>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</si>
  <si>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</si>
  <si>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</si>
  <si>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</si>
  <si>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</si>
  <si>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</si>
  <si>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</si>
  <si>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</si>
  <si>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</si>
  <si>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</si>
  <si>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</si>
  <si>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</si>
  <si>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</si>
  <si>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</si>
  <si>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</si>
  <si>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</si>
  <si>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</si>
  <si>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</si>
  <si>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</si>
  <si>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</si>
  <si>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</si>
  <si>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</si>
  <si>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Felhalmozási bevételek összesen</t>
  </si>
  <si>
    <t>Balázs B. u. 13. lakóház felújítás</t>
  </si>
  <si>
    <t>Közterületi növényvédelem</t>
  </si>
  <si>
    <t>"Bakáts projekt" tervezések, megvalósítás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</si>
  <si>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</si>
  <si>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</si>
  <si>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</si>
  <si>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</si>
  <si>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</si>
  <si>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</si>
  <si>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</si>
  <si>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</si>
  <si>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</si>
  <si>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2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</si>
  <si>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</si>
  <si>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</si>
  <si>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</si>
  <si>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</si>
  <si>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</si>
  <si>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</si>
  <si>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</si>
  <si>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</si>
  <si>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</si>
  <si>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</si>
  <si>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</si>
  <si>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</si>
  <si>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</si>
  <si>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</si>
  <si>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</si>
  <si>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</si>
  <si>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</si>
  <si>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</si>
  <si>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</si>
  <si>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</si>
  <si>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</si>
  <si>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</si>
  <si>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</si>
  <si>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</si>
  <si>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</si>
  <si>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</si>
  <si>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</si>
  <si>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</si>
  <si>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</si>
  <si>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</si>
  <si>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</si>
  <si>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</si>
  <si>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</si>
  <si>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 Önkormányzati lakások értékesítése</t>
  </si>
  <si>
    <t>Veszélyelhárítás</t>
  </si>
  <si>
    <t>Veszélyes tűzfalak, kémények vizsgálata, bontása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</si>
  <si>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</si>
  <si>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</si>
  <si>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</si>
  <si>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</si>
  <si>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Informatikai működés és fejlesztés</t>
  </si>
  <si>
    <t xml:space="preserve">   Dologi kiadások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</si>
  <si>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</si>
  <si>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</si>
  <si>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</si>
  <si>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</si>
  <si>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</si>
  <si>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</si>
  <si>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</si>
  <si>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</si>
  <si>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</si>
  <si>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</si>
  <si>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</si>
  <si>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</si>
  <si>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</si>
  <si>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</si>
  <si>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</si>
  <si>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</si>
  <si>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</si>
  <si>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</si>
  <si>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</si>
  <si>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</si>
  <si>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</si>
  <si>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</si>
  <si>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</si>
  <si>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</si>
  <si>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</si>
  <si>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</si>
  <si>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</si>
  <si>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</si>
  <si>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</si>
  <si>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</si>
  <si>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</si>
  <si>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</si>
  <si>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</si>
  <si>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</si>
  <si>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</si>
  <si>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</si>
  <si>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</si>
  <si>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</si>
  <si>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</si>
  <si>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</si>
  <si>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</si>
  <si>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</si>
  <si>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</si>
  <si>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</si>
  <si>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</si>
  <si>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</si>
  <si>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</si>
  <si>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</si>
  <si>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</si>
  <si>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</si>
  <si>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</si>
  <si>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</si>
  <si>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Önkormányzati szakmai feladatokkal kapcsolatos kiadások</t>
  </si>
  <si>
    <t>Környezetvédelem</t>
  </si>
  <si>
    <t>Nemzetiségi önkormányzatok pályázati támogatása</t>
  </si>
  <si>
    <t>Születési és életkezdési támogatás</t>
  </si>
  <si>
    <t>Önkormányzati vagyon gazd. kapcs. feladatok - általános</t>
  </si>
  <si>
    <t>Polgármesteri Hivatal igazgatási kiadásai</t>
  </si>
  <si>
    <t>Önkormányzati vagyon gazdálkodásával kapcs. feladatok</t>
  </si>
  <si>
    <t>Önkormányzati vagyon gazd. kapcs. feladatok - eseti</t>
  </si>
  <si>
    <t>Pályázatok</t>
  </si>
  <si>
    <t xml:space="preserve">       Költségvetési szervek támogatása</t>
  </si>
  <si>
    <t xml:space="preserve">       Költségvetési szervek étkezés támogatása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</si>
  <si>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</si>
  <si>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</si>
  <si>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</si>
  <si>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</si>
  <si>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</si>
  <si>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</si>
  <si>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 xml:space="preserve">          Márton 5./a</t>
  </si>
  <si>
    <t>FESZ KN Kft.</t>
  </si>
  <si>
    <t>KÉSZ-ek tervezése</t>
  </si>
  <si>
    <t>Rendkívüli támogatás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</si>
  <si>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</si>
  <si>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</si>
  <si>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</si>
  <si>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Sport és szabadidős feladatok</t>
  </si>
  <si>
    <t>Térfigyelő rendszer karbantartásának, üzemeltetésének költs.</t>
  </si>
  <si>
    <t>Egyéb felhalmozási célú kiadások</t>
  </si>
  <si>
    <t>Személyi juttatás</t>
  </si>
  <si>
    <t>Munkaadókat terhelő járulékok</t>
  </si>
  <si>
    <t xml:space="preserve">     Beruházási kiadások</t>
  </si>
  <si>
    <t>Zeneművészeti szervezetek támogatása</t>
  </si>
  <si>
    <t>Polgármesteri Hivatal épületeinek felújítása</t>
  </si>
  <si>
    <t>Karácsonyi támogatás</t>
  </si>
  <si>
    <t>Ferencvárosi fűtés támogatás</t>
  </si>
  <si>
    <t>Egyéb felhalmozási célú támog.bevételei Áh-n belülről - Fővárosi Önkormányzattól</t>
  </si>
  <si>
    <t>Kulturális koncepció</t>
  </si>
  <si>
    <r>
      <t xml:space="preserve">    Fővárosi IPA visszafizetése </t>
    </r>
    <r>
      <rPr>
        <sz val="9"/>
        <rFont val="Arial CE"/>
        <family val="2"/>
      </rPr>
      <t>- Dologi kiadások</t>
    </r>
  </si>
  <si>
    <t>Közművelődés érdekeltségnöv. pályázat FMK eszközbeszerzés</t>
  </si>
  <si>
    <t>Ferencvárosi Pinceszínház</t>
  </si>
  <si>
    <t xml:space="preserve">     Beruházások (2.mell.,3.A mell.,3.B., 3/C, 3/D, 4. mell.nélkül)</t>
  </si>
  <si>
    <t xml:space="preserve"> Készletértékesítés</t>
  </si>
  <si>
    <t xml:space="preserve"> Egyéb tárgyi eszköz értékesítés</t>
  </si>
  <si>
    <t xml:space="preserve"> Készlet értékesítés</t>
  </si>
  <si>
    <t>Készletértékesítés</t>
  </si>
  <si>
    <t>FESZ műszer beszerzés</t>
  </si>
  <si>
    <t>Belföldi értékpapírok bevételei</t>
  </si>
  <si>
    <t>Játszóterek karbantartása</t>
  </si>
  <si>
    <t>Képviselők és választott tisztségviselők juttatásai</t>
  </si>
  <si>
    <t>Parkolási feladatok (FEV IX. Zrt. által ellátott feladatokkal együtt)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</si>
  <si>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</si>
  <si>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</si>
  <si>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</si>
  <si>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</si>
  <si>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</si>
  <si>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</si>
  <si>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</si>
  <si>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</si>
  <si>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</si>
  <si>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</si>
  <si>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</si>
  <si>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</si>
  <si>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</si>
  <si>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</si>
  <si>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</si>
  <si>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</si>
  <si>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2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</si>
  <si>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</si>
  <si>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</si>
  <si>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</si>
  <si>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</si>
  <si>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</si>
  <si>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 xml:space="preserve">   Közigazgatási bírság</t>
  </si>
  <si>
    <t>Előző év vállalkozkozási maradványának igénybevétele</t>
  </si>
  <si>
    <t>Előző év vállalkozási maradványának igénybevétele</t>
  </si>
  <si>
    <t>Készletértékesítés ellenértéke</t>
  </si>
  <si>
    <t>Kamatbevételek és más nyereségjellegű bevételek</t>
  </si>
  <si>
    <t>Hitel-, kölcsöntörlesztés államháztartáson kívülre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</si>
  <si>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</si>
  <si>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</si>
  <si>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</si>
  <si>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</si>
  <si>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</si>
  <si>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</si>
  <si>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</si>
  <si>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>Küldetés Egyesület ellátási szerződés</t>
  </si>
  <si>
    <t>FESZOFE kiemelkedően közhasznú Non-profit Kft működési tám.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</si>
  <si>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</si>
  <si>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</si>
  <si>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</si>
  <si>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</si>
  <si>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</si>
  <si>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</si>
  <si>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</si>
  <si>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</si>
  <si>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Egyéb felhalmozási célú támogatások bevételei államháztartáson belülről</t>
  </si>
  <si>
    <t>Egyéb tárgyi eszköz értékesítés</t>
  </si>
  <si>
    <t>Kulturális, Egyházi és Nemzetiségi feladatok</t>
  </si>
  <si>
    <t>Esélyegyenlőségi feladatok</t>
  </si>
  <si>
    <t>Jelzőrendszeres házi segítségnyújtás</t>
  </si>
  <si>
    <t>Civil szervezetek támogatása</t>
  </si>
  <si>
    <t>Egyházi jogi személyek, egyházi szervezetek támogatása</t>
  </si>
  <si>
    <t xml:space="preserve">       - Egyéb szolgáltatás </t>
  </si>
  <si>
    <t xml:space="preserve">       - Bérleti díjak  </t>
  </si>
  <si>
    <t xml:space="preserve">   Bakáts projekt</t>
  </si>
  <si>
    <t>Részesedések értékesítése, részesedések megszűnéséhez kapcsolódó bevételek</t>
  </si>
  <si>
    <t>Részesedések értékesítéséhez kapcsolódó realizált nyereség</t>
  </si>
  <si>
    <t>Óvodák, oktatási, szociális és kulturális intézmények  felújítása</t>
  </si>
  <si>
    <r>
      <t xml:space="preserve">    Fizetendő általános forgalmi adó  </t>
    </r>
    <r>
      <rPr>
        <sz val="9"/>
        <rFont val="Arial CE"/>
        <family val="2"/>
      </rPr>
      <t>- Dologi kiadások</t>
    </r>
  </si>
  <si>
    <t xml:space="preserve">    Földterület, telek, ingatlan értékesítése</t>
  </si>
  <si>
    <t>Működési és felhalmozási költségvetési kiadások mindösszesen</t>
  </si>
  <si>
    <t>Óvodák, oktatási, szociális és kulturális intézmények  összesen</t>
  </si>
  <si>
    <t xml:space="preserve">Játszóterek, műfüves és sportpályák, fitness eszközök, zöldf. felúj., </t>
  </si>
  <si>
    <t>Haller park felújítás</t>
  </si>
  <si>
    <t xml:space="preserve">   ebből: Általános tartalék</t>
  </si>
  <si>
    <t xml:space="preserve">Egyéb felhalmozási célú támog.bevételei ÁH-n belülről </t>
  </si>
  <si>
    <t>Tűzliliom park</t>
  </si>
  <si>
    <t>TÉR-KÖZ 2018</t>
  </si>
  <si>
    <t>Polgármesteri Hivatal épületeiben beruházási kiadások</t>
  </si>
  <si>
    <t>Beruházási kiadások</t>
  </si>
  <si>
    <t>Felújítási kiadások</t>
  </si>
  <si>
    <t>8.</t>
  </si>
  <si>
    <t>9.</t>
  </si>
  <si>
    <t>Magyar Máltai Szeretetszolgálat Egyesület-Közösségi hasznosítás</t>
  </si>
  <si>
    <t>Közterületüzemeltetési egyéb feladatok</t>
  </si>
  <si>
    <t>Ételliftek felújítása</t>
  </si>
  <si>
    <t>Ferencvárosi 65+ támogatás</t>
  </si>
  <si>
    <t>Ferencvárosi internet támogatás</t>
  </si>
  <si>
    <t>Ferencvárosi diákbérlet</t>
  </si>
  <si>
    <t>Általános forgalmi adó visszatérítés</t>
  </si>
  <si>
    <t xml:space="preserve">   Felújítás</t>
  </si>
  <si>
    <t xml:space="preserve">   TÉR-KÖZ 2018</t>
  </si>
  <si>
    <t>Közrend, közbiztonság</t>
  </si>
  <si>
    <t>Zöldfelületi kataszter, fakataszter elkészítése</t>
  </si>
  <si>
    <t>Kerékbilincs bevétele</t>
  </si>
  <si>
    <t>Faültetés</t>
  </si>
  <si>
    <t>Bölcsőde konyha felújítása</t>
  </si>
  <si>
    <t>Katasztrófa védelemhez kapcsolódó kiadások</t>
  </si>
  <si>
    <t>Kerékpáros infrastruktúra tervezés, kiépítés, fejlesztés</t>
  </si>
  <si>
    <t xml:space="preserve">Városfejlesztési, Innovációs és </t>
  </si>
  <si>
    <t>Városgazdálkodási Bizottság</t>
  </si>
  <si>
    <t xml:space="preserve">Kulturális,Oktatási, Egyházügyi és </t>
  </si>
  <si>
    <t>Nemzetiségi Bizottság</t>
  </si>
  <si>
    <t xml:space="preserve">Városfejlesztési, Innovációs </t>
  </si>
  <si>
    <t>és Környezetvédelmi Bizottság</t>
  </si>
  <si>
    <t>Gazdasági és Közbeszerzési Bizottság</t>
  </si>
  <si>
    <t xml:space="preserve">Kulturális, Oktatási, Egyházügyi és Nemzetiségi </t>
  </si>
  <si>
    <t>Bizottság</t>
  </si>
  <si>
    <t>és Civil Bizottság</t>
  </si>
  <si>
    <t>Egészségügyi Szociális, Sport, Ifjúsági</t>
  </si>
  <si>
    <t>Kulturális, Oktatási, Egyházügyi és Nemzetiségügyi Bizottság</t>
  </si>
  <si>
    <t>Városfejl.,Innovációs és Környezetvédelmi Bizottság</t>
  </si>
  <si>
    <t>Egészségügyi Szociális, Sport Ifj. és Civil Bizottság</t>
  </si>
  <si>
    <t>Kulturális, Okt., Egyház. és Nemzetiségügyi Bizottság</t>
  </si>
  <si>
    <t>Kifli, túró rudi, tej beszerzés iskolák részére</t>
  </si>
  <si>
    <t>Kulturális, Oktatási, Egyházügyi és Nemzetiségi Bizottság</t>
  </si>
  <si>
    <t>Közösségi tervezés</t>
  </si>
  <si>
    <t>Lakás és helyiség karbantartás</t>
  </si>
  <si>
    <t>Deák Alapítvány</t>
  </si>
  <si>
    <t>Fogyatékos személyek nappali ellátása (gyermekek) Újbuda Önkrom.</t>
  </si>
  <si>
    <t>Tervezési díjak TÉR-KÖZ</t>
  </si>
  <si>
    <t xml:space="preserve">Lakóépületek elektromos hálózat felújítása </t>
  </si>
  <si>
    <t>IX. kerületi Rendőrkapitányság támogatása</t>
  </si>
  <si>
    <t>Faültetés támogatása</t>
  </si>
  <si>
    <t>Kátyuzógép vásárlás</t>
  </si>
  <si>
    <t>Felhasználást és beszámolást koordináló</t>
  </si>
  <si>
    <t>(beszámolás)</t>
  </si>
  <si>
    <t>Városgazdálkodási Bizottság (beszámolás)</t>
  </si>
  <si>
    <t>Felhasználást és beszámolást  koordináló</t>
  </si>
  <si>
    <t>Városfejlesztési, Innovációs és Környezetvéd.</t>
  </si>
  <si>
    <t>Bizottság (beszámolás)</t>
  </si>
  <si>
    <t>VIK Bizottság (beszámolás)</t>
  </si>
  <si>
    <t xml:space="preserve">VIK Bizottság </t>
  </si>
  <si>
    <t>ESZSIC Bizottság (beszámolás)</t>
  </si>
  <si>
    <t>Egészségügyi Szociális, Sport Ifj. és Civil Bizottság (beszámolás)</t>
  </si>
  <si>
    <t>ESZSIC Bizottság</t>
  </si>
  <si>
    <t>KOEN Bizottság (beszámolás)</t>
  </si>
  <si>
    <t>KOEN Bizottság</t>
  </si>
  <si>
    <t>Gazdasági és Közbeszerzési Bizottság (beszámolás)</t>
  </si>
  <si>
    <t>Városgazdálkodási Biz.,VIK Biz.,Gazdas.és Közb.B (beszámolás)</t>
  </si>
  <si>
    <t>Városgazdálkodási Biz., ESZSIC Biz., Gazd.és Közb.Biz. (beszámolás)</t>
  </si>
  <si>
    <t>József Attila Városrészi Önk.</t>
  </si>
  <si>
    <t>VIK Bizottság, József A. Városrészi Önk.</t>
  </si>
  <si>
    <t>Városgazdálkodási Biz., József A. Városrészi Önk.</t>
  </si>
  <si>
    <t>József Attila Városrészi Önkormányzat (beszámolás)</t>
  </si>
  <si>
    <t>VIK Bizottság, József A. Városr. Önk. (beszámolás)</t>
  </si>
  <si>
    <t>VIK Bizottság, József A. Városr.Önk. (beszámolás)</t>
  </si>
  <si>
    <t>VIK Bizottság, József Attila Városrészi Önk.</t>
  </si>
  <si>
    <t>Veszélyhelyzethet kapcsolódó kiadások</t>
  </si>
  <si>
    <t>Veszélyhelyzeti támogatás</t>
  </si>
  <si>
    <t>ebből: Működési célú céltartalék</t>
  </si>
  <si>
    <t>ebből: Felhalmozási célú céltartalék</t>
  </si>
  <si>
    <t xml:space="preserve">   Felújítási kiadások</t>
  </si>
  <si>
    <t>Közterületi takarító berendezés működtetése</t>
  </si>
  <si>
    <t>Járdák felújítása</t>
  </si>
  <si>
    <t>Napfény Óvoda felújítás - dologi kiadások</t>
  </si>
  <si>
    <t>MÁV lakótelep víz, közmű</t>
  </si>
  <si>
    <t xml:space="preserve">Közvilágítás kiépítése MÁV </t>
  </si>
  <si>
    <t>"Krízis Alap"-ból kifizetés</t>
  </si>
  <si>
    <t>"Krízis Alap" bevétel</t>
  </si>
  <si>
    <t>Egyéb felhasználási célú támogatások bevételei Áh-n belülről</t>
  </si>
  <si>
    <t>Tárgyévi finanszírozási megelőlegezések</t>
  </si>
  <si>
    <t>FESZ épületének felújítása</t>
  </si>
  <si>
    <t xml:space="preserve">   Egyéb felhalmozási célú kiadások (Államháztartáson kívülre)</t>
  </si>
  <si>
    <t xml:space="preserve">       ebből államháztartáson belüli</t>
  </si>
  <si>
    <t xml:space="preserve">                 államháztartáson kívüli</t>
  </si>
  <si>
    <r>
      <t xml:space="preserve">    Kamat kiadás, banki költségek, tranzakciós díjak </t>
    </r>
    <r>
      <rPr>
        <sz val="9"/>
        <rFont val="Arial CE"/>
        <family val="2"/>
      </rPr>
      <t>- Dologi kiadások</t>
    </r>
  </si>
  <si>
    <t>FEV IX. Zrt. (Bérlemény közszolg. + Megbízási)</t>
  </si>
  <si>
    <t>Bérlemény közszolgáltatás + Megbízási szerz.</t>
  </si>
  <si>
    <t>4.</t>
  </si>
  <si>
    <t>5.</t>
  </si>
  <si>
    <t>eFt</t>
  </si>
  <si>
    <t xml:space="preserve">Önkormányzati vagyonnal való gazdálkodás </t>
  </si>
  <si>
    <t>Törzstőke Média cég létrehozásához</t>
  </si>
  <si>
    <t>Lakásfenntartási támogatás</t>
  </si>
  <si>
    <t>Áh-n nelüli megelőlegezések tárgyéven túl</t>
  </si>
  <si>
    <t>Államháztartáson belüli megelőlegezések tárgyéven belül</t>
  </si>
  <si>
    <t xml:space="preserve">Közterületi takarítógépek beszerzése </t>
  </si>
  <si>
    <t>Egészségügy, szoc.,szabadidő, sport, kultúra, oktatás, vallás</t>
  </si>
  <si>
    <t>FESZGYI részére mikrobusz vásárlás</t>
  </si>
  <si>
    <t>Felhasználást beszámolást koordináló</t>
  </si>
  <si>
    <t xml:space="preserve">   Beruházás</t>
  </si>
  <si>
    <t>Egyéb műk. célú támog.bevételei Áh-n belülről - EU-s pályázat KEHOP-1.2.1-18-2018-00006</t>
  </si>
  <si>
    <t>KEHOP-1.1.1.-18-2018-00006 Klímastratégia</t>
  </si>
  <si>
    <t>Egyéb működési célú tám.bev. Áh-n belülről</t>
  </si>
  <si>
    <t>Egyéb műk. célú támog.bevételei Áh-n belülről - EU-s pály. KEHOP-1.2.1-18-2018-00006</t>
  </si>
  <si>
    <t>6.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</si>
  <si>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</si>
  <si>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</si>
  <si>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</si>
  <si>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</si>
  <si>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</si>
  <si>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</si>
  <si>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</si>
  <si>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</si>
  <si>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2022.</t>
  </si>
  <si>
    <t>2023.</t>
  </si>
  <si>
    <t>2024.</t>
  </si>
  <si>
    <t>További kötelezettségek</t>
  </si>
  <si>
    <t>Multifunkcionális nyomtatók üzemelt.</t>
  </si>
  <si>
    <t>Telefonalközpont üzemeltetés és tanácsad.</t>
  </si>
  <si>
    <t xml:space="preserve">IT- Informatika Biztonság </t>
  </si>
  <si>
    <t>Internetvonalak előfizetése teleph.között</t>
  </si>
  <si>
    <t>Intergrált pénzügyi rendszer</t>
  </si>
  <si>
    <t>Irodaszer beszerzés</t>
  </si>
  <si>
    <t>Hivatalai karbantartás</t>
  </si>
  <si>
    <t>Ásványvíz beszerzés</t>
  </si>
  <si>
    <t>Mobil flotta beszerzés</t>
  </si>
  <si>
    <t>Tisztítószer beszerzés</t>
  </si>
  <si>
    <t>Hivatali szállítás (taxi)</t>
  </si>
  <si>
    <t>Hivatali szállítás, rakodás</t>
  </si>
  <si>
    <t>Nyomtatvány beszerzés</t>
  </si>
  <si>
    <t>Pogácsa, virág beszerzés</t>
  </si>
  <si>
    <t>Iratrendezés, levéltárba adás</t>
  </si>
  <si>
    <t>Üzemanyagkártya szerződés</t>
  </si>
  <si>
    <t>Bérmentesítő bérleti díj, alkatr.besz.</t>
  </si>
  <si>
    <t>Hivatali parkolás bérlés</t>
  </si>
  <si>
    <t>Nagyvásárlói keretszerződés (praktiker)</t>
  </si>
  <si>
    <t>Vagyon és felelősség biztosítás</t>
  </si>
  <si>
    <t>Könyvvizsgálati díj</t>
  </si>
  <si>
    <t>ÁFA szakértői díj</t>
  </si>
  <si>
    <t>Munkavédelem, tűzvédelem</t>
  </si>
  <si>
    <t>Semmelweis Egyetem bérl.díj Közter-f.</t>
  </si>
  <si>
    <t>Töltőállomás üzemeltetés</t>
  </si>
  <si>
    <t>Kifli, túró rudi beszerzés</t>
  </si>
  <si>
    <t>Fővárosi Szabó Ervin könyvtár</t>
  </si>
  <si>
    <t>Tisztító és takarítószerek beszerzése (FIÜK)</t>
  </si>
  <si>
    <t>Közterület-felügyelet őrzés</t>
  </si>
  <si>
    <t>FIÜK étkezés biztosítása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</si>
  <si>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</si>
  <si>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</si>
  <si>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</si>
  <si>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</si>
  <si>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</si>
  <si>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</si>
  <si>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</si>
  <si>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</si>
  <si>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</si>
  <si>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</si>
  <si>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létszám</t>
  </si>
  <si>
    <t>Egyéb létszám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</si>
  <si>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</si>
  <si>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</si>
  <si>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</si>
  <si>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</si>
  <si>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</si>
  <si>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</si>
  <si>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</si>
  <si>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</si>
  <si>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</si>
  <si>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</si>
  <si>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</si>
  <si>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7.</t>
  </si>
  <si>
    <t>Pénzügyi Iroda</t>
  </si>
  <si>
    <t>10.</t>
  </si>
  <si>
    <t>Üzemeltetési Iroda</t>
  </si>
  <si>
    <t>11.</t>
  </si>
  <si>
    <t>Vagyonkezelési Iroda</t>
  </si>
  <si>
    <t>12.</t>
  </si>
  <si>
    <t>13.</t>
  </si>
  <si>
    <t>15.</t>
  </si>
  <si>
    <t>Csicsergő Óvoda</t>
  </si>
  <si>
    <t>16.</t>
  </si>
  <si>
    <t>Csudafa Óvoda</t>
  </si>
  <si>
    <t>17.</t>
  </si>
  <si>
    <t>Epres Óvoda</t>
  </si>
  <si>
    <t>18.</t>
  </si>
  <si>
    <t>Kerekerdő Óvoda</t>
  </si>
  <si>
    <t>19.</t>
  </si>
  <si>
    <t>Kicsi Bocs Óvoda</t>
  </si>
  <si>
    <t xml:space="preserve">20. </t>
  </si>
  <si>
    <t xml:space="preserve">Liliom Óvoda </t>
  </si>
  <si>
    <t>21.</t>
  </si>
  <si>
    <t xml:space="preserve">Méhecske Óvoda </t>
  </si>
  <si>
    <t>22.</t>
  </si>
  <si>
    <t>Napfény Óvoda</t>
  </si>
  <si>
    <t>23.</t>
  </si>
  <si>
    <t>Ugrifüles Óvoda</t>
  </si>
  <si>
    <t>24.</t>
  </si>
  <si>
    <t>Ferencvárosi Intézmény Üzemeltetés Központ</t>
  </si>
  <si>
    <t>25.</t>
  </si>
  <si>
    <t>Fvi Egyesített Bölcsödék</t>
  </si>
  <si>
    <t>26.</t>
  </si>
  <si>
    <t>27.</t>
  </si>
  <si>
    <t>FMK</t>
  </si>
  <si>
    <t>28.</t>
  </si>
  <si>
    <t>Pinceszínház</t>
  </si>
  <si>
    <t>Összesen nevelési, szoc., kult, intézmények</t>
  </si>
  <si>
    <t>Mindösszesen: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</si>
  <si>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</si>
  <si>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</si>
  <si>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</si>
  <si>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</si>
  <si>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</si>
  <si>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</si>
  <si>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</si>
  <si>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</si>
  <si>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</si>
  <si>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</si>
  <si>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</si>
  <si>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</si>
  <si>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</si>
  <si>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</si>
  <si>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</si>
  <si>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</si>
  <si>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</si>
  <si>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Kötelező feladatok
(Mötv. 23. § (5) bekezdés alapján)</t>
  </si>
  <si>
    <t>Költségvetési bevételi előirányzat</t>
  </si>
  <si>
    <t>Önkormányzatok működési támogatása, elvonások és befizetések</t>
  </si>
  <si>
    <t>Közhatalmi bevételek</t>
  </si>
  <si>
    <t>Saját bevétel</t>
  </si>
  <si>
    <t>Támogatás Áht-n belülről</t>
  </si>
  <si>
    <t>Átvett pénzeszköz</t>
  </si>
  <si>
    <t>Előző évi mar. igénybev.</t>
  </si>
  <si>
    <t>Felhalm. Bev.</t>
  </si>
  <si>
    <t>Hitelfel-  vétel, kölcsön visszat. , tévi megel. Visszaf.</t>
  </si>
  <si>
    <t>Működési bevételek</t>
  </si>
  <si>
    <t>Műk. Célú</t>
  </si>
  <si>
    <t>Felhal. Célú</t>
  </si>
  <si>
    <t>Felhalm. Célú</t>
  </si>
  <si>
    <t>Helyi közutak, közterek és parkok kezelése, fejlesztése és üzemeltetése</t>
  </si>
  <si>
    <t xml:space="preserve">             3054 Kerületi növényvédelem</t>
  </si>
  <si>
    <t xml:space="preserve">             3056 Közterületüzemeltetési egyéb feladatok</t>
  </si>
  <si>
    <t xml:space="preserve">             3061 Köztutak üzemeltetése</t>
  </si>
  <si>
    <t xml:space="preserve">             3071 Köztisztasági feladatok</t>
  </si>
  <si>
    <t xml:space="preserve">             3072 Közterületi takarítóberendezés működtetése</t>
  </si>
  <si>
    <t xml:space="preserve">             3112 Játszóterek karbantartása</t>
  </si>
  <si>
    <t xml:space="preserve">             3205 Környezetvédelem</t>
  </si>
  <si>
    <t xml:space="preserve">             3216 FESZOFE Nonprofit Kft </t>
  </si>
  <si>
    <t xml:space="preserve">             4012 Haller park</t>
  </si>
  <si>
    <t xml:space="preserve">              4013 Haller par közzösségi tervezés kiviteli terv</t>
  </si>
  <si>
    <t xml:space="preserve">             4014 Játszóterek, műfüves és sportpályák, fitness eszközök, zöldf.felúj., </t>
  </si>
  <si>
    <t xml:space="preserve">             5017 Kátyuzógép vásárlás</t>
  </si>
  <si>
    <t xml:space="preserve">             5037 Közvilágítás kiépítése MÁV lakótelep</t>
  </si>
  <si>
    <t xml:space="preserve">             5012 Utcanév és tájékozatató táblák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</si>
  <si>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</si>
  <si>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</si>
  <si>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</si>
  <si>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feladatok (FEV IX. Zrt. Parkolási feladatokkal együttt)</t>
  </si>
  <si>
    <t>Helyi településrendezés, településfejlesztés</t>
  </si>
  <si>
    <t xml:space="preserve">             3211 FEV IX. Zrt.</t>
  </si>
  <si>
    <t xml:space="preserve">             3116 Magyar Máltai Szeretetszolgálat Egyesület Közz.Haszn.</t>
  </si>
  <si>
    <t xml:space="preserve">             4121 Felújításokkal kapcsolatos tervezések</t>
  </si>
  <si>
    <t xml:space="preserve">             4141 KÉSZ-ek tervezése</t>
  </si>
  <si>
    <t xml:space="preserve">             5021 Lakás és helyiségek, ingatlan vásárlás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</si>
  <si>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</si>
  <si>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</si>
  <si>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</si>
  <si>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</si>
  <si>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</si>
  <si>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</si>
  <si>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3302 FESZ KN Kft.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</si>
  <si>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</si>
  <si>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</si>
  <si>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</si>
  <si>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</si>
  <si>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</si>
  <si>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</si>
  <si>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</si>
  <si>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</si>
  <si>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</si>
  <si>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</si>
  <si>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3147 Feladatellátási szerződés Belső-Pesti Tankerülettel</t>
  </si>
  <si>
    <t>Gyermekjóléti szolgáltatások, szociális szolgált.ell.</t>
  </si>
  <si>
    <t xml:space="preserve">      3081 Köztemetés</t>
  </si>
  <si>
    <t xml:space="preserve">      3311 Lakbértámogatás</t>
  </si>
  <si>
    <t xml:space="preserve">      3323 Születési és életkezdési támogatás</t>
  </si>
  <si>
    <t xml:space="preserve">      3340 Jelzőrendszeres házi segítségnyújtás</t>
  </si>
  <si>
    <t xml:space="preserve">      3341 VIII. kerület Józsefváros Önkormányzata ellátási szerződés</t>
  </si>
  <si>
    <t xml:space="preserve">      3342 Küldetés Egyesület ellátási szerződés</t>
  </si>
  <si>
    <t xml:space="preserve">      3345 Támogató Szolgálat (Motivácó Alapítvány)</t>
  </si>
  <si>
    <t xml:space="preserve">      3346 Férőhely fenntartási díj Magyar Vöröskereszt</t>
  </si>
  <si>
    <t xml:space="preserve">      3347 Fogyatékos személyek nappali ellátása Gond-viselés Kht.</t>
  </si>
  <si>
    <t xml:space="preserve">      3349 Pszichiátriai betegek nappali ellátása Moravcsik Alapítvány</t>
  </si>
  <si>
    <t xml:space="preserve">      3350 Fogyatékos személyek nappali ellátása gyermekek Újbuda Önk.</t>
  </si>
  <si>
    <t>Hajléktalanná vált személyek ell.és rehab., vmint megakadályozása</t>
  </si>
  <si>
    <t xml:space="preserve">      3344 Utcai szociális munka (Menhely Alapítvány)</t>
  </si>
  <si>
    <t>Helyi közművelődési tevékenység támogatása, kult. örökség véd.</t>
  </si>
  <si>
    <t xml:space="preserve">      3428 Ferencvárosi Helytörténeti Egyesület</t>
  </si>
  <si>
    <t xml:space="preserve">      3429 Karaván Művészeti Alapítvány</t>
  </si>
  <si>
    <t xml:space="preserve">      3431 Concerto Akadémia Nonprofit Kft.</t>
  </si>
  <si>
    <t xml:space="preserve">      3432 MÁV Szimfónikus Zenekari Alapítvány</t>
  </si>
  <si>
    <t xml:space="preserve">      3931 Bursa Hungarica</t>
  </si>
  <si>
    <t xml:space="preserve">     3961 Zeneművészeti szervezetek támogatása</t>
  </si>
  <si>
    <t xml:space="preserve">      3963 Budapest Art Center Nonprofit Kft. - Színházművészeti szerv.támogatása</t>
  </si>
  <si>
    <t>14.</t>
  </si>
  <si>
    <t>Saját tulajdonú lakás és helyiség gazdálkodás</t>
  </si>
  <si>
    <t xml:space="preserve">      3111 Lakáslemondás térítés, lakásbiztosítés visszafizetése</t>
  </si>
  <si>
    <t xml:space="preserve">      3114 Ingatlanokkal kapcsolatos egyéb feladatok</t>
  </si>
  <si>
    <t xml:space="preserve">      3115 Lakás és helyiség karbantartás, berendezési tárgyak cseréje</t>
  </si>
  <si>
    <t xml:space="preserve">      3121 KF - rehabilitáció járulékos költségek</t>
  </si>
  <si>
    <t xml:space="preserve">      3122 Kényszer kiköltöztetés</t>
  </si>
  <si>
    <t xml:space="preserve">      3123 Bérlakás és egyéb ingatlan elidegenítés</t>
  </si>
  <si>
    <t xml:space="preserve">      3124 Helyiség megszerzési díj</t>
  </si>
  <si>
    <t xml:space="preserve">      3213 Önkormányzati bérlemények üzemeltetési költségei</t>
  </si>
  <si>
    <t xml:space="preserve">      4131 Veszélyelhárítás</t>
  </si>
  <si>
    <t xml:space="preserve">      4133 Veszélyes tűzfalak, kémények vizsgálata, bontása</t>
  </si>
  <si>
    <t xml:space="preserve">       4230 Ételliftek felújítása</t>
  </si>
  <si>
    <t xml:space="preserve">      4265 Oktatási intézmények, óvodák felújítása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</si>
  <si>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</si>
  <si>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</si>
  <si>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</si>
  <si>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</si>
  <si>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</si>
  <si>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3146 Kulturális, Egyházi és Nemzetiségi feladatok</t>
  </si>
  <si>
    <t xml:space="preserve">      3145 Ifjusági koncepció végrehajtásával összefüggő feladatok</t>
  </si>
  <si>
    <t xml:space="preserve">      3357 Ifjusági és drogprevenciós feladatok</t>
  </si>
  <si>
    <t xml:space="preserve">      3412 Sport és szabadidős feladatok</t>
  </si>
  <si>
    <t xml:space="preserve">      3413 Diáksport</t>
  </si>
  <si>
    <t xml:space="preserve">      3414 Óvodai sport tevékenység támogatása</t>
  </si>
  <si>
    <t>Közreműködés a helyi közbiztonság biztosításában</t>
  </si>
  <si>
    <t xml:space="preserve">      3204 Térfigyelő rendszer karbantartásának, üzemeltetésének költsége</t>
  </si>
  <si>
    <t xml:space="preserve">      3452 Katasztrófa védelemhez kapcs. "M" készletek</t>
  </si>
  <si>
    <t xml:space="preserve">       5033 Térfigyelő kamerák</t>
  </si>
  <si>
    <t>Nemzetiségi ügyek</t>
  </si>
  <si>
    <t xml:space="preserve">     3202 Roma koncepció</t>
  </si>
  <si>
    <t xml:space="preserve">     3362 Esélyegyenlőségi feladatok</t>
  </si>
  <si>
    <t xml:space="preserve">     3451 Nemzetiségi Önkormányzatok működési kiadásai</t>
  </si>
  <si>
    <t>3200 Képviselők és választott tisztségviselők juttatásai</t>
  </si>
  <si>
    <t>3201 Önkormányzati szakmai feladatokkal kapcsolatos kiadások</t>
  </si>
  <si>
    <t>3021-3026 PH  Igazgatási és informatikai működés és fejlesztés kiadásai</t>
  </si>
  <si>
    <t>3208 Ügyvédi díjak</t>
  </si>
  <si>
    <t>3223 Pályázat előkészítés, lebonyolítás</t>
  </si>
  <si>
    <t>3925 FEV IX. Zrt. támogatása</t>
  </si>
  <si>
    <t>1801 Kamat kiadás</t>
  </si>
  <si>
    <t>1802 IPA visszafizetés</t>
  </si>
  <si>
    <t>1803 Szolidaritási hozzájárulási adó</t>
  </si>
  <si>
    <t>1804 Fizetendő Általános forgalmi adó</t>
  </si>
  <si>
    <t>1806 Elvonások és befizetések</t>
  </si>
  <si>
    <t>1842 Tárgyévi finanszírozás megelőlegezésének visszaf.</t>
  </si>
  <si>
    <t>1843 Áh-n belüli megelőlegezések visszaf.</t>
  </si>
  <si>
    <t>1851 Hitel-, kölcsön törlesztése államháztartáson kívülre</t>
  </si>
  <si>
    <t>2795 Ferencvárosi Intézmény Üzemeltetési Központ</t>
  </si>
  <si>
    <t>2850 Ferencvárosi Egyesített Bölcsöde</t>
  </si>
  <si>
    <t>2875 FESZGYI</t>
  </si>
  <si>
    <t>2985 Ferencvárosi Művelődési Központ</t>
  </si>
  <si>
    <t xml:space="preserve"> 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</si>
  <si>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</si>
  <si>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</si>
  <si>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</si>
  <si>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</si>
  <si>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marad. Igénybev.</t>
  </si>
  <si>
    <t>Felhalmozási bevételek</t>
  </si>
  <si>
    <t>Kölcsön visszatérülés/Működ.finansz.bev</t>
  </si>
  <si>
    <t xml:space="preserve">Működési célú </t>
  </si>
  <si>
    <t>Felhalmozási célú</t>
  </si>
  <si>
    <t>Működési célú</t>
  </si>
  <si>
    <t>Polgármesteri tisztséggel összefüggő egyéb feladatok</t>
  </si>
  <si>
    <t>Kifli, túró rudi, tej beszerzés</t>
  </si>
  <si>
    <t>Közfoglalkoztatottak pályázat támogatásának önrésze, kapcsolódó egyéb kiadások támogatása</t>
  </si>
  <si>
    <t>IX. ker. Rendőrségi támogatás</t>
  </si>
  <si>
    <t>Deák ösztöndíj</t>
  </si>
  <si>
    <t>FESZOFE kiemelkedően közhasznú Non-Profit Kft működési támogatása</t>
  </si>
  <si>
    <t>Kulturális tevékenység támogatása</t>
  </si>
  <si>
    <t>Horváth Nemzetiségi Önkormányzat</t>
  </si>
  <si>
    <t>Bakáts projekt</t>
  </si>
  <si>
    <t>Bölcsődei konyha felújítás</t>
  </si>
  <si>
    <t>FESZ éületének felújítása</t>
  </si>
  <si>
    <t>Közterületi takarítógépek beszerzése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</si>
  <si>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</si>
  <si>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</si>
  <si>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</si>
  <si>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</si>
  <si>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</si>
  <si>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</si>
  <si>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</si>
  <si>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</si>
  <si>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</si>
  <si>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</si>
  <si>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</si>
  <si>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</si>
  <si>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</si>
  <si>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</si>
  <si>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</si>
  <si>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</si>
  <si>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</si>
  <si>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</si>
  <si>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</si>
  <si>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</si>
  <si>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</si>
  <si>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</si>
  <si>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</si>
  <si>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</si>
  <si>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</si>
  <si>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</si>
  <si>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</si>
  <si>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</si>
  <si>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</si>
  <si>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</si>
  <si>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</si>
  <si>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</si>
  <si>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14. Beruházások</t>
  </si>
  <si>
    <t>15. Felújítások</t>
  </si>
  <si>
    <t>16. Egyéb felhalmozási célú kiadások</t>
  </si>
  <si>
    <t>17. Hosszú lejáratú hitel tőke összegének törlesztése, megelőlegezett norm., működ.fin.kiad</t>
  </si>
  <si>
    <t>18.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</si>
  <si>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</si>
  <si>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</si>
  <si>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</si>
  <si>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t>2023. év várható terv szám</t>
  </si>
  <si>
    <t>Helyi adóból és a települési adóból származó bevétel (építményadó, telekadó, idegenforgalmi adó, iparűzési adó)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</si>
  <si>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</si>
  <si>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</si>
  <si>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</si>
  <si>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t>Tárgyi eszköz és immateriális jószág, részvény, részesedés, vállalat értékesítéséből vagy privatizációból származó bevétel (telek, földterület, helyiség, lakás, törzstőke ért.)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</si>
  <si>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</si>
  <si>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Kezesség illetve garancia vállalással kapcsolatos megtérülés</t>
  </si>
  <si>
    <t>Adósságot keletkeztető ügyletből eredő fizetési kötelezettség</t>
  </si>
  <si>
    <t>16. sz. melléklet</t>
  </si>
  <si>
    <t>Kiadások felosztása KOFOG szerint</t>
  </si>
  <si>
    <t>011130</t>
  </si>
  <si>
    <t>Önkormányzatok és önkormányzati hivatalok jogalkotó és általános igazgatási tevékenysége</t>
  </si>
  <si>
    <t>Polgármesteri Hivatal kiadásai</t>
  </si>
  <si>
    <t>Kamatkiadás</t>
  </si>
  <si>
    <t>Fővárosi IPA visszafizetés</t>
  </si>
  <si>
    <t>Fizetendő Általános forgalmi adó</t>
  </si>
  <si>
    <t>013350</t>
  </si>
  <si>
    <t>Az önkormányzati vagyonnal való gazdálkodással kapcsolatos feladatok</t>
  </si>
  <si>
    <t>Magyar Máltai Szeretszolg. E. közösségi haszn.</t>
  </si>
  <si>
    <t>FEV IX. Zrt.</t>
  </si>
  <si>
    <t>Önkormányzati bérlemények üzemeltetési költségei</t>
  </si>
  <si>
    <t>Lakások komfortosítás</t>
  </si>
  <si>
    <t>Lakás és helyiség karbantartás, berendezési tárgyak cseréje</t>
  </si>
  <si>
    <t>Oktatási intézmények, óvodák felújítása</t>
  </si>
  <si>
    <t>Kátyuzógép</t>
  </si>
  <si>
    <t>016080</t>
  </si>
  <si>
    <t>Kiemelt állami és önkormányzati rendezvények</t>
  </si>
  <si>
    <t>018020</t>
  </si>
  <si>
    <t>Központi költségvetési befizetések</t>
  </si>
  <si>
    <t>Szolidaritási hozzájárulási adó</t>
  </si>
  <si>
    <t>031030</t>
  </si>
  <si>
    <t>Közetület rendjének fenntartása</t>
  </si>
  <si>
    <t>Közterület-felügyelet kiadásai</t>
  </si>
  <si>
    <t>031060</t>
  </si>
  <si>
    <t>Bűnmegelőzés</t>
  </si>
  <si>
    <t>Térfigyelő rendszer karbantartásának, üzemeltetésének költsége</t>
  </si>
  <si>
    <t>Térfigyelő kamerák</t>
  </si>
  <si>
    <t>032020</t>
  </si>
  <si>
    <t>Tűz és katasztrófavédelmi tevékenység</t>
  </si>
  <si>
    <t>Veszélyhelyzettel kapcsolatos kiadások</t>
  </si>
  <si>
    <t>013360</t>
  </si>
  <si>
    <t>Más szerv részére végzett pénzügyi-gazdálkodási, üzemeltetési, egyéb szolgáltatások</t>
  </si>
  <si>
    <t>Ferencvárosi Intézményüzemeltetési Központ</t>
  </si>
  <si>
    <t>041231</t>
  </si>
  <si>
    <t>Rövid időtartamú közfoglalkoztatás</t>
  </si>
  <si>
    <t>Közfoglalkoztatottak pályázat támogatás önrésze, egyéb kapcs. kiadások</t>
  </si>
  <si>
    <t>041233</t>
  </si>
  <si>
    <t>Hosszabb időtartamú közfoglalkoztatás</t>
  </si>
  <si>
    <t>FESZOFE kiemelkedően közhasznú Non-profit Kft. Működési támogatása</t>
  </si>
  <si>
    <t>045140</t>
  </si>
  <si>
    <t>Városi és elővárosi közúti személyszállítás</t>
  </si>
  <si>
    <t>045170</t>
  </si>
  <si>
    <t>Parkoló, garázsüzemeltetés, fenntartása</t>
  </si>
  <si>
    <t xml:space="preserve">Parkolási feladatok (FEV IX. Zrt. által ellátott feladatokkal együtt) </t>
  </si>
  <si>
    <t>053010</t>
  </si>
  <si>
    <t>Környezetszennyezés csökkentésének igazgatása</t>
  </si>
  <si>
    <t>064010</t>
  </si>
  <si>
    <t>Közvilágítás</t>
  </si>
  <si>
    <t>Közvilágítás kiépítése MÁV</t>
  </si>
  <si>
    <t>066010</t>
  </si>
  <si>
    <t>Zöldterület-kezelés</t>
  </si>
  <si>
    <t>FESZOFE Nonprofit Kft.</t>
  </si>
  <si>
    <t>066020</t>
  </si>
  <si>
    <t>Város-, községgazdálkodási egyéb szolgáltatások</t>
  </si>
  <si>
    <t>Közterületi takarítógép működtetése</t>
  </si>
  <si>
    <t>Városfejlesztés, üzemeltetés és közbiztonság</t>
  </si>
  <si>
    <t>Vállalkozás ösztönző progrm</t>
  </si>
  <si>
    <t>Társasházak támogatásai</t>
  </si>
  <si>
    <t>Haller park felújítása</t>
  </si>
  <si>
    <t>FESZ épület felújítás</t>
  </si>
  <si>
    <t>Faültetés támogatás</t>
  </si>
  <si>
    <t>Közterületi takarítógép beszerzs</t>
  </si>
  <si>
    <t>FIÜK munkásszálló üzemeltetés</t>
  </si>
  <si>
    <t>072210</t>
  </si>
  <si>
    <t>Járóbetegek gyógyító szakellátása</t>
  </si>
  <si>
    <t>Rendelők eszközbesz.</t>
  </si>
  <si>
    <t>IX. kerületi szakrendelő</t>
  </si>
  <si>
    <t>074052</t>
  </si>
  <si>
    <t>Kábítószer megelőzés programjai, tevékenységei</t>
  </si>
  <si>
    <t>Ifjúsági és drogprevenciós feladatok</t>
  </si>
  <si>
    <t>074054</t>
  </si>
  <si>
    <t>Komplex egészségfejlesztő, prevenciós programok</t>
  </si>
  <si>
    <t>081041</t>
  </si>
  <si>
    <t>Versenysport- és utánpótlás-nevelési tevékenység és támogatása</t>
  </si>
  <si>
    <t>081043</t>
  </si>
  <si>
    <t>Iskolai, diáksport-tevékenység és támogatása</t>
  </si>
  <si>
    <t>081045</t>
  </si>
  <si>
    <t>Szabadidősport- (rekreációs sport-) tevékenység és támogatása</t>
  </si>
  <si>
    <t>081071</t>
  </si>
  <si>
    <t>Üdülő szálláshely szolgáltatás és étkeztetés</t>
  </si>
  <si>
    <t>FIÜK</t>
  </si>
  <si>
    <t>082010</t>
  </si>
  <si>
    <t>Kultúra igazgatása</t>
  </si>
  <si>
    <t>Concerto Akadémia Nonprofit Kft</t>
  </si>
  <si>
    <t>MÁV Szimfónikus Zenekari Alapítvány</t>
  </si>
  <si>
    <t>082020</t>
  </si>
  <si>
    <t>Színházak</t>
  </si>
  <si>
    <t>082030</t>
  </si>
  <si>
    <t>Művészeti tevékenység kivéve színház</t>
  </si>
  <si>
    <t>082061</t>
  </si>
  <si>
    <t>Múzeumi gyűjtemény tevékenység</t>
  </si>
  <si>
    <t>082063</t>
  </si>
  <si>
    <t>Múzeumi kiállítási tevékenység</t>
  </si>
  <si>
    <t>082091</t>
  </si>
  <si>
    <t>Közművelődés - közösségi és társadalmi részvétel fejlesztése</t>
  </si>
  <si>
    <t>Közművelősé fejlesztés</t>
  </si>
  <si>
    <t>083030</t>
  </si>
  <si>
    <t>Egyéb kiadói tevékenyég</t>
  </si>
  <si>
    <t>083050</t>
  </si>
  <si>
    <t>Televízió-műsor szolgáltatása és támogatása</t>
  </si>
  <si>
    <t>084010</t>
  </si>
  <si>
    <t>Társadalmi tevékenységekkel, esélyegyenlőséggel, érdekképviselettel,nemzetiségekkel, egyházakkal összefüggő feladatok igazgatása és szabályozása</t>
  </si>
  <si>
    <t>084020</t>
  </si>
  <si>
    <t>Nemzetiségi közfeladatok és ellátása és támogatása</t>
  </si>
  <si>
    <t xml:space="preserve">Horvát Nemzetiségi Önkormányzat </t>
  </si>
  <si>
    <t>084031</t>
  </si>
  <si>
    <t>Civil szervezetek működési támogatása</t>
  </si>
  <si>
    <t>084032</t>
  </si>
  <si>
    <t>Civil szervezetek programtámogatása</t>
  </si>
  <si>
    <t>Kulturális tevékenységek pályázati támogatása</t>
  </si>
  <si>
    <t>084040</t>
  </si>
  <si>
    <t>Egyházak közösségi és hitéleti tevékenységének támogatása</t>
  </si>
  <si>
    <t>Templom felújítás pályázat</t>
  </si>
  <si>
    <t>084070</t>
  </si>
  <si>
    <t>A fiatalok társadalmi integrációját segítő struktúra, szakmai szolgáltatások fejlesztése, működtetése</t>
  </si>
  <si>
    <t>Ifjusági koncepció végrehajtásával összefüggő feladatok</t>
  </si>
  <si>
    <t>086010</t>
  </si>
  <si>
    <t>Határon túli magyarok egyéb támogatása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</si>
  <si>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</si>
  <si>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</si>
  <si>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</si>
  <si>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</si>
  <si>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</si>
  <si>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094250</t>
  </si>
  <si>
    <t>Tankönyv és jegyzettámogatás</t>
  </si>
  <si>
    <t>096015</t>
  </si>
  <si>
    <t>Gyermekétkeztetés köznevelési intézményben</t>
  </si>
  <si>
    <t>098010</t>
  </si>
  <si>
    <t>Oktatás igazgatása</t>
  </si>
  <si>
    <t>Digitális tanterem</t>
  </si>
  <si>
    <t>101141</t>
  </si>
  <si>
    <t xml:space="preserve">Pszichiátriai betegek nappali ellátása </t>
  </si>
  <si>
    <t>Pszichiátriai betegek nappali ellátása Moravcsik Alapítváy</t>
  </si>
  <si>
    <t>101142</t>
  </si>
  <si>
    <t>Szenvedélybetegek nappali ellátása</t>
  </si>
  <si>
    <t>101221</t>
  </si>
  <si>
    <t>Fogyatékossággal élők nappali ellátása</t>
  </si>
  <si>
    <t>Fogyatékos személyek nappali ellátása gyerekek Újbuda Önk.</t>
  </si>
  <si>
    <t>101222</t>
  </si>
  <si>
    <t>Támogató szolgáltatás fogyatékos személyek részére</t>
  </si>
  <si>
    <t>Támogató Szolgálat (Motíváció Alapítvány)</t>
  </si>
  <si>
    <t>102031</t>
  </si>
  <si>
    <t>Idősek nappali ellátása</t>
  </si>
  <si>
    <t>102050</t>
  </si>
  <si>
    <t>Az időskorúak társadalmi integrációját célzó programok</t>
  </si>
  <si>
    <t>104031</t>
  </si>
  <si>
    <t>Gyermekek bölcsődei ellátása</t>
  </si>
  <si>
    <t>Ferencvárosi Egyesített Bölcsőde</t>
  </si>
  <si>
    <t>104035</t>
  </si>
  <si>
    <t>Gyermekétkeztetés bölcsődében, fogyatékosok nappali intézményében</t>
  </si>
  <si>
    <t>104036</t>
  </si>
  <si>
    <t>Mumkahelyi étkeztetés gyermekek napközbeni ellátását biztosító intézményben</t>
  </si>
  <si>
    <t>104051</t>
  </si>
  <si>
    <t>Gyermekvédelmi pénzbeli és természetbeni ellátások</t>
  </si>
  <si>
    <t>Rendkívüli gyermekvédelmi támogatás</t>
  </si>
  <si>
    <t>106020</t>
  </si>
  <si>
    <t>Lakásfenntartással, lakhatással összefüggő ellátások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</si>
  <si>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</si>
  <si>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</si>
  <si>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</si>
  <si>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</si>
  <si>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</si>
  <si>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107052</t>
  </si>
  <si>
    <t>Házi segítségnyújtás</t>
  </si>
  <si>
    <t>107053</t>
  </si>
  <si>
    <t>107060</t>
  </si>
  <si>
    <t>Egyéb szociális pénzbeli és természetbeni ellátások, támogatások</t>
  </si>
  <si>
    <t>Krízis Alapból történő kifizetések</t>
  </si>
  <si>
    <t>107090</t>
  </si>
  <si>
    <t>Romák társadalmi integrációját elősegítő tevékenységek, programok</t>
  </si>
  <si>
    <t>900060</t>
  </si>
  <si>
    <t>Forgatási és befektetési célú finanszírozási műveletek</t>
  </si>
  <si>
    <t>Megelőlegezett állami normatíva visszafiz.</t>
  </si>
  <si>
    <t>Általános tartalék</t>
  </si>
  <si>
    <t>17. sz. melléklet</t>
  </si>
  <si>
    <t>Bevételek felosztása KOFOG szerint</t>
  </si>
  <si>
    <t>Elvonások és  befizetések bevételei</t>
  </si>
  <si>
    <t>Igazgatászolgáltatási díj</t>
  </si>
  <si>
    <t>Környezetvédelmi bírság</t>
  </si>
  <si>
    <t>Szabálysértési bírság</t>
  </si>
  <si>
    <t>Egyéb bírságból származó bevételek</t>
  </si>
  <si>
    <t>Egyéb szolgáltatás</t>
  </si>
  <si>
    <t>Önkormányzat közvetített szolgáltatások ellenértéke</t>
  </si>
  <si>
    <t>Ellátási díjak - Önkormáyzat</t>
  </si>
  <si>
    <t>Önkormányzat ÁFA</t>
  </si>
  <si>
    <t>Vagyonkezelés és városfejlesztési feladatokkal kapcsolatos ÁFA</t>
  </si>
  <si>
    <t>Parkolási feladatokkal kapcsolatos ÁFa</t>
  </si>
  <si>
    <t>Parkoló Alap befizetés</t>
  </si>
  <si>
    <t>Egyéb működési célú támogatások bevételei Áh-n belülről</t>
  </si>
  <si>
    <t>Felhalmozási célú visszat. tám., kölcs. visszat. államháztartáson kívülről</t>
  </si>
  <si>
    <t>Egyéb működési célú támogatások Áh-n belülről</t>
  </si>
  <si>
    <t>Egyéb felhalmozási célú támogatás Áh-n belülről</t>
  </si>
  <si>
    <t>Egyéb bevételek</t>
  </si>
  <si>
    <t>Tárgyévi finanszírozás megelőlegezés</t>
  </si>
  <si>
    <t>900020</t>
  </si>
  <si>
    <t>Önkormányzatok funkcióra nem sorolható bevételei államháztartáson kívülről</t>
  </si>
  <si>
    <t>Iparűzési adó</t>
  </si>
  <si>
    <t>Belföldi gépjűrművek adójának helyi önkormányzatot megillető része</t>
  </si>
  <si>
    <t>Idegenforgalmi adó</t>
  </si>
  <si>
    <t>Helyi adó pótlék, bírság</t>
  </si>
  <si>
    <t>Iparűzési adó pótlék, bírság</t>
  </si>
  <si>
    <t>Közterületfoglalási díj</t>
  </si>
  <si>
    <t>Bérleti díjak</t>
  </si>
  <si>
    <t>Lakbérbevételek</t>
  </si>
  <si>
    <t>Helyiség megszerzési díj</t>
  </si>
  <si>
    <t>Vagyonkezeléssel kapcsolatos közvetített szolgáltatások ellenértéke</t>
  </si>
  <si>
    <t>Földterület, telek értékesítése</t>
  </si>
  <si>
    <t>Helyiség értékesítés</t>
  </si>
  <si>
    <t>Önkormányzati lakások értékesítése</t>
  </si>
  <si>
    <t>018010</t>
  </si>
  <si>
    <t>Önkormányzatok elszámolása a központi költségvetéssel</t>
  </si>
  <si>
    <t>018030</t>
  </si>
  <si>
    <t>Támogatási célú finanszírozású műveletek</t>
  </si>
  <si>
    <t>Előző évi költségvetési maradványának igénybevétele</t>
  </si>
  <si>
    <t>Előző évi vállalkozási maradványának igénybevétele</t>
  </si>
  <si>
    <t>Parkolási bírság, pótdíj</t>
  </si>
  <si>
    <t>Közigazgatási bírság</t>
  </si>
  <si>
    <t>Kerékbilincs levétele</t>
  </si>
  <si>
    <t>Parkolási díj, ügyviteli költség</t>
  </si>
  <si>
    <t>Nyomvonal létesítés kártalanítás</t>
  </si>
  <si>
    <t>Parkolással kapcsolatos közvetített szolgáltatások ellenértéke</t>
  </si>
  <si>
    <t>Utak felújítása, javítása</t>
  </si>
  <si>
    <t>Fasorfenntartás</t>
  </si>
  <si>
    <t>Erdőgazdálkodás</t>
  </si>
  <si>
    <t>Oktatási támogatás</t>
  </si>
  <si>
    <t>Gyermeknevelési támogatás</t>
  </si>
  <si>
    <t>Gyógyszertámogatás</t>
  </si>
  <si>
    <t>65+ támogatás</t>
  </si>
  <si>
    <t>Ferencvárosi Média Nonprofit Kft.</t>
  </si>
  <si>
    <t>DMS One</t>
  </si>
  <si>
    <t>Adatvédelmi tistv. GDPR</t>
  </si>
  <si>
    <t>Bérelt vonal szolg. Ráday Bakáts, BB.5</t>
  </si>
  <si>
    <t>KEHOP-1.2.1-18-2018-00006 Klímastratégia</t>
  </si>
  <si>
    <t>Helyiség bérleti díj (nettó)</t>
  </si>
  <si>
    <t>Járdák felújítása, akadálymentesítése</t>
  </si>
  <si>
    <t xml:space="preserve">             4017 Járdák javítása, akadálymentesítése</t>
  </si>
  <si>
    <t xml:space="preserve">             4018 Utak javítása, felújítása</t>
  </si>
  <si>
    <t>3021 Polgármesteri Hivatal Igazgatási kiadásai 23 fő</t>
  </si>
  <si>
    <t>FIÜK Munkásszálló, nyári táboroztatás, termelői piac,NOVUS, jégpálya, tábor</t>
  </si>
  <si>
    <t xml:space="preserve">              3057 Fasorfenntartás</t>
  </si>
  <si>
    <t xml:space="preserve">              3058 Erdőgazdálkodás</t>
  </si>
  <si>
    <t xml:space="preserve">Médiacég </t>
  </si>
  <si>
    <t>Lakásfentartási támogatás</t>
  </si>
  <si>
    <t>2024. év várható terv szám</t>
  </si>
  <si>
    <t>Bérlemény üzemeltetéssel kapcs. Kiadások mind. + Megb.sz.</t>
  </si>
  <si>
    <t>Katasztrófa védelemhez kapcsolódó kiadás</t>
  </si>
  <si>
    <t>Kulturális tevékenység, egyházi és civil szerv.támog támogatása</t>
  </si>
  <si>
    <t>Termelői piac üzemeltetési FIÜK</t>
  </si>
  <si>
    <t>Média cég törzstőke</t>
  </si>
  <si>
    <t xml:space="preserve">   Közterületfoglalási díj</t>
  </si>
  <si>
    <t>Önkormányzati lakások komfortosítása, lakások és helyiségek felújítása</t>
  </si>
  <si>
    <t xml:space="preserve">       4126 Önkor-i lakások komfort., lakások és helyiségek felújítása</t>
  </si>
  <si>
    <t>Önkorm-i lakások komfort., lakások és helyiségek felújítás</t>
  </si>
  <si>
    <t xml:space="preserve">          Parkoló Alap</t>
  </si>
  <si>
    <t>Előző évi vállalkozási maradvány</t>
  </si>
  <si>
    <t>Előző évi vállalkozási maradvány igénybevétele</t>
  </si>
  <si>
    <t>SOS Krízis Alapítvány</t>
  </si>
  <si>
    <t>Haller u. 50. függőfolyosó felújítás</t>
  </si>
  <si>
    <t>Részleges épületbontás</t>
  </si>
  <si>
    <t>Felújítás</t>
  </si>
  <si>
    <t>Boráros téri lámpás zebra</t>
  </si>
  <si>
    <t>Pöttyös utcai metró felszíni rendezés</t>
  </si>
  <si>
    <t>6135 Parkoló Alap</t>
  </si>
  <si>
    <t xml:space="preserve">      4128 Részleges épület bontás</t>
  </si>
  <si>
    <t xml:space="preserve">       4127 Haller u. 50. függő folyosó felújítás</t>
  </si>
  <si>
    <t>Parkoló hely megváltás</t>
  </si>
  <si>
    <t>Pöttyös utcai metró felszín rendezése</t>
  </si>
  <si>
    <t>Haller u. 50. függőfolyosó felújítása</t>
  </si>
  <si>
    <t>Részleges épület bontás</t>
  </si>
  <si>
    <t>"Törd a betont"</t>
  </si>
  <si>
    <t>Telepy u. 34. lift tervezés</t>
  </si>
  <si>
    <t>Epres Óvoda felújítás étellift</t>
  </si>
  <si>
    <t>Liliom Óvoda felújítása tetőjavítás</t>
  </si>
  <si>
    <t>Kicsi Bocs Óvoda felújítás -harmónika ajtó-</t>
  </si>
  <si>
    <t>Méhecske Óvoda felújítás - tetővilágító ablakok</t>
  </si>
  <si>
    <t>Ugrifüles Óvoda felújítás - étellift, villámvédelem</t>
  </si>
  <si>
    <t>Pöttyös utcai bölcsőde étellift</t>
  </si>
  <si>
    <t>Aprók háza bölcsőde nyílászárók</t>
  </si>
  <si>
    <t>Fehér holló bölcsőde kerítés, villámvédelem</t>
  </si>
  <si>
    <t>Varázskert bölcsőde szellőzőrendszer tervezése</t>
  </si>
  <si>
    <t>Irodalmi  pályázat</t>
  </si>
  <si>
    <t>Hátrányos helyzetű diákok versenysport támogatása</t>
  </si>
  <si>
    <t>Kerékpáros infr. tervezés, kiépítés, fejlesztés, okosbicikli tárolók</t>
  </si>
  <si>
    <t>Közterület-felügyeleti Iroda</t>
  </si>
  <si>
    <t>Törd a betont</t>
  </si>
  <si>
    <t xml:space="preserve">      4129 Telepy u. 34. lift tervezés</t>
  </si>
  <si>
    <t xml:space="preserve">       4223 Méhecske Óvoda felújítás</t>
  </si>
  <si>
    <t>Irodalmi pályázat</t>
  </si>
  <si>
    <t>Hátrányos h.diákok versenysport tám</t>
  </si>
  <si>
    <t>Jegyzői kabinet</t>
  </si>
  <si>
    <t>Polgármesteri Kabinet (ebből 1 fő Polgármester, 2 fő Alpolgármester az Önkormányzat létszámába tartozik)</t>
  </si>
  <si>
    <t>Városüzemeltetési Iroda</t>
  </si>
  <si>
    <t>Főépítészi és Városrendezési csoport</t>
  </si>
  <si>
    <t>KOEN Bizottság és ESZSIC Bizottság</t>
  </si>
  <si>
    <t>Kulturális, oktatási, egyházügyi és Nemzetiségi feladatok</t>
  </si>
  <si>
    <t>Epres Óvoda felújítás</t>
  </si>
  <si>
    <t>Liliom Óvoda felújítás</t>
  </si>
  <si>
    <t>Helyi esélyegyenlőségi program végrehajtásával összefüggő feladatok</t>
  </si>
  <si>
    <t>Csicsergő Óvoda felújítás étellift, tetőfelújítás I. ütem,villámvédelem</t>
  </si>
  <si>
    <t>FESZ járóbeteg szakellátás épület felúj.</t>
  </si>
  <si>
    <t>Polgármesteri Hivatal Tanácsterem klíma berendezés</t>
  </si>
  <si>
    <t>Méhecske felújítás</t>
  </si>
  <si>
    <t xml:space="preserve">Egyéb közterületek felújítása, fejlesztése </t>
  </si>
  <si>
    <t xml:space="preserve">              4021 Egyéb közterületek felújítása, fejlesztése</t>
  </si>
  <si>
    <t>Egyéb közterületek felújítása, fejlesztése</t>
  </si>
  <si>
    <t>Lakásfenntartási támogatás és lakhatáshoz kapcs.rendkívüli t.</t>
  </si>
  <si>
    <t>Országgyűlési képviselő választás-Népszavazás</t>
  </si>
  <si>
    <t>VEKOP-7 2 4-17-2017-00011</t>
  </si>
  <si>
    <t>Egyéb műk. célú támog.bevételei Áh-n belülről - VEKOP-7 3 4-17-2017-00011</t>
  </si>
  <si>
    <t>VEKOP-7 3 4-17-2017-00011</t>
  </si>
  <si>
    <t>HERO pályázat</t>
  </si>
  <si>
    <t>Egyéb műk. célú támog.bevételei Áh-n belülről - VEKOP-7 3 4-17-2017-00012</t>
  </si>
  <si>
    <t>"Egészséges Budapest Program" Integrélt Alapell. Járóbeteg szakell. Központ megv.</t>
  </si>
  <si>
    <t>"Egészséges Budapest Program" Integrélt Alapell. Járób. szakell. Közp. megv.</t>
  </si>
  <si>
    <t>"Egészséges Budapest Program" Integr. Alapell. Járób. szakell. Központ megv.</t>
  </si>
  <si>
    <t xml:space="preserve">       - Munkásszálló bérleti díj</t>
  </si>
  <si>
    <t>3024 Országgyűlési választások</t>
  </si>
  <si>
    <t>VEKOP pályázat</t>
  </si>
  <si>
    <t>Az önkormányzat 2022. évi bevételei</t>
  </si>
  <si>
    <t>Index     4./3.</t>
  </si>
  <si>
    <t>Index        4./3.</t>
  </si>
  <si>
    <t>Az önkormányzat 2022. évi kiadásai</t>
  </si>
  <si>
    <t>Index       4./3.</t>
  </si>
  <si>
    <t>Költségvetési szervek 2022. évi költségvetése</t>
  </si>
  <si>
    <t>A Polgármesteri Hivatal kiadásai 2022.</t>
  </si>
  <si>
    <t>Index    4./3.</t>
  </si>
  <si>
    <t>Jövedelemkiegészítő támogatás</t>
  </si>
  <si>
    <t xml:space="preserve">Az önkormányzat  költségvetésében szereplő támogatások 2022. évi kiadásai </t>
  </si>
  <si>
    <t>2022. évi felújítások (felújítási kiadások, egyéb felhalmozási célú kiadások és egyéb felújítási munkákhoz kapcsolódó kiadások)</t>
  </si>
  <si>
    <t>2022. évi beruházási, fejlesztési kiadások</t>
  </si>
  <si>
    <t>Az önkormányzat költségvetésében szereplő 2022. évi tartalékok</t>
  </si>
  <si>
    <t>Az Európai Unió-s forrásokkal támogatott fejlesztések tervezett 2022. évi adatairól</t>
  </si>
  <si>
    <t>HERO</t>
  </si>
  <si>
    <t>2022. évi Polgármesteri Hivatal és Intézményi engedélyezett létszámadatok</t>
  </si>
  <si>
    <t>2022. évi közvetett támogatások</t>
  </si>
  <si>
    <t xml:space="preserve"> 2022. évi előirányzat felhasználási ütemterv</t>
  </si>
  <si>
    <t>2022. évi eredeti  előirányzat</t>
  </si>
  <si>
    <t>2025. év várható terv szám</t>
  </si>
  <si>
    <t>Lekötött betétek</t>
  </si>
  <si>
    <t>BEVÉTELEK MINDÖSSZ.:(Irányítószervi támogatás, lekötött betét nélkül)</t>
  </si>
  <si>
    <t>KIADÁSOK MINDÖSSZ.:(Irányítószervi tám., lekötött bet. nélkül)</t>
  </si>
  <si>
    <t>Vállalkozási maradvány</t>
  </si>
  <si>
    <t>Gyáli úti aluljáró felújítása</t>
  </si>
  <si>
    <t xml:space="preserve">Haller parkba illemhelyiség építése </t>
  </si>
  <si>
    <t>Egészségügyi, Szociális, Sport, Ifj. és Civil feladatok</t>
  </si>
  <si>
    <t>Egészségügyi Szociális, Sport , Ifj, és Civil Biz.</t>
  </si>
  <si>
    <t>2022. év</t>
  </si>
  <si>
    <t>VEKOP -7 3 4-17-2017-00011</t>
  </si>
  <si>
    <t>Helyi esélyegyenlőségi progr. Végrehat.</t>
  </si>
  <si>
    <t>016010-016020</t>
  </si>
  <si>
    <t>Országgyűlési választás és népszavazás</t>
  </si>
  <si>
    <t>Haller parkba illenhelyiség építése</t>
  </si>
  <si>
    <t>1029-1033</t>
  </si>
  <si>
    <t>Egészséges Budapest program</t>
  </si>
  <si>
    <t>Munkásszálló bérleti díj</t>
  </si>
  <si>
    <t xml:space="preserve">  ebből: Balatonlellei tábor mosdók, fürdőszobák, WC-k</t>
  </si>
  <si>
    <t xml:space="preserve">               Csicsergő Óvoda tetőfelújítás</t>
  </si>
  <si>
    <t xml:space="preserve">               Csicsergő Óvoda villanhálózatfelújítása</t>
  </si>
  <si>
    <t xml:space="preserve">               Csudafa Óv. Locsoló vízóra kiépítés</t>
  </si>
  <si>
    <t xml:space="preserve">               Epres Óv. Tűzriadó csengő bővítés, udvari burkolat készítés</t>
  </si>
  <si>
    <t xml:space="preserve">               Kicsi Bocs Óvoda tűzvédelmi rendszer felújítás</t>
  </si>
  <si>
    <t xml:space="preserve">               Kerekerdő Óvoda elektromos nappali hálóza felújítása</t>
  </si>
  <si>
    <t xml:space="preserve">               Kerekerdő Óv. Tűzriadó csengő bővítése</t>
  </si>
  <si>
    <t xml:space="preserve">               Kerekerdő Óvoda villámvédelmi rendszer felújítása</t>
  </si>
  <si>
    <t xml:space="preserve">               Kerekerdő Óvoda belső udvarok kijárati ajtajának cseréje</t>
  </si>
  <si>
    <t xml:space="preserve">               Méhecske Óvoda faház alapozás, homokozó átalakítás</t>
  </si>
  <si>
    <t xml:space="preserve">               Méhecske Óv. Tűzriadó csengő bővítése</t>
  </si>
  <si>
    <t xml:space="preserve">               Napfény Óv. Locsoló vízóra kiépítés</t>
  </si>
  <si>
    <t xml:space="preserve">               Napfény villámvédelmi rendszer felújítás</t>
  </si>
  <si>
    <t xml:space="preserve">               Ugrifüles Óvoda elektromos hálózat feújítása</t>
  </si>
  <si>
    <t xml:space="preserve">               FMK színpadmester szoba klímacsere, locsoló vizóra kiép, tűzroadó cs.</t>
  </si>
  <si>
    <t xml:space="preserve">               Helytörténeti gyűjtemény helyiségben elektr. Hálózat felúj.</t>
  </si>
  <si>
    <t xml:space="preserve">               Dési Hubar Műv.HázbanTűzriadó csengő, tűzvédelmi rendszer bőv.</t>
  </si>
  <si>
    <t xml:space="preserve">               József A. Közösségi házban szélfogó járólap csere</t>
  </si>
  <si>
    <t xml:space="preserve">               Jégpálya tűzriadó csengő bővítése</t>
  </si>
  <si>
    <t xml:space="preserve">               Bakáts téri Iskola konyha tűzvédelmi rendszer felújítáa</t>
  </si>
  <si>
    <t xml:space="preserve">               Weörös S. Iskolában ebédlő világításkorszerűsítés</t>
  </si>
  <si>
    <t xml:space="preserve">               Fehérholló Bölcsőde betonlábazatos kerítés felújítása</t>
  </si>
  <si>
    <t xml:space="preserve">               Fehérholló Bölcsőde ablakok cseréje</t>
  </si>
  <si>
    <t xml:space="preserve">               Varázskert Bölcsőde fszi irodákra ablakrács gyárt. Konyha légtechn. Klíma</t>
  </si>
  <si>
    <t xml:space="preserve">               Varázskert Bölcsőde tersz padlóösszefolyó helyreállítás, elektr. Hálózat f.</t>
  </si>
  <si>
    <t xml:space="preserve">               Aprók Háza Bölcsőde  főlépcső és rámpa kialakítás</t>
  </si>
  <si>
    <t xml:space="preserve">               Manólak Bölcsőde konyhai ablakokra szúnyogháló</t>
  </si>
  <si>
    <t xml:space="preserve">               Pöttyös Bölcsőde zsírfogó, vízóra beépítés</t>
  </si>
  <si>
    <t xml:space="preserve">               Pinceszínház tűzriadó csengő kiépítés</t>
  </si>
  <si>
    <t xml:space="preserve">               Egyéb berendezési tárgyak</t>
  </si>
  <si>
    <t xml:space="preserve">  ebből: Csicsergő Óv.túlfesz.r, kialak. tűzriadó csengő bőv., gázveszélyj.</t>
  </si>
  <si>
    <t>Méhecske Óvoda tetőfelújítás</t>
  </si>
  <si>
    <t>Haller parkba illemhely</t>
  </si>
  <si>
    <t>Gyáli úti felüljáró felújítása</t>
  </si>
  <si>
    <t xml:space="preserve">  Beruházások (bútorok, berendezési tárgyak)</t>
  </si>
  <si>
    <t xml:space="preserve">             Céltartalék 6. sz. melléklet szerint</t>
  </si>
  <si>
    <t xml:space="preserve">Az önkormányzat  költségvetésében szereplő 2022. évi kiadások </t>
  </si>
  <si>
    <t>SNI-s és BTM-es gyermekek ellátása</t>
  </si>
  <si>
    <t>Ferencvárosi naptár készítése (Ferencvárosi Média Nonprofit KFT-nél 2022-ben)</t>
  </si>
  <si>
    <t>Ferencvárosi Média Nonprofit Kft. (Ferencvárosi naptár is 2022-ben)</t>
  </si>
  <si>
    <t>Részvételi költségvetés</t>
  </si>
  <si>
    <t>Tűzoltóság támogtása</t>
  </si>
  <si>
    <t>Konkáv Közösségi tér - Köztes átmenetek Nonprofit Kft.</t>
  </si>
  <si>
    <t>Epreserdő utcában parkolóhelyek kialakítása</t>
  </si>
  <si>
    <t>Valéria tér felújítása</t>
  </si>
  <si>
    <t>Börzsöny u. 19. sz. orvosi rendelő felújítása</t>
  </si>
  <si>
    <t>Ifjúmunkás u. útburkolat felújítása</t>
  </si>
  <si>
    <t>Pipa u. 4. fogászati rendelő elektromos hálózat felújítása</t>
  </si>
  <si>
    <t>Telepy u. 34. személyfelvonó létesítésa</t>
  </si>
  <si>
    <t>Molnár Ferenc Magyar-Angol Két Tanítási Nyelvű Ált. Iskola uszoda felújítása</t>
  </si>
  <si>
    <t xml:space="preserve">          Boráros téri lift létesítése</t>
  </si>
  <si>
    <t>Tűzoltóság támogatása</t>
  </si>
  <si>
    <t>Konkáv Közösségi tér-Köztes Átmenetek Kft.</t>
  </si>
  <si>
    <t xml:space="preserve">             5022 Epreserdő u. parkolóhelyek kialakítása</t>
  </si>
  <si>
    <t xml:space="preserve">       4311 Börzsöny u. 19. orvosi rendelő felújítása</t>
  </si>
  <si>
    <t xml:space="preserve">             4013 Valéria tér felújítása</t>
  </si>
  <si>
    <t xml:space="preserve">             4015 Ifjúmunkás utca útburkolat felújítása</t>
  </si>
  <si>
    <t xml:space="preserve">       4312 Pipa u. 4. fogászati rendelő elektr.hálózat felújítása</t>
  </si>
  <si>
    <t xml:space="preserve">        4313 Lónyay u. 16. orvosi rendelő nyílászáró csere</t>
  </si>
  <si>
    <t xml:space="preserve">        4129 Telepy u. 34. személyfelvonó létesítése</t>
  </si>
  <si>
    <t>Molnár Ferenc Ált. Iskola uszoda felújítása</t>
  </si>
  <si>
    <t>Boráros téri lift</t>
  </si>
  <si>
    <t>Börzsöny u. 19. rendelő felújítása</t>
  </si>
  <si>
    <t>Pipa u. 4. fogászati rendelő felújítása</t>
  </si>
  <si>
    <t>Ifjúmunkás utca útburkolat felújítása</t>
  </si>
  <si>
    <t>Telepy u. 34. személyfelvonó létesítése</t>
  </si>
  <si>
    <t>Borásros téri lift létesítése</t>
  </si>
  <si>
    <t>Konkáv közösségi tér- Köztes Átmenetek Kft.</t>
  </si>
  <si>
    <t>Epreserdő u. parkolóhelyek kialakítása</t>
  </si>
  <si>
    <t>KOEN Bizottság beszámolás</t>
  </si>
  <si>
    <t>Ferencvárosi Klímastratégia végrehajtása</t>
  </si>
  <si>
    <t>ÉFOÉSZ ellátási szerződés</t>
  </si>
  <si>
    <t>Kupakgyűjtő szív</t>
  </si>
  <si>
    <t>Kitüntetések adományozásával kapcs. Költségek</t>
  </si>
  <si>
    <t>Nemzeti, önkormányzati ünnepek, rendezvények</t>
  </si>
  <si>
    <t>Kupakgyűjtó szív</t>
  </si>
  <si>
    <t>Kitüntetésekkel kapcsolatos költségek</t>
  </si>
  <si>
    <t>Ferencvárosi Klímastratégia végrehatása</t>
  </si>
  <si>
    <t>Ferencvárosi Klíma strat.</t>
  </si>
  <si>
    <t>Részvételi költségetés</t>
  </si>
  <si>
    <t>Nemzeti, önkormányzati ünnepek, kitüntetésekkel j. kiadások</t>
  </si>
  <si>
    <t>IX. Kerület Rendőrség támogatása</t>
  </si>
  <si>
    <t xml:space="preserve"> Ebből bérleményüzemeltetési közszolg.szerz. Bruttó</t>
  </si>
  <si>
    <t xml:space="preserve">             Megbízási szerződési díj bruttó</t>
  </si>
  <si>
    <t>Ebből Parkolási közszolgáltatási szerződési díj</t>
  </si>
  <si>
    <t>Ebből: Polgármester, alpolgármesterek</t>
  </si>
  <si>
    <t xml:space="preserve">             Képviselő-testület tagok</t>
  </si>
  <si>
    <t xml:space="preserve">             Külsős bizottsági tagok</t>
  </si>
  <si>
    <t>Ebből: 9 magazin</t>
  </si>
  <si>
    <t xml:space="preserve">            9TV</t>
  </si>
  <si>
    <t xml:space="preserve">            Bérköltség</t>
  </si>
  <si>
    <t xml:space="preserve">           Közüzemi költségek, egyéb kiadások</t>
  </si>
  <si>
    <t xml:space="preserve">           Naptár</t>
  </si>
  <si>
    <t xml:space="preserve">          Beruházás (eszközbeszerzés, költözés, infrast. Fejlesztés)</t>
  </si>
  <si>
    <t xml:space="preserve">    Ebből: Hibaelhárítás, karbantartás br. 381.000 eFt</t>
  </si>
  <si>
    <t>Ebből: Kötelő feladatellátás</t>
  </si>
  <si>
    <t xml:space="preserve">             Önként vállalt feladatellátás</t>
  </si>
  <si>
    <t>Ebből: Közszolgáltató díj</t>
  </si>
  <si>
    <t xml:space="preserve">            Eseti megrendelés</t>
  </si>
  <si>
    <t>Lónyay u. 19. orvosi rendelő nyílászáró</t>
  </si>
  <si>
    <t>2022. évi  előirányzat 3/2022.</t>
  </si>
  <si>
    <t>2022. évi előirányzat 3/2022.</t>
  </si>
  <si>
    <t>2022. évi előirányzat  3/2022.</t>
  </si>
  <si>
    <t xml:space="preserve">      4125 Gát u. 24. sz. ingatlan felújítása</t>
  </si>
  <si>
    <t>Felújításokkal kapcsolatos tervezések , MÁV-Aszódi csatorna tervezés</t>
  </si>
  <si>
    <t>Felújításokkal kapcsolatos tervezések, MÁV-Aszódi csatorna tervezls</t>
  </si>
  <si>
    <t>Gát u. 24. sz. ingatlan felújítása</t>
  </si>
  <si>
    <t>2022. évi  előirányzat /2022.</t>
  </si>
  <si>
    <t>2022. évi előirányzat /2022.</t>
  </si>
  <si>
    <t>Index     5./4.</t>
  </si>
  <si>
    <t>Ferencvárosi Humanitárius Alap</t>
  </si>
  <si>
    <t>II. Önkormányzat kiadásai</t>
  </si>
  <si>
    <t>III. Költségvetési szervek bevételei</t>
  </si>
  <si>
    <t>III. Költségvetési szervek bevételei mindösszesen:</t>
  </si>
  <si>
    <t>IV. Kerületi bevételek</t>
  </si>
  <si>
    <t xml:space="preserve">IV. Bevételek mindösszesen  (I+II+III.) Irányítószervi támogatása nélkül) </t>
  </si>
  <si>
    <t>III. Költségvetési szervek kiadásai (2.sz.mell.sz.)</t>
  </si>
  <si>
    <t>III. Költségvetési szervek kiadásai mindösszesen</t>
  </si>
  <si>
    <t>IV. Kerületi kiadások</t>
  </si>
  <si>
    <t xml:space="preserve">IV. Kiadások mindösszesen  (I+II+III.) Irányítószervi támogatás folyósítása nélkül) </t>
  </si>
  <si>
    <t>PH és Önkormányzat költségvetési kiadásai mindössz:</t>
  </si>
  <si>
    <t>2022. évi előirányzat    /2022.</t>
  </si>
  <si>
    <t>2022. évi előirányzat   /2022.</t>
  </si>
  <si>
    <t>2022. évi előirányzat  /2022.</t>
  </si>
  <si>
    <t>2022. évi  előirányzat …/2022.</t>
  </si>
  <si>
    <t>Önkormányzati lakások komfortosítása</t>
  </si>
  <si>
    <t>Munkásszálló kialakítása</t>
  </si>
  <si>
    <t xml:space="preserve"> Veszélyhelyzethez  kapcsolódó  kiadások</t>
  </si>
  <si>
    <t>Ferencvárosi naptár készítése</t>
  </si>
  <si>
    <t xml:space="preserve">      4124 Önkormányzati lakások komfortosítása</t>
  </si>
  <si>
    <t xml:space="preserve">       4225 Napfény Óvoda felújítás</t>
  </si>
  <si>
    <t>Munkásszálló</t>
  </si>
  <si>
    <t xml:space="preserve">       5027 PH épületeiben beruházási kiadások</t>
  </si>
  <si>
    <t>Napfény felújítás</t>
  </si>
  <si>
    <t>Munkásszálló kialaítása</t>
  </si>
  <si>
    <t>Elszámolásból származó bevételek</t>
  </si>
  <si>
    <t>VEKOP-7 3 4-17-2017-00011              József Attila " Altatótól a Késői síratóig"</t>
  </si>
  <si>
    <t xml:space="preserve">               FIÜK Bakátstér bunker tűzvédelem</t>
  </si>
  <si>
    <t>Jégpálya</t>
  </si>
  <si>
    <t>Ráday restart</t>
  </si>
  <si>
    <t>Önkormányzati lakóházak tetőfelújítás</t>
  </si>
  <si>
    <t>Bakáts kávézó kialakítása</t>
  </si>
  <si>
    <t>Gát u. 24.-26. sz. ingatlan felújítás</t>
  </si>
  <si>
    <t>Köztéri nyilvános illemhelyek kialakítása</t>
  </si>
  <si>
    <t>Ecserei úti metromegálló felszíni rendezése</t>
  </si>
  <si>
    <t xml:space="preserve">          Felújításokkal kapcsolatos várható többletkiadás</t>
  </si>
  <si>
    <t>Hackathon</t>
  </si>
  <si>
    <t>Ecseri úti metrómegálló felszínrendezés</t>
  </si>
  <si>
    <t>Gát u. 24-26. lakóház felújítás</t>
  </si>
  <si>
    <t>Engedélye-zett létszám összesen 2022. év    ../2022.</t>
  </si>
  <si>
    <t>Hackatlon</t>
  </si>
  <si>
    <t>Felújításokkal kapcsolatos várható többlet</t>
  </si>
  <si>
    <t>Ecseri úti metrómegálló felszíni rendezés</t>
  </si>
  <si>
    <t xml:space="preserve">       4114 Önkormányzati lakóházak tetőfelújítás</t>
  </si>
  <si>
    <t>Bakáts téri  kávéház kialakítása</t>
  </si>
  <si>
    <t>Felújításokkal kapcsolatos várható többletkiadás</t>
  </si>
  <si>
    <t>Tankerülettel közös finanszírozású felújítások</t>
  </si>
  <si>
    <t>Gyáli úti okososzlop telepítése</t>
  </si>
  <si>
    <t xml:space="preserve">Tankerülettel közös finanszírozású felújítások </t>
  </si>
  <si>
    <t>Díszkivilágítás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</si>
</sst>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Ft&quot;;[Red]\-#,##0\ &quot;Ft&quot;"/>
    <numFmt numFmtId="43" formatCode="_-* #,##0.00\ _F_t_-;\-* #,##0.00\ _F_t_-;_-* &quot;-&quot;??\ _F_t_-;_-@_-"/>
    <numFmt numFmtId="164" formatCode="0.0%"/>
  </numFmts>
  <fonts count="66">
    <font>
      <sz val="10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0"/>
      <name val="Times New Roman"/>
      <family val="1"/>
    </font>
    <font>
      <sz val="10"/>
      <color rgb="FF000000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E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0"/>
      <name val="Ariel CE"/>
      <family val="2"/>
    </font>
    <font>
      <b/>
      <sz val="10"/>
      <name val="MS Sans Serif"/>
      <family val="2"/>
    </font>
    <font>
      <sz val="10"/>
      <name val="MS Sans Serif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 style="double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5" applyNumberFormat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4" borderId="7" applyNumberFormat="0" applyFont="0" applyAlignment="0" applyProtection="0"/>
    <xf numFmtId="0" fontId="23" fillId="11" borderId="0" applyNumberFormat="0" applyBorder="0" applyAlignment="0" applyProtection="0"/>
    <xf numFmtId="0" fontId="24" fillId="1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9" applyNumberFormat="0" applyFill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30" fillId="12" borderId="1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560">
    <xf numFmtId="0" fontId="0" fillId="0" borderId="0" xfId="0"/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/>
    <xf numFmtId="3" fontId="3" fillId="0" borderId="12" xfId="0" applyNumberFormat="1" applyFont="1" applyBorder="1"/>
    <xf numFmtId="3" fontId="3" fillId="0" borderId="11" xfId="0" applyNumberFormat="1" applyFont="1" applyBorder="1"/>
    <xf numFmtId="3" fontId="2" fillId="0" borderId="11" xfId="0" applyNumberFormat="1" applyFont="1" applyBorder="1"/>
    <xf numFmtId="0" fontId="0" fillId="0" borderId="0" xfId="0" applyFont="1"/>
    <xf numFmtId="3" fontId="0" fillId="0" borderId="0" xfId="0" applyNumberFormat="1" applyFont="1"/>
    <xf numFmtId="0" fontId="2" fillId="0" borderId="1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/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/>
    <xf numFmtId="0" fontId="2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3" fontId="3" fillId="0" borderId="0" xfId="0" applyNumberFormat="1" applyFont="1"/>
    <xf numFmtId="3" fontId="2" fillId="0" borderId="13" xfId="0" applyNumberFormat="1" applyFont="1" applyBorder="1"/>
    <xf numFmtId="3" fontId="3" fillId="0" borderId="0" xfId="0" applyNumberFormat="1" applyFont="1" applyBorder="1"/>
    <xf numFmtId="3" fontId="2" fillId="0" borderId="1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left"/>
    </xf>
    <xf numFmtId="3" fontId="2" fillId="0" borderId="0" xfId="0" applyNumberFormat="1" applyFont="1"/>
    <xf numFmtId="3" fontId="3" fillId="0" borderId="10" xfId="0" applyNumberFormat="1" applyFont="1" applyBorder="1"/>
    <xf numFmtId="3" fontId="6" fillId="0" borderId="0" xfId="0" applyNumberFormat="1" applyFont="1" applyBorder="1"/>
    <xf numFmtId="3" fontId="5" fillId="0" borderId="0" xfId="0" applyNumberFormat="1" applyFont="1" applyBorder="1"/>
    <xf numFmtId="3" fontId="4" fillId="0" borderId="11" xfId="0" applyNumberFormat="1" applyFont="1" applyBorder="1"/>
    <xf numFmtId="3" fontId="4" fillId="0" borderId="0" xfId="0" applyNumberFormat="1" applyFont="1"/>
    <xf numFmtId="3" fontId="6" fillId="0" borderId="15" xfId="0" applyNumberFormat="1" applyFont="1" applyBorder="1"/>
    <xf numFmtId="3" fontId="5" fillId="0" borderId="0" xfId="0" applyNumberFormat="1" applyFont="1"/>
    <xf numFmtId="3" fontId="6" fillId="0" borderId="14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2" fillId="0" borderId="15" xfId="0" applyFont="1" applyBorder="1"/>
    <xf numFmtId="0" fontId="2" fillId="0" borderId="0" xfId="0" applyFont="1" applyBorder="1"/>
    <xf numFmtId="0" fontId="2" fillId="0" borderId="1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3" xfId="0" applyFont="1" applyBorder="1"/>
    <xf numFmtId="0" fontId="4" fillId="0" borderId="17" xfId="0" applyFont="1" applyBorder="1" applyAlignment="1">
      <alignment horizontal="centerContinuous" vertical="top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Continuous" vertical="top"/>
    </xf>
    <xf numFmtId="0" fontId="4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/>
    <xf numFmtId="3" fontId="0" fillId="0" borderId="0" xfId="0" applyNumberFormat="1"/>
    <xf numFmtId="3" fontId="0" fillId="0" borderId="0" xfId="0" applyNumberFormat="1" applyAlignment="1">
      <alignment/>
    </xf>
    <xf numFmtId="3" fontId="2" fillId="0" borderId="18" xfId="0" applyNumberFormat="1" applyFont="1" applyBorder="1"/>
    <xf numFmtId="0" fontId="2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5" fillId="0" borderId="11" xfId="0" applyNumberFormat="1" applyFont="1" applyBorder="1"/>
    <xf numFmtId="0" fontId="2" fillId="0" borderId="0" xfId="0" applyFont="1" applyBorder="1"/>
    <xf numFmtId="3" fontId="4" fillId="0" borderId="11" xfId="0" applyNumberFormat="1" applyFont="1" applyBorder="1" applyAlignment="1">
      <alignment horizontal="center"/>
    </xf>
    <xf numFmtId="3" fontId="3" fillId="0" borderId="11" xfId="0" applyNumberFormat="1" applyFont="1" applyBorder="1"/>
    <xf numFmtId="3" fontId="2" fillId="0" borderId="12" xfId="0" applyNumberFormat="1" applyFont="1" applyBorder="1"/>
    <xf numFmtId="3" fontId="2" fillId="0" borderId="11" xfId="0" applyNumberFormat="1" applyFont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3" fontId="3" fillId="0" borderId="12" xfId="0" applyNumberFormat="1" applyFont="1" applyBorder="1"/>
    <xf numFmtId="0" fontId="4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6" fillId="0" borderId="11" xfId="0" applyNumberFormat="1" applyFont="1" applyBorder="1"/>
    <xf numFmtId="0" fontId="7" fillId="0" borderId="10" xfId="0" applyFont="1" applyBorder="1"/>
    <xf numFmtId="3" fontId="2" fillId="0" borderId="17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left"/>
    </xf>
    <xf numFmtId="0" fontId="3" fillId="0" borderId="10" xfId="0" applyFont="1" applyBorder="1"/>
    <xf numFmtId="0" fontId="4" fillId="0" borderId="16" xfId="0" applyFont="1" applyBorder="1" applyAlignment="1">
      <alignment horizontal="centerContinuous" vertical="top"/>
    </xf>
    <xf numFmtId="3" fontId="4" fillId="0" borderId="13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left"/>
    </xf>
    <xf numFmtId="3" fontId="7" fillId="0" borderId="10" xfId="0" applyNumberFormat="1" applyFont="1" applyBorder="1"/>
    <xf numFmtId="3" fontId="2" fillId="0" borderId="0" xfId="0" applyNumberFormat="1" applyFont="1" applyAlignment="1">
      <alignment horizontal="center"/>
    </xf>
    <xf numFmtId="3" fontId="6" fillId="0" borderId="10" xfId="0" applyNumberFormat="1" applyFont="1" applyBorder="1"/>
    <xf numFmtId="3" fontId="6" fillId="0" borderId="11" xfId="0" applyNumberFormat="1" applyFont="1" applyBorder="1"/>
    <xf numFmtId="3" fontId="2" fillId="0" borderId="21" xfId="0" applyNumberFormat="1" applyFont="1" applyBorder="1"/>
    <xf numFmtId="3" fontId="2" fillId="0" borderId="15" xfId="0" applyNumberFormat="1" applyFont="1" applyBorder="1"/>
    <xf numFmtId="3" fontId="4" fillId="0" borderId="14" xfId="0" applyNumberFormat="1" applyFont="1" applyBorder="1"/>
    <xf numFmtId="3" fontId="3" fillId="0" borderId="21" xfId="0" applyNumberFormat="1" applyFont="1" applyBorder="1"/>
    <xf numFmtId="3" fontId="6" fillId="0" borderId="12" xfId="0" applyNumberFormat="1" applyFont="1" applyBorder="1"/>
    <xf numFmtId="0" fontId="1" fillId="0" borderId="0" xfId="54">
      <alignment/>
      <protection/>
    </xf>
    <xf numFmtId="0" fontId="3" fillId="0" borderId="14" xfId="0" applyFont="1" applyBorder="1" applyAlignment="1">
      <alignment horizontal="center"/>
    </xf>
    <xf numFmtId="3" fontId="4" fillId="0" borderId="12" xfId="0" applyNumberFormat="1" applyFont="1" applyBorder="1" applyAlignment="1">
      <alignment horizontal="left"/>
    </xf>
    <xf numFmtId="3" fontId="4" fillId="0" borderId="11" xfId="0" applyNumberFormat="1" applyFont="1" applyBorder="1"/>
    <xf numFmtId="0" fontId="2" fillId="0" borderId="13" xfId="0" applyFont="1" applyBorder="1" applyAlignment="1">
      <alignment horizontal="center" vertical="top"/>
    </xf>
    <xf numFmtId="0" fontId="2" fillId="0" borderId="0" xfId="55" applyFont="1" applyBorder="1" applyAlignment="1">
      <alignment horizontal="center"/>
      <protection/>
    </xf>
    <xf numFmtId="0" fontId="0" fillId="0" borderId="0" xfId="55" applyAlignment="1">
      <alignment/>
      <protection/>
    </xf>
    <xf numFmtId="0" fontId="3" fillId="0" borderId="0" xfId="55" applyFont="1" applyAlignment="1">
      <alignment/>
      <protection/>
    </xf>
    <xf numFmtId="0" fontId="4" fillId="0" borderId="0" xfId="55" applyFont="1" applyBorder="1" applyAlignment="1">
      <alignment horizontal="right"/>
      <protection/>
    </xf>
    <xf numFmtId="0" fontId="2" fillId="0" borderId="0" xfId="55" applyFont="1" applyAlignment="1">
      <alignment/>
      <protection/>
    </xf>
    <xf numFmtId="3" fontId="2" fillId="0" borderId="12" xfId="55" applyNumberFormat="1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3" fontId="0" fillId="0" borderId="12" xfId="55" applyNumberFormat="1" applyFont="1" applyBorder="1" applyAlignment="1">
      <alignment/>
      <protection/>
    </xf>
    <xf numFmtId="0" fontId="4" fillId="0" borderId="12" xfId="55" applyFont="1" applyBorder="1" applyAlignment="1">
      <alignment/>
      <protection/>
    </xf>
    <xf numFmtId="0" fontId="0" fillId="0" borderId="0" xfId="55" applyFont="1" applyAlignment="1">
      <alignment/>
      <protection/>
    </xf>
    <xf numFmtId="3" fontId="3" fillId="0" borderId="12" xfId="55" applyNumberFormat="1" applyFont="1" applyBorder="1" applyAlignment="1">
      <alignment/>
      <protection/>
    </xf>
    <xf numFmtId="0" fontId="3" fillId="0" borderId="12" xfId="55" applyFont="1" applyBorder="1" applyAlignment="1">
      <alignment/>
      <protection/>
    </xf>
    <xf numFmtId="3" fontId="2" fillId="0" borderId="12" xfId="55" applyNumberFormat="1" applyFont="1" applyBorder="1" applyAlignment="1">
      <alignment/>
      <protection/>
    </xf>
    <xf numFmtId="0" fontId="2" fillId="0" borderId="12" xfId="55" applyFont="1" applyBorder="1" applyAlignment="1">
      <alignment/>
      <protection/>
    </xf>
    <xf numFmtId="3" fontId="2" fillId="0" borderId="12" xfId="55" applyNumberFormat="1" applyFont="1" applyBorder="1" applyAlignment="1">
      <alignment/>
      <protection/>
    </xf>
    <xf numFmtId="0" fontId="2" fillId="0" borderId="11" xfId="55" applyFont="1" applyBorder="1" applyAlignment="1">
      <alignment/>
      <protection/>
    </xf>
    <xf numFmtId="3" fontId="2" fillId="0" borderId="11" xfId="55" applyNumberFormat="1" applyFont="1" applyBorder="1" applyAlignment="1">
      <alignment/>
      <protection/>
    </xf>
    <xf numFmtId="0" fontId="2" fillId="0" borderId="11" xfId="55" applyFont="1" applyBorder="1" applyAlignment="1">
      <alignment/>
      <protection/>
    </xf>
    <xf numFmtId="0" fontId="3" fillId="0" borderId="11" xfId="55" applyFont="1" applyBorder="1" applyAlignment="1">
      <alignment/>
      <protection/>
    </xf>
    <xf numFmtId="0" fontId="3" fillId="0" borderId="12" xfId="55" applyFont="1" applyBorder="1" applyAlignment="1">
      <alignment/>
      <protection/>
    </xf>
    <xf numFmtId="0" fontId="2" fillId="0" borderId="15" xfId="55" applyFont="1" applyBorder="1" applyAlignment="1">
      <alignment/>
      <protection/>
    </xf>
    <xf numFmtId="3" fontId="3" fillId="0" borderId="12" xfId="55" applyNumberFormat="1" applyFont="1" applyBorder="1" applyAlignment="1">
      <alignment/>
      <protection/>
    </xf>
    <xf numFmtId="3" fontId="3" fillId="0" borderId="11" xfId="55" applyNumberFormat="1" applyFont="1" applyBorder="1" applyAlignment="1">
      <alignment/>
      <protection/>
    </xf>
    <xf numFmtId="0" fontId="3" fillId="0" borderId="11" xfId="55" applyFont="1" applyBorder="1" applyAlignment="1">
      <alignment/>
      <protection/>
    </xf>
    <xf numFmtId="0" fontId="2" fillId="0" borderId="12" xfId="55" applyFont="1" applyBorder="1" applyAlignment="1">
      <alignment/>
      <protection/>
    </xf>
    <xf numFmtId="0" fontId="3" fillId="0" borderId="10" xfId="55" applyFont="1" applyBorder="1" applyAlignment="1">
      <alignment/>
      <protection/>
    </xf>
    <xf numFmtId="3" fontId="3" fillId="0" borderId="21" xfId="55" applyNumberFormat="1" applyFont="1" applyBorder="1" applyAlignment="1">
      <alignment/>
      <protection/>
    </xf>
    <xf numFmtId="0" fontId="3" fillId="0" borderId="21" xfId="55" applyFont="1" applyBorder="1" applyAlignment="1">
      <alignment/>
      <protection/>
    </xf>
    <xf numFmtId="0" fontId="2" fillId="0" borderId="15" xfId="55" applyFont="1" applyBorder="1" applyAlignment="1">
      <alignment/>
      <protection/>
    </xf>
    <xf numFmtId="3" fontId="2" fillId="0" borderId="15" xfId="55" applyNumberFormat="1" applyFont="1" applyBorder="1" applyAlignment="1">
      <alignment/>
      <protection/>
    </xf>
    <xf numFmtId="0" fontId="2" fillId="0" borderId="13" xfId="55" applyFont="1" applyBorder="1" applyAlignment="1">
      <alignment/>
      <protection/>
    </xf>
    <xf numFmtId="0" fontId="3" fillId="0" borderId="13" xfId="55" applyFont="1" applyBorder="1" applyAlignment="1">
      <alignment/>
      <protection/>
    </xf>
    <xf numFmtId="0" fontId="4" fillId="0" borderId="15" xfId="55" applyFont="1" applyBorder="1" applyAlignment="1">
      <alignment/>
      <protection/>
    </xf>
    <xf numFmtId="3" fontId="2" fillId="0" borderId="10" xfId="55" applyNumberFormat="1" applyFont="1" applyBorder="1" applyAlignment="1">
      <alignment/>
      <protection/>
    </xf>
    <xf numFmtId="3" fontId="3" fillId="0" borderId="18" xfId="55" applyNumberFormat="1" applyFont="1" applyBorder="1" applyAlignment="1">
      <alignment/>
      <protection/>
    </xf>
    <xf numFmtId="0" fontId="3" fillId="0" borderId="18" xfId="55" applyFont="1" applyBorder="1" applyAlignment="1">
      <alignment/>
      <protection/>
    </xf>
    <xf numFmtId="3" fontId="2" fillId="0" borderId="18" xfId="55" applyNumberFormat="1" applyFont="1" applyBorder="1" applyAlignment="1">
      <alignment/>
      <protection/>
    </xf>
    <xf numFmtId="3" fontId="3" fillId="0" borderId="14" xfId="55" applyNumberFormat="1" applyFont="1" applyBorder="1" applyAlignment="1">
      <alignment/>
      <protection/>
    </xf>
    <xf numFmtId="3" fontId="2" fillId="0" borderId="14" xfId="55" applyNumberFormat="1" applyFont="1" applyBorder="1" applyAlignment="1">
      <alignment/>
      <protection/>
    </xf>
    <xf numFmtId="3" fontId="3" fillId="0" borderId="15" xfId="55" applyNumberFormat="1" applyFont="1" applyBorder="1" applyAlignment="1">
      <alignment/>
      <protection/>
    </xf>
    <xf numFmtId="3" fontId="4" fillId="0" borderId="10" xfId="55" applyNumberFormat="1" applyFont="1" applyBorder="1" applyAlignment="1">
      <alignment horizontal="right"/>
      <protection/>
    </xf>
    <xf numFmtId="0" fontId="4" fillId="0" borderId="0" xfId="55" applyFont="1" applyAlignment="1">
      <alignment/>
      <protection/>
    </xf>
    <xf numFmtId="3" fontId="4" fillId="0" borderId="12" xfId="55" applyNumberFormat="1" applyFont="1" applyBorder="1" applyAlignment="1">
      <alignment/>
      <protection/>
    </xf>
    <xf numFmtId="0" fontId="3" fillId="0" borderId="14" xfId="55" applyFont="1" applyBorder="1" applyAlignment="1">
      <alignment/>
      <protection/>
    </xf>
    <xf numFmtId="3" fontId="3" fillId="0" borderId="0" xfId="55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0" fontId="2" fillId="0" borderId="10" xfId="55" applyFont="1" applyBorder="1" applyAlignment="1">
      <alignment/>
      <protection/>
    </xf>
    <xf numFmtId="0" fontId="7" fillId="0" borderId="0" xfId="54" applyFont="1">
      <alignment/>
      <protection/>
    </xf>
    <xf numFmtId="3" fontId="4" fillId="0" borderId="22" xfId="0" applyNumberFormat="1" applyFont="1" applyBorder="1"/>
    <xf numFmtId="3" fontId="3" fillId="0" borderId="21" xfId="0" applyNumberFormat="1" applyFont="1" applyBorder="1"/>
    <xf numFmtId="3" fontId="4" fillId="0" borderId="15" xfId="0" applyNumberFormat="1" applyFont="1" applyBorder="1" applyAlignment="1">
      <alignment vertical="center"/>
    </xf>
    <xf numFmtId="0" fontId="4" fillId="0" borderId="10" xfId="55" applyFont="1" applyBorder="1" applyAlignment="1">
      <alignment/>
      <protection/>
    </xf>
    <xf numFmtId="3" fontId="3" fillId="0" borderId="23" xfId="0" applyNumberFormat="1" applyFont="1" applyBorder="1"/>
    <xf numFmtId="0" fontId="4" fillId="0" borderId="15" xfId="55" applyFont="1" applyBorder="1" applyAlignment="1">
      <alignment vertical="center"/>
      <protection/>
    </xf>
    <xf numFmtId="0" fontId="9" fillId="0" borderId="14" xfId="55" applyFont="1" applyBorder="1" applyAlignment="1">
      <alignment vertical="center"/>
      <protection/>
    </xf>
    <xf numFmtId="0" fontId="9" fillId="0" borderId="15" xfId="55" applyFont="1" applyBorder="1" applyAlignment="1">
      <alignment/>
      <protection/>
    </xf>
    <xf numFmtId="3" fontId="2" fillId="0" borderId="15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3" fillId="0" borderId="12" xfId="0" applyNumberFormat="1" applyFont="1" applyFill="1" applyBorder="1"/>
    <xf numFmtId="3" fontId="2" fillId="0" borderId="18" xfId="0" applyNumberFormat="1" applyFont="1" applyBorder="1"/>
    <xf numFmtId="3" fontId="38" fillId="0" borderId="14" xfId="0" applyNumberFormat="1" applyFont="1" applyBorder="1" applyAlignment="1">
      <alignment vertical="center"/>
    </xf>
    <xf numFmtId="0" fontId="0" fillId="0" borderId="12" xfId="55" applyFont="1" applyBorder="1" applyAlignment="1">
      <alignment/>
      <protection/>
    </xf>
    <xf numFmtId="0" fontId="2" fillId="0" borderId="18" xfId="55" applyFont="1" applyBorder="1" applyAlignment="1">
      <alignment/>
      <protection/>
    </xf>
    <xf numFmtId="9" fontId="2" fillId="0" borderId="12" xfId="0" applyNumberFormat="1" applyFont="1" applyBorder="1"/>
    <xf numFmtId="0" fontId="5" fillId="0" borderId="10" xfId="0" applyFont="1" applyBorder="1"/>
    <xf numFmtId="3" fontId="5" fillId="0" borderId="21" xfId="0" applyNumberFormat="1" applyFont="1" applyBorder="1"/>
    <xf numFmtId="0" fontId="7" fillId="0" borderId="12" xfId="55" applyFont="1" applyBorder="1" applyAlignment="1">
      <alignment/>
      <protection/>
    </xf>
    <xf numFmtId="3" fontId="4" fillId="0" borderId="10" xfId="0" applyNumberFormat="1" applyFont="1" applyBorder="1"/>
    <xf numFmtId="0" fontId="4" fillId="0" borderId="18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2" fillId="0" borderId="18" xfId="55" applyFont="1" applyBorder="1" applyAlignment="1">
      <alignment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/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0" fontId="8" fillId="0" borderId="25" xfId="0" applyFont="1" applyBorder="1" applyAlignment="1">
      <alignment horizontal="center"/>
    </xf>
    <xf numFmtId="0" fontId="8" fillId="0" borderId="25" xfId="0" applyFont="1" applyBorder="1"/>
    <xf numFmtId="3" fontId="5" fillId="0" borderId="12" xfId="0" applyNumberFormat="1" applyFont="1" applyBorder="1"/>
    <xf numFmtId="0" fontId="7" fillId="0" borderId="11" xfId="55" applyFont="1" applyBorder="1" applyAlignment="1">
      <alignment/>
      <protection/>
    </xf>
    <xf numFmtId="0" fontId="2" fillId="0" borderId="26" xfId="0" applyFont="1" applyFill="1" applyBorder="1" applyAlignment="1">
      <alignment horizontal="left" vertical="top"/>
    </xf>
    <xf numFmtId="0" fontId="9" fillId="0" borderId="10" xfId="55" applyFont="1" applyBorder="1" applyAlignment="1">
      <alignment/>
      <protection/>
    </xf>
    <xf numFmtId="0" fontId="4" fillId="0" borderId="11" xfId="0" applyFont="1" applyBorder="1" applyAlignment="1">
      <alignment horizontal="center"/>
    </xf>
    <xf numFmtId="3" fontId="3" fillId="0" borderId="13" xfId="55" applyNumberFormat="1" applyFont="1" applyBorder="1" applyAlignment="1">
      <alignment/>
      <protection/>
    </xf>
    <xf numFmtId="0" fontId="3" fillId="0" borderId="23" xfId="0" applyFont="1" applyBorder="1" applyAlignment="1">
      <alignment horizontal="center"/>
    </xf>
    <xf numFmtId="3" fontId="8" fillId="0" borderId="12" xfId="0" applyNumberFormat="1" applyFont="1" applyBorder="1"/>
    <xf numFmtId="3" fontId="4" fillId="0" borderId="22" xfId="0" applyNumberFormat="1" applyFont="1" applyBorder="1" applyAlignment="1">
      <alignment vertical="center"/>
    </xf>
    <xf numFmtId="0" fontId="0" fillId="0" borderId="0" xfId="57">
      <alignment/>
      <protection/>
    </xf>
    <xf numFmtId="0" fontId="2" fillId="0" borderId="0" xfId="57" applyFont="1" applyBorder="1" applyAlignment="1">
      <alignment horizontal="centerContinuous"/>
      <protection/>
    </xf>
    <xf numFmtId="3" fontId="9" fillId="0" borderId="10" xfId="57" applyNumberFormat="1" applyFont="1" applyFill="1" applyBorder="1" applyAlignment="1">
      <alignment horizontal="center"/>
      <protection/>
    </xf>
    <xf numFmtId="3" fontId="9" fillId="0" borderId="10" xfId="57" applyNumberFormat="1" applyFont="1" applyFill="1" applyBorder="1" applyAlignment="1" applyProtection="1">
      <alignment horizontal="center"/>
      <protection locked="0"/>
    </xf>
    <xf numFmtId="3" fontId="9" fillId="0" borderId="25" xfId="57" applyNumberFormat="1" applyFont="1" applyFill="1" applyBorder="1" applyAlignment="1" applyProtection="1">
      <alignment horizontal="center"/>
      <protection locked="0"/>
    </xf>
    <xf numFmtId="3" fontId="12" fillId="0" borderId="10" xfId="57" applyNumberFormat="1" applyFont="1" applyFill="1" applyBorder="1" applyAlignment="1" applyProtection="1">
      <alignment horizontal="center"/>
      <protection locked="0"/>
    </xf>
    <xf numFmtId="0" fontId="9" fillId="0" borderId="25" xfId="57" applyFont="1" applyFill="1" applyBorder="1" applyProtection="1">
      <alignment/>
      <protection locked="0"/>
    </xf>
    <xf numFmtId="0" fontId="9" fillId="0" borderId="14" xfId="55" applyFont="1" applyBorder="1" applyAlignment="1">
      <alignment/>
      <protection/>
    </xf>
    <xf numFmtId="0" fontId="8" fillId="0" borderId="12" xfId="55" applyFont="1" applyBorder="1" applyAlignment="1">
      <alignment/>
      <protection/>
    </xf>
    <xf numFmtId="0" fontId="9" fillId="0" borderId="18" xfId="55" applyFont="1" applyBorder="1" applyAlignment="1">
      <alignment/>
      <protection/>
    </xf>
    <xf numFmtId="0" fontId="43" fillId="0" borderId="15" xfId="55" applyFont="1" applyBorder="1" applyAlignment="1">
      <alignment/>
      <protection/>
    </xf>
    <xf numFmtId="0" fontId="43" fillId="0" borderId="10" xfId="55" applyFont="1" applyBorder="1" applyAlignment="1">
      <alignment/>
      <protection/>
    </xf>
    <xf numFmtId="0" fontId="43" fillId="0" borderId="15" xfId="55" applyFont="1" applyBorder="1" applyAlignment="1">
      <alignment vertical="center"/>
      <protection/>
    </xf>
    <xf numFmtId="0" fontId="43" fillId="0" borderId="15" xfId="55" applyFont="1" applyBorder="1" applyAlignment="1">
      <alignment vertical="center"/>
      <protection/>
    </xf>
    <xf numFmtId="0" fontId="4" fillId="0" borderId="13" xfId="55" applyFont="1" applyBorder="1" applyAlignment="1">
      <alignment/>
      <protection/>
    </xf>
    <xf numFmtId="0" fontId="9" fillId="0" borderId="12" xfId="55" applyFont="1" applyBorder="1" applyAlignment="1">
      <alignment vertical="center"/>
      <protection/>
    </xf>
    <xf numFmtId="0" fontId="9" fillId="0" borderId="12" xfId="55" applyFont="1" applyBorder="1" applyAlignment="1">
      <alignment/>
      <protection/>
    </xf>
    <xf numFmtId="0" fontId="9" fillId="0" borderId="15" xfId="55" applyFont="1" applyBorder="1" applyAlignment="1">
      <alignment vertical="center"/>
      <protection/>
    </xf>
    <xf numFmtId="0" fontId="43" fillId="0" borderId="12" xfId="55" applyFont="1" applyBorder="1" applyAlignment="1">
      <alignment vertical="center"/>
      <protection/>
    </xf>
    <xf numFmtId="0" fontId="11" fillId="0" borderId="15" xfId="55" applyFont="1" applyBorder="1" applyAlignment="1">
      <alignment/>
      <protection/>
    </xf>
    <xf numFmtId="0" fontId="4" fillId="0" borderId="27" xfId="55" applyFont="1" applyBorder="1" applyAlignment="1">
      <alignment/>
      <protection/>
    </xf>
    <xf numFmtId="0" fontId="43" fillId="0" borderId="28" xfId="55" applyFont="1" applyBorder="1" applyAlignment="1">
      <alignment/>
      <protection/>
    </xf>
    <xf numFmtId="0" fontId="4" fillId="0" borderId="29" xfId="55" applyFont="1" applyBorder="1" applyAlignment="1">
      <alignment/>
      <protection/>
    </xf>
    <xf numFmtId="0" fontId="43" fillId="0" borderId="28" xfId="55" applyFont="1" applyBorder="1" applyAlignment="1">
      <alignment vertical="center"/>
      <protection/>
    </xf>
    <xf numFmtId="0" fontId="3" fillId="0" borderId="15" xfId="55" applyFont="1" applyBorder="1" applyAlignment="1">
      <alignment/>
      <protection/>
    </xf>
    <xf numFmtId="0" fontId="32" fillId="0" borderId="15" xfId="54" applyFont="1" applyBorder="1" applyAlignment="1">
      <alignment vertical="center"/>
      <protection/>
    </xf>
    <xf numFmtId="3" fontId="2" fillId="0" borderId="29" xfId="55" applyNumberFormat="1" applyFont="1" applyBorder="1" applyAlignment="1">
      <alignment/>
      <protection/>
    </xf>
    <xf numFmtId="3" fontId="2" fillId="0" borderId="28" xfId="55" applyNumberFormat="1" applyFont="1" applyBorder="1" applyAlignment="1">
      <alignment/>
      <protection/>
    </xf>
    <xf numFmtId="3" fontId="2" fillId="0" borderId="27" xfId="55" applyNumberFormat="1" applyFont="1" applyBorder="1" applyAlignment="1">
      <alignment/>
      <protection/>
    </xf>
    <xf numFmtId="0" fontId="7" fillId="0" borderId="14" xfId="55" applyFont="1" applyBorder="1" applyAlignment="1">
      <alignment/>
      <protection/>
    </xf>
    <xf numFmtId="9" fontId="2" fillId="0" borderId="12" xfId="55" applyNumberFormat="1" applyFont="1" applyBorder="1" applyAlignment="1">
      <alignment/>
      <protection/>
    </xf>
    <xf numFmtId="0" fontId="8" fillId="0" borderId="10" xfId="55" applyFont="1" applyBorder="1" applyAlignment="1">
      <alignment/>
      <protection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/>
    <xf numFmtId="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3" fontId="0" fillId="0" borderId="0" xfId="55" applyNumberFormat="1" applyFont="1" applyAlignment="1">
      <alignment/>
      <protection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/>
    <xf numFmtId="0" fontId="3" fillId="0" borderId="0" xfId="55" applyFont="1" applyFill="1" applyAlignment="1">
      <alignment/>
      <protection/>
    </xf>
    <xf numFmtId="3" fontId="2" fillId="0" borderId="12" xfId="0" applyNumberFormat="1" applyFont="1" applyFill="1" applyBorder="1"/>
    <xf numFmtId="3" fontId="2" fillId="0" borderId="11" xfId="0" applyNumberFormat="1" applyFont="1" applyFill="1" applyBorder="1"/>
    <xf numFmtId="3" fontId="2" fillId="0" borderId="11" xfId="0" applyNumberFormat="1" applyFont="1" applyFill="1" applyBorder="1"/>
    <xf numFmtId="3" fontId="3" fillId="0" borderId="12" xfId="0" applyNumberFormat="1" applyFont="1" applyFill="1" applyBorder="1"/>
    <xf numFmtId="0" fontId="3" fillId="0" borderId="19" xfId="57" applyFont="1" applyFill="1" applyBorder="1" applyAlignment="1">
      <alignment horizontal="center"/>
      <protection/>
    </xf>
    <xf numFmtId="0" fontId="3" fillId="0" borderId="19" xfId="57" applyFont="1" applyFill="1" applyBorder="1">
      <alignment/>
      <protection/>
    </xf>
    <xf numFmtId="0" fontId="2" fillId="0" borderId="19" xfId="57" applyFont="1" applyFill="1" applyBorder="1" applyAlignment="1">
      <alignment horizontal="right"/>
      <protection/>
    </xf>
    <xf numFmtId="0" fontId="2" fillId="0" borderId="14" xfId="57" applyFont="1" applyFill="1" applyBorder="1" applyAlignment="1">
      <alignment horizontal="center"/>
      <protection/>
    </xf>
    <xf numFmtId="0" fontId="2" fillId="0" borderId="30" xfId="57" applyFont="1" applyFill="1" applyBorder="1" applyAlignment="1">
      <alignment horizontal="center"/>
      <protection/>
    </xf>
    <xf numFmtId="0" fontId="9" fillId="0" borderId="16" xfId="57" applyFont="1" applyFill="1" applyBorder="1">
      <alignment/>
      <protection/>
    </xf>
    <xf numFmtId="0" fontId="2" fillId="0" borderId="10" xfId="57" applyFont="1" applyFill="1" applyBorder="1" applyAlignment="1">
      <alignment horizontal="center"/>
      <protection/>
    </xf>
    <xf numFmtId="0" fontId="3" fillId="0" borderId="16" xfId="57" applyFont="1" applyFill="1" applyBorder="1">
      <alignment/>
      <protection/>
    </xf>
    <xf numFmtId="0" fontId="3" fillId="0" borderId="14" xfId="57" applyFont="1" applyFill="1" applyBorder="1">
      <alignment/>
      <protection/>
    </xf>
    <xf numFmtId="0" fontId="2" fillId="0" borderId="15" xfId="57" applyFont="1" applyFill="1" applyBorder="1">
      <alignment/>
      <protection/>
    </xf>
    <xf numFmtId="3" fontId="3" fillId="0" borderId="10" xfId="57" applyNumberFormat="1" applyFont="1" applyFill="1" applyBorder="1" applyAlignment="1">
      <alignment horizontal="center"/>
      <protection/>
    </xf>
    <xf numFmtId="9" fontId="3" fillId="0" borderId="10" xfId="57" applyNumberFormat="1" applyFont="1" applyFill="1" applyBorder="1">
      <alignment/>
      <protection/>
    </xf>
    <xf numFmtId="0" fontId="5" fillId="0" borderId="16" xfId="57" applyFont="1" applyFill="1" applyBorder="1">
      <alignment/>
      <protection/>
    </xf>
    <xf numFmtId="0" fontId="3" fillId="0" borderId="16" xfId="57" applyFont="1" applyFill="1" applyBorder="1">
      <alignment/>
      <protection/>
    </xf>
    <xf numFmtId="0" fontId="3" fillId="0" borderId="10" xfId="57" applyFont="1" applyFill="1" applyBorder="1">
      <alignment/>
      <protection/>
    </xf>
    <xf numFmtId="0" fontId="3" fillId="0" borderId="14" xfId="57" applyFont="1" applyFill="1" applyBorder="1">
      <alignment/>
      <protection/>
    </xf>
    <xf numFmtId="0" fontId="2" fillId="0" borderId="15" xfId="57" applyFont="1" applyFill="1" applyBorder="1">
      <alignment/>
      <protection/>
    </xf>
    <xf numFmtId="3" fontId="2" fillId="0" borderId="10" xfId="57" applyNumberFormat="1" applyFont="1" applyFill="1" applyBorder="1" applyAlignment="1">
      <alignment horizontal="center"/>
      <protection/>
    </xf>
    <xf numFmtId="0" fontId="4" fillId="0" borderId="30" xfId="57" applyFont="1" applyFill="1" applyBorder="1" applyAlignment="1">
      <alignment vertical="center"/>
      <protection/>
    </xf>
    <xf numFmtId="0" fontId="2" fillId="0" borderId="31" xfId="57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/>
      <protection/>
    </xf>
    <xf numFmtId="0" fontId="3" fillId="0" borderId="14" xfId="55" applyFont="1" applyFill="1" applyBorder="1" applyAlignment="1">
      <alignment/>
      <protection/>
    </xf>
    <xf numFmtId="0" fontId="4" fillId="0" borderId="30" xfId="53" applyFont="1" applyFill="1" applyBorder="1" applyAlignment="1">
      <alignment vertical="center"/>
      <protection/>
    </xf>
    <xf numFmtId="3" fontId="5" fillId="0" borderId="10" xfId="57" applyNumberFormat="1" applyFont="1" applyFill="1" applyBorder="1" applyAlignment="1">
      <alignment horizontal="center"/>
      <protection/>
    </xf>
    <xf numFmtId="0" fontId="9" fillId="0" borderId="31" xfId="53" applyFont="1" applyFill="1" applyBorder="1">
      <alignment/>
      <protection/>
    </xf>
    <xf numFmtId="0" fontId="3" fillId="0" borderId="16" xfId="53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14" xfId="53" applyFont="1" applyFill="1" applyBorder="1" applyAlignment="1">
      <alignment horizontal="left"/>
      <protection/>
    </xf>
    <xf numFmtId="0" fontId="2" fillId="0" borderId="14" xfId="53" applyFont="1" applyFill="1" applyBorder="1" applyAlignment="1">
      <alignment horizontal="left"/>
      <protection/>
    </xf>
    <xf numFmtId="0" fontId="2" fillId="0" borderId="31" xfId="53" applyFont="1" applyFill="1" applyBorder="1" applyAlignment="1">
      <alignment horizontal="left"/>
      <protection/>
    </xf>
    <xf numFmtId="0" fontId="9" fillId="0" borderId="31" xfId="53" applyFont="1" applyFill="1" applyBorder="1" applyAlignment="1">
      <alignment horizontal="left"/>
      <protection/>
    </xf>
    <xf numFmtId="0" fontId="9" fillId="0" borderId="25" xfId="57" applyFont="1" applyFill="1" applyBorder="1">
      <alignment/>
      <protection/>
    </xf>
    <xf numFmtId="0" fontId="9" fillId="0" borderId="16" xfId="57" applyFont="1" applyFill="1" applyBorder="1" applyProtection="1">
      <alignment/>
      <protection locked="0"/>
    </xf>
    <xf numFmtId="3" fontId="9" fillId="0" borderId="25" xfId="57" applyNumberFormat="1" applyFont="1" applyFill="1" applyBorder="1" applyAlignment="1" applyProtection="1">
      <alignment horizontal="left"/>
      <protection locked="0"/>
    </xf>
    <xf numFmtId="0" fontId="9" fillId="0" borderId="31" xfId="53" applyFont="1" applyFill="1" applyBorder="1" applyAlignment="1">
      <alignment vertical="center"/>
      <protection/>
    </xf>
    <xf numFmtId="0" fontId="12" fillId="0" borderId="25" xfId="57" applyFont="1" applyFill="1" applyBorder="1" applyProtection="1">
      <alignment/>
      <protection locked="0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0" xfId="0" applyFont="1" applyFill="1"/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/>
    <xf numFmtId="3" fontId="2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/>
    <xf numFmtId="0" fontId="2" fillId="0" borderId="11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32" xfId="0" applyFont="1" applyFill="1" applyBorder="1"/>
    <xf numFmtId="0" fontId="3" fillId="0" borderId="10" xfId="0" applyFont="1" applyFill="1" applyBorder="1"/>
    <xf numFmtId="0" fontId="2" fillId="0" borderId="31" xfId="0" applyFont="1" applyFill="1" applyBorder="1"/>
    <xf numFmtId="0" fontId="2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/>
    </xf>
    <xf numFmtId="0" fontId="2" fillId="0" borderId="18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32" xfId="0" applyFont="1" applyFill="1" applyBorder="1"/>
    <xf numFmtId="3" fontId="6" fillId="0" borderId="11" xfId="0" applyNumberFormat="1" applyFont="1" applyFill="1" applyBorder="1"/>
    <xf numFmtId="3" fontId="6" fillId="0" borderId="12" xfId="0" applyNumberFormat="1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/>
    <xf numFmtId="3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3" fillId="0" borderId="0" xfId="0" applyFont="1" applyFill="1" applyBorder="1"/>
    <xf numFmtId="3" fontId="2" fillId="0" borderId="1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right" vertical="center"/>
    </xf>
    <xf numFmtId="9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 vertical="top"/>
    </xf>
    <xf numFmtId="3" fontId="39" fillId="0" borderId="3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/>
    <xf numFmtId="3" fontId="39" fillId="0" borderId="35" xfId="0" applyNumberFormat="1" applyFont="1" applyFill="1" applyBorder="1" applyAlignment="1">
      <alignment horizontal="center"/>
    </xf>
    <xf numFmtId="3" fontId="7" fillId="0" borderId="12" xfId="0" applyNumberFormat="1" applyFont="1" applyFill="1" applyBorder="1"/>
    <xf numFmtId="0" fontId="7" fillId="0" borderId="32" xfId="0" applyFont="1" applyFill="1" applyBorder="1"/>
    <xf numFmtId="3" fontId="7" fillId="0" borderId="11" xfId="0" applyNumberFormat="1" applyFont="1" applyFill="1" applyBorder="1"/>
    <xf numFmtId="0" fontId="7" fillId="0" borderId="12" xfId="0" applyFont="1" applyFill="1" applyBorder="1"/>
    <xf numFmtId="3" fontId="39" fillId="0" borderId="36" xfId="0" applyNumberFormat="1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0" fontId="8" fillId="0" borderId="31" xfId="0" applyFont="1" applyFill="1" applyBorder="1"/>
    <xf numFmtId="3" fontId="39" fillId="0" borderId="22" xfId="0" applyNumberFormat="1" applyFont="1" applyFill="1" applyBorder="1" applyAlignment="1">
      <alignment horizontal="center"/>
    </xf>
    <xf numFmtId="0" fontId="8" fillId="0" borderId="32" xfId="0" applyFont="1" applyFill="1" applyBorder="1"/>
    <xf numFmtId="0" fontId="8" fillId="0" borderId="23" xfId="0" applyFont="1" applyFill="1" applyBorder="1" applyAlignment="1">
      <alignment horizontal="left" vertical="top"/>
    </xf>
    <xf numFmtId="3" fontId="36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39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" fontId="39" fillId="0" borderId="15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8" fillId="0" borderId="11" xfId="0" applyFont="1" applyFill="1" applyBorder="1"/>
    <xf numFmtId="3" fontId="3" fillId="0" borderId="1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/>
    </xf>
    <xf numFmtId="0" fontId="2" fillId="0" borderId="12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3" xfId="0" applyFont="1" applyFill="1" applyBorder="1"/>
    <xf numFmtId="3" fontId="2" fillId="0" borderId="14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42" fillId="0" borderId="14" xfId="0" applyNumberFormat="1" applyFont="1" applyFill="1" applyBorder="1" applyAlignment="1">
      <alignment horizontal="center"/>
    </xf>
    <xf numFmtId="3" fontId="4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2" fillId="0" borderId="23" xfId="0" applyFont="1" applyFill="1" applyBorder="1" applyAlignment="1">
      <alignment horizontal="left"/>
    </xf>
    <xf numFmtId="3" fontId="3" fillId="0" borderId="32" xfId="0" applyNumberFormat="1" applyFont="1" applyFill="1" applyBorder="1"/>
    <xf numFmtId="0" fontId="3" fillId="0" borderId="23" xfId="0" applyFont="1" applyFill="1" applyBorder="1"/>
    <xf numFmtId="164" fontId="2" fillId="0" borderId="15" xfId="0" applyNumberFormat="1" applyFont="1" applyFill="1" applyBorder="1" applyAlignment="1">
      <alignment horizontal="center"/>
    </xf>
    <xf numFmtId="3" fontId="42" fillId="0" borderId="18" xfId="0" applyNumberFormat="1" applyFont="1" applyFill="1" applyBorder="1" applyAlignment="1">
      <alignment horizontal="center"/>
    </xf>
    <xf numFmtId="3" fontId="42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32" xfId="0" applyNumberFormat="1" applyFont="1" applyFill="1" applyBorder="1"/>
    <xf numFmtId="3" fontId="42" fillId="0" borderId="21" xfId="0" applyNumberFormat="1" applyFont="1" applyFill="1" applyBorder="1" applyAlignment="1">
      <alignment horizontal="center"/>
    </xf>
    <xf numFmtId="3" fontId="42" fillId="0" borderId="11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4" fillId="0" borderId="34" xfId="0" applyFont="1" applyFill="1" applyBorder="1"/>
    <xf numFmtId="0" fontId="4" fillId="0" borderId="35" xfId="0" applyFont="1" applyFill="1" applyBorder="1"/>
    <xf numFmtId="0" fontId="0" fillId="0" borderId="3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35" xfId="0" applyFont="1" applyFill="1" applyBorder="1"/>
    <xf numFmtId="0" fontId="0" fillId="0" borderId="12" xfId="0" applyFont="1" applyFill="1" applyBorder="1"/>
    <xf numFmtId="0" fontId="0" fillId="0" borderId="34" xfId="0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3" fillId="0" borderId="21" xfId="0" applyNumberFormat="1" applyFont="1" applyFill="1" applyBorder="1"/>
    <xf numFmtId="3" fontId="2" fillId="0" borderId="14" xfId="0" applyNumberFormat="1" applyFont="1" applyFill="1" applyBorder="1"/>
    <xf numFmtId="3" fontId="6" fillId="0" borderId="11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3" xfId="0" applyFont="1" applyFill="1" applyBorder="1"/>
    <xf numFmtId="1" fontId="2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Continuous" vertical="top"/>
    </xf>
    <xf numFmtId="0" fontId="2" fillId="0" borderId="3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 vertical="top"/>
    </xf>
    <xf numFmtId="0" fontId="2" fillId="0" borderId="26" xfId="0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3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/>
    <xf numFmtId="0" fontId="2" fillId="0" borderId="12" xfId="0" applyFont="1" applyFill="1" applyBorder="1" applyAlignment="1">
      <alignment/>
    </xf>
    <xf numFmtId="0" fontId="3" fillId="0" borderId="12" xfId="0" applyFont="1" applyFill="1" applyBorder="1"/>
    <xf numFmtId="0" fontId="2" fillId="0" borderId="10" xfId="0" applyFont="1" applyFill="1" applyBorder="1" applyAlignment="1">
      <alignment/>
    </xf>
    <xf numFmtId="0" fontId="2" fillId="0" borderId="12" xfId="0" applyFont="1" applyFill="1" applyBorder="1"/>
    <xf numFmtId="0" fontId="2" fillId="0" borderId="20" xfId="0" applyFont="1" applyFill="1" applyBorder="1" applyAlignment="1">
      <alignment/>
    </xf>
    <xf numFmtId="0" fontId="2" fillId="0" borderId="10" xfId="0" applyFont="1" applyFill="1" applyBorder="1"/>
    <xf numFmtId="0" fontId="3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1" xfId="0" applyFont="1" applyFill="1" applyBorder="1"/>
    <xf numFmtId="0" fontId="2" fillId="0" borderId="16" xfId="0" applyFont="1" applyFill="1" applyBorder="1" applyAlignment="1">
      <alignment horizontal="left"/>
    </xf>
    <xf numFmtId="3" fontId="6" fillId="0" borderId="10" xfId="0" applyNumberFormat="1" applyFont="1" applyFill="1" applyBorder="1"/>
    <xf numFmtId="3" fontId="3" fillId="0" borderId="10" xfId="0" applyNumberFormat="1" applyFont="1" applyFill="1" applyBorder="1"/>
    <xf numFmtId="3" fontId="2" fillId="0" borderId="10" xfId="0" applyNumberFormat="1" applyFont="1" applyFill="1" applyBorder="1"/>
    <xf numFmtId="3" fontId="6" fillId="0" borderId="10" xfId="0" applyNumberFormat="1" applyFont="1" applyFill="1" applyBorder="1"/>
    <xf numFmtId="0" fontId="3" fillId="0" borderId="3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9" fontId="7" fillId="0" borderId="10" xfId="0" applyNumberFormat="1" applyFont="1" applyFill="1" applyBorder="1"/>
    <xf numFmtId="0" fontId="7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9" fontId="7" fillId="0" borderId="10" xfId="64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36" fillId="0" borderId="10" xfId="0" applyFont="1" applyFill="1" applyBorder="1"/>
    <xf numFmtId="0" fontId="3" fillId="0" borderId="12" xfId="0" applyFont="1" applyFill="1" applyBorder="1" applyAlignment="1">
      <alignment horizontal="center"/>
    </xf>
    <xf numFmtId="3" fontId="3" fillId="0" borderId="21" xfId="55" applyNumberFormat="1" applyFont="1" applyFill="1" applyBorder="1" applyAlignment="1">
      <alignment/>
      <protection/>
    </xf>
    <xf numFmtId="0" fontId="3" fillId="0" borderId="21" xfId="55" applyFont="1" applyFill="1" applyBorder="1" applyAlignment="1">
      <alignment/>
      <protection/>
    </xf>
    <xf numFmtId="0" fontId="3" fillId="0" borderId="12" xfId="55" applyFont="1" applyFill="1" applyBorder="1" applyAlignment="1">
      <alignment/>
      <protection/>
    </xf>
    <xf numFmtId="0" fontId="2" fillId="0" borderId="12" xfId="55" applyFont="1" applyFill="1" applyBorder="1" applyAlignment="1">
      <alignment/>
      <protection/>
    </xf>
    <xf numFmtId="3" fontId="2" fillId="0" borderId="11" xfId="55" applyNumberFormat="1" applyFont="1" applyFill="1" applyBorder="1" applyAlignment="1">
      <alignment/>
      <protection/>
    </xf>
    <xf numFmtId="3" fontId="3" fillId="0" borderId="12" xfId="55" applyNumberFormat="1" applyFont="1" applyFill="1" applyBorder="1" applyAlignment="1">
      <alignment/>
      <protection/>
    </xf>
    <xf numFmtId="3" fontId="8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/>
    <xf numFmtId="3" fontId="41" fillId="0" borderId="12" xfId="0" applyNumberFormat="1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4" xfId="55" applyFont="1" applyBorder="1" applyAlignment="1">
      <alignment/>
      <protection/>
    </xf>
    <xf numFmtId="0" fontId="5" fillId="0" borderId="16" xfId="53" applyFont="1" applyFill="1" applyBorder="1" applyAlignment="1">
      <alignment horizontal="left"/>
      <protection/>
    </xf>
    <xf numFmtId="0" fontId="2" fillId="0" borderId="16" xfId="57" applyFont="1" applyFill="1" applyBorder="1" applyAlignment="1">
      <alignment horizontal="center"/>
      <protection/>
    </xf>
    <xf numFmtId="0" fontId="3" fillId="0" borderId="30" xfId="53" applyFont="1" applyFill="1" applyBorder="1" applyAlignment="1">
      <alignment horizontal="left"/>
      <protection/>
    </xf>
    <xf numFmtId="9" fontId="2" fillId="0" borderId="0" xfId="0" applyNumberFormat="1" applyFont="1" applyBorder="1"/>
    <xf numFmtId="0" fontId="3" fillId="0" borderId="22" xfId="0" applyFont="1" applyBorder="1"/>
    <xf numFmtId="0" fontId="2" fillId="0" borderId="37" xfId="0" applyFont="1" applyBorder="1"/>
    <xf numFmtId="0" fontId="3" fillId="0" borderId="20" xfId="0" applyFont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2" fillId="0" borderId="22" xfId="0" applyFont="1" applyBorder="1"/>
    <xf numFmtId="0" fontId="2" fillId="0" borderId="20" xfId="0" applyFont="1" applyBorder="1"/>
    <xf numFmtId="0" fontId="3" fillId="0" borderId="20" xfId="0" applyFont="1" applyBorder="1" applyAlignment="1">
      <alignment horizontal="center"/>
    </xf>
    <xf numFmtId="0" fontId="2" fillId="0" borderId="38" xfId="0" applyFont="1" applyBorder="1"/>
    <xf numFmtId="0" fontId="2" fillId="0" borderId="20" xfId="0" applyFont="1" applyBorder="1"/>
    <xf numFmtId="0" fontId="2" fillId="0" borderId="38" xfId="0" applyFont="1" applyBorder="1"/>
    <xf numFmtId="0" fontId="39" fillId="0" borderId="20" xfId="0" applyFont="1" applyBorder="1"/>
    <xf numFmtId="0" fontId="6" fillId="0" borderId="20" xfId="0" applyFont="1" applyBorder="1" applyAlignment="1">
      <alignment vertical="center" wrapText="1"/>
    </xf>
    <xf numFmtId="0" fontId="2" fillId="0" borderId="34" xfId="0" applyFont="1" applyBorder="1"/>
    <xf numFmtId="0" fontId="4" fillId="0" borderId="12" xfId="55" applyFont="1" applyBorder="1" applyAlignment="1">
      <alignment/>
      <protection/>
    </xf>
    <xf numFmtId="0" fontId="12" fillId="0" borderId="14" xfId="55" applyFont="1" applyBorder="1" applyAlignment="1">
      <alignment/>
      <protection/>
    </xf>
    <xf numFmtId="0" fontId="3" fillId="0" borderId="20" xfId="0" applyFont="1" applyBorder="1"/>
    <xf numFmtId="0" fontId="2" fillId="0" borderId="0" xfId="55" applyFont="1" applyBorder="1" applyAlignment="1">
      <alignment horizontal="right"/>
      <protection/>
    </xf>
    <xf numFmtId="0" fontId="0" fillId="0" borderId="35" xfId="0" applyFont="1" applyFill="1" applyBorder="1" applyAlignment="1">
      <alignment horizontal="center"/>
    </xf>
    <xf numFmtId="0" fontId="3" fillId="0" borderId="0" xfId="55" applyFont="1" applyFill="1" applyAlignment="1">
      <alignment/>
      <protection/>
    </xf>
    <xf numFmtId="0" fontId="2" fillId="0" borderId="11" xfId="0" applyFont="1" applyFill="1" applyBorder="1" applyAlignment="1">
      <alignment horizontal="left"/>
    </xf>
    <xf numFmtId="3" fontId="2" fillId="0" borderId="34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36" fillId="0" borderId="34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0" fontId="4" fillId="0" borderId="11" xfId="0" applyFont="1" applyFill="1" applyBorder="1" applyAlignment="1">
      <alignment horizontal="left"/>
    </xf>
    <xf numFmtId="0" fontId="12" fillId="0" borderId="15" xfId="55" applyFont="1" applyBorder="1" applyAlignment="1">
      <alignment vertical="center"/>
      <protection/>
    </xf>
    <xf numFmtId="0" fontId="3" fillId="0" borderId="11" xfId="0" applyFont="1" applyFill="1" applyBorder="1" applyAlignment="1">
      <alignment horizontal="left"/>
    </xf>
    <xf numFmtId="0" fontId="2" fillId="0" borderId="14" xfId="55" applyFont="1" applyBorder="1" applyAlignment="1">
      <alignment/>
      <protection/>
    </xf>
    <xf numFmtId="3" fontId="9" fillId="12" borderId="15" xfId="55" applyNumberFormat="1" applyFont="1" applyFill="1" applyBorder="1" applyAlignment="1">
      <alignment/>
      <protection/>
    </xf>
    <xf numFmtId="0" fontId="3" fillId="0" borderId="10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/>
    <xf numFmtId="9" fontId="3" fillId="0" borderId="14" xfId="57" applyNumberFormat="1" applyFont="1" applyFill="1" applyBorder="1">
      <alignment/>
      <protection/>
    </xf>
    <xf numFmtId="3" fontId="36" fillId="0" borderId="35" xfId="0" applyNumberFormat="1" applyFont="1" applyFill="1" applyBorder="1" applyAlignment="1">
      <alignment horizontal="center"/>
    </xf>
    <xf numFmtId="3" fontId="36" fillId="0" borderId="39" xfId="0" applyNumberFormat="1" applyFont="1" applyFill="1" applyBorder="1" applyAlignment="1">
      <alignment horizontal="center"/>
    </xf>
    <xf numFmtId="3" fontId="39" fillId="0" borderId="11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55" applyFont="1" applyAlignment="1">
      <alignment horizontal="left"/>
      <protection/>
    </xf>
    <xf numFmtId="3" fontId="4" fillId="0" borderId="10" xfId="0" applyNumberFormat="1" applyFont="1" applyFill="1" applyBorder="1" applyAlignment="1">
      <alignment horizontal="center"/>
    </xf>
    <xf numFmtId="3" fontId="2" fillId="0" borderId="12" xfId="55" applyNumberFormat="1" applyFont="1" applyFill="1" applyBorder="1" applyAlignment="1">
      <alignment/>
      <protection/>
    </xf>
    <xf numFmtId="0" fontId="3" fillId="0" borderId="25" xfId="55" applyFont="1" applyBorder="1" applyAlignment="1">
      <alignment/>
      <protection/>
    </xf>
    <xf numFmtId="0" fontId="9" fillId="0" borderId="11" xfId="55" applyFont="1" applyBorder="1" applyAlignment="1">
      <alignment/>
      <protection/>
    </xf>
    <xf numFmtId="0" fontId="2" fillId="0" borderId="11" xfId="0" applyFont="1" applyFill="1" applyBorder="1" applyAlignment="1">
      <alignment/>
    </xf>
    <xf numFmtId="3" fontId="38" fillId="0" borderId="14" xfId="0" applyNumberFormat="1" applyFont="1" applyBorder="1" applyAlignment="1">
      <alignment vertical="center" wrapText="1"/>
    </xf>
    <xf numFmtId="0" fontId="3" fillId="0" borderId="30" xfId="57" applyFont="1" applyFill="1" applyBorder="1" applyAlignment="1">
      <alignment vertical="center"/>
      <protection/>
    </xf>
    <xf numFmtId="0" fontId="3" fillId="0" borderId="21" xfId="55" applyFont="1" applyBorder="1" applyAlignment="1">
      <alignment/>
      <protection/>
    </xf>
    <xf numFmtId="0" fontId="3" fillId="0" borderId="33" xfId="57" applyFont="1" applyFill="1" applyBorder="1" applyAlignment="1">
      <alignment vertical="center"/>
      <protection/>
    </xf>
    <xf numFmtId="3" fontId="3" fillId="0" borderId="10" xfId="0" applyNumberFormat="1" applyFont="1" applyFill="1" applyBorder="1" applyAlignment="1">
      <alignment horizontal="center"/>
    </xf>
    <xf numFmtId="3" fontId="3" fillId="0" borderId="10" xfId="55" applyNumberFormat="1" applyFont="1" applyBorder="1" applyAlignment="1">
      <alignment/>
      <protection/>
    </xf>
    <xf numFmtId="0" fontId="8" fillId="0" borderId="32" xfId="0" applyFont="1" applyFill="1" applyBorder="1" applyAlignment="1">
      <alignment horizontal="left" vertical="center"/>
    </xf>
    <xf numFmtId="3" fontId="0" fillId="0" borderId="12" xfId="0" applyNumberFormat="1" applyFont="1" applyBorder="1"/>
    <xf numFmtId="0" fontId="7" fillId="0" borderId="16" xfId="0" applyFont="1" applyFill="1" applyBorder="1"/>
    <xf numFmtId="3" fontId="3" fillId="0" borderId="10" xfId="0" applyNumberFormat="1" applyFont="1" applyFill="1" applyBorder="1" applyAlignment="1">
      <alignment horizontal="center"/>
    </xf>
    <xf numFmtId="3" fontId="32" fillId="0" borderId="28" xfId="54" applyNumberFormat="1" applyFont="1" applyFill="1" applyBorder="1" applyAlignment="1">
      <alignment vertical="center"/>
      <protection/>
    </xf>
    <xf numFmtId="0" fontId="5" fillId="0" borderId="32" xfId="53" applyFont="1" applyFill="1" applyBorder="1" applyAlignment="1">
      <alignment horizontal="left"/>
      <protection/>
    </xf>
    <xf numFmtId="0" fontId="2" fillId="0" borderId="26" xfId="53" applyFont="1" applyFill="1" applyBorder="1" applyAlignment="1">
      <alignment horizontal="left"/>
      <protection/>
    </xf>
    <xf numFmtId="3" fontId="5" fillId="0" borderId="34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6" fontId="3" fillId="0" borderId="0" xfId="55" applyNumberFormat="1" applyFont="1" applyAlignment="1">
      <alignment/>
      <protection/>
    </xf>
    <xf numFmtId="3" fontId="3" fillId="14" borderId="10" xfId="0" applyNumberFormat="1" applyFont="1" applyFill="1" applyBorder="1" applyAlignment="1">
      <alignment horizontal="right"/>
    </xf>
    <xf numFmtId="3" fontId="3" fillId="14" borderId="10" xfId="0" applyNumberFormat="1" applyFont="1" applyFill="1" applyBorder="1"/>
    <xf numFmtId="3" fontId="7" fillId="14" borderId="10" xfId="0" applyNumberFormat="1" applyFont="1" applyFill="1" applyBorder="1"/>
    <xf numFmtId="3" fontId="3" fillId="14" borderId="12" xfId="55" applyNumberFormat="1" applyFont="1" applyFill="1" applyBorder="1" applyAlignment="1">
      <alignment/>
      <protection/>
    </xf>
    <xf numFmtId="3" fontId="2" fillId="14" borderId="12" xfId="55" applyNumberFormat="1" applyFont="1" applyFill="1" applyBorder="1" applyAlignment="1">
      <alignment/>
      <protection/>
    </xf>
    <xf numFmtId="3" fontId="2" fillId="14" borderId="14" xfId="55" applyNumberFormat="1" applyFont="1" applyFill="1" applyBorder="1" applyAlignment="1">
      <alignment/>
      <protection/>
    </xf>
    <xf numFmtId="3" fontId="3" fillId="14" borderId="32" xfId="55" applyNumberFormat="1" applyFont="1" applyFill="1" applyBorder="1" applyAlignment="1">
      <alignment/>
      <protection/>
    </xf>
    <xf numFmtId="3" fontId="2" fillId="14" borderId="15" xfId="0" applyNumberFormat="1" applyFont="1" applyFill="1" applyBorder="1" applyAlignment="1">
      <alignment horizontal="right"/>
    </xf>
    <xf numFmtId="3" fontId="3" fillId="14" borderId="11" xfId="0" applyNumberFormat="1" applyFont="1" applyFill="1" applyBorder="1"/>
    <xf numFmtId="0" fontId="2" fillId="0" borderId="23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3" fillId="0" borderId="20" xfId="0" applyFont="1" applyFill="1" applyBorder="1"/>
    <xf numFmtId="3" fontId="2" fillId="14" borderId="11" xfId="0" applyNumberFormat="1" applyFont="1" applyFill="1" applyBorder="1" applyAlignment="1">
      <alignment horizontal="right"/>
    </xf>
    <xf numFmtId="3" fontId="3" fillId="14" borderId="11" xfId="0" applyNumberFormat="1" applyFont="1" applyFill="1" applyBorder="1" applyAlignment="1">
      <alignment horizontal="right"/>
    </xf>
    <xf numFmtId="3" fontId="3" fillId="14" borderId="12" xfId="0" applyNumberFormat="1" applyFont="1" applyFill="1" applyBorder="1" applyAlignment="1">
      <alignment horizontal="right"/>
    </xf>
    <xf numFmtId="3" fontId="3" fillId="14" borderId="12" xfId="0" applyNumberFormat="1" applyFont="1" applyFill="1" applyBorder="1" applyAlignment="1">
      <alignment horizontal="right"/>
    </xf>
    <xf numFmtId="3" fontId="2" fillId="14" borderId="11" xfId="0" applyNumberFormat="1" applyFont="1" applyFill="1" applyBorder="1" applyAlignment="1">
      <alignment horizontal="right"/>
    </xf>
    <xf numFmtId="3" fontId="2" fillId="14" borderId="12" xfId="0" applyNumberFormat="1" applyFont="1" applyFill="1" applyBorder="1" applyAlignment="1">
      <alignment horizontal="right"/>
    </xf>
    <xf numFmtId="3" fontId="2" fillId="14" borderId="12" xfId="0" applyNumberFormat="1" applyFont="1" applyFill="1" applyBorder="1"/>
    <xf numFmtId="3" fontId="2" fillId="14" borderId="11" xfId="0" applyNumberFormat="1" applyFont="1" applyFill="1" applyBorder="1"/>
    <xf numFmtId="3" fontId="2" fillId="14" borderId="12" xfId="0" applyNumberFormat="1" applyFont="1" applyFill="1" applyBorder="1"/>
    <xf numFmtId="3" fontId="2" fillId="0" borderId="14" xfId="0" applyNumberFormat="1" applyFont="1" applyFill="1" applyBorder="1" applyAlignment="1">
      <alignment vertical="center"/>
    </xf>
    <xf numFmtId="9" fontId="3" fillId="0" borderId="12" xfId="55" applyNumberFormat="1" applyFont="1" applyBorder="1" applyAlignment="1">
      <alignment/>
      <protection/>
    </xf>
    <xf numFmtId="9" fontId="2" fillId="0" borderId="15" xfId="55" applyNumberFormat="1" applyFont="1" applyBorder="1" applyAlignment="1">
      <alignment/>
      <protection/>
    </xf>
    <xf numFmtId="9" fontId="3" fillId="0" borderId="12" xfId="0" applyNumberFormat="1" applyFont="1" applyBorder="1"/>
    <xf numFmtId="9" fontId="2" fillId="0" borderId="15" xfId="0" applyNumberFormat="1" applyFont="1" applyBorder="1"/>
    <xf numFmtId="9" fontId="2" fillId="0" borderId="15" xfId="57" applyNumberFormat="1" applyFont="1" applyFill="1" applyBorder="1">
      <alignment/>
      <protection/>
    </xf>
    <xf numFmtId="9" fontId="8" fillId="0" borderId="12" xfId="64" applyNumberFormat="1" applyFont="1" applyFill="1" applyBorder="1" applyAlignment="1">
      <alignment horizontal="right"/>
    </xf>
    <xf numFmtId="9" fontId="3" fillId="0" borderId="15" xfId="57" applyNumberFormat="1" applyFont="1" applyFill="1" applyBorder="1">
      <alignment/>
      <protection/>
    </xf>
    <xf numFmtId="0" fontId="7" fillId="0" borderId="23" xfId="0" applyFont="1" applyFill="1" applyBorder="1"/>
    <xf numFmtId="3" fontId="3" fillId="14" borderId="13" xfId="55" applyNumberFormat="1" applyFont="1" applyFill="1" applyBorder="1" applyAlignment="1">
      <alignment/>
      <protection/>
    </xf>
    <xf numFmtId="3" fontId="3" fillId="14" borderId="14" xfId="55" applyNumberFormat="1" applyFont="1" applyFill="1" applyBorder="1" applyAlignment="1">
      <alignment/>
      <protection/>
    </xf>
    <xf numFmtId="3" fontId="3" fillId="14" borderId="12" xfId="55" applyNumberFormat="1" applyFont="1" applyFill="1" applyBorder="1" applyAlignment="1">
      <alignment/>
      <protection/>
    </xf>
    <xf numFmtId="9" fontId="8" fillId="0" borderId="11" xfId="64" applyNumberFormat="1" applyFont="1" applyFill="1" applyBorder="1" applyAlignment="1">
      <alignment horizontal="right"/>
    </xf>
    <xf numFmtId="0" fontId="46" fillId="0" borderId="12" xfId="0" applyFont="1" applyFill="1" applyBorder="1"/>
    <xf numFmtId="3" fontId="6" fillId="0" borderId="12" xfId="0" applyNumberFormat="1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0" fillId="0" borderId="0" xfId="57" applyFont="1">
      <alignment/>
      <protection/>
    </xf>
    <xf numFmtId="49" fontId="0" fillId="0" borderId="0" xfId="57" applyNumberFormat="1" applyFont="1">
      <alignment/>
      <protection/>
    </xf>
    <xf numFmtId="49" fontId="3" fillId="0" borderId="0" xfId="55" applyNumberFormat="1" applyFont="1" applyAlignment="1">
      <alignment/>
      <protection/>
    </xf>
    <xf numFmtId="49" fontId="4" fillId="0" borderId="0" xfId="55" applyNumberFormat="1" applyFont="1" applyAlignment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3" fontId="3" fillId="14" borderId="11" xfId="0" applyNumberFormat="1" applyFont="1" applyFill="1" applyBorder="1"/>
    <xf numFmtId="3" fontId="3" fillId="14" borderId="12" xfId="0" applyNumberFormat="1" applyFont="1" applyFill="1" applyBorder="1"/>
    <xf numFmtId="3" fontId="2" fillId="14" borderId="13" xfId="0" applyNumberFormat="1" applyFont="1" applyFill="1" applyBorder="1"/>
    <xf numFmtId="3" fontId="5" fillId="14" borderId="12" xfId="0" applyNumberFormat="1" applyFont="1" applyFill="1" applyBorder="1"/>
    <xf numFmtId="3" fontId="6" fillId="14" borderId="12" xfId="0" applyNumberFormat="1" applyFont="1" applyFill="1" applyBorder="1"/>
    <xf numFmtId="3" fontId="3" fillId="14" borderId="13" xfId="0" applyNumberFormat="1" applyFont="1" applyFill="1" applyBorder="1"/>
    <xf numFmtId="3" fontId="3" fillId="14" borderId="12" xfId="0" applyNumberFormat="1" applyFont="1" applyFill="1" applyBorder="1"/>
    <xf numFmtId="3" fontId="5" fillId="14" borderId="21" xfId="0" applyNumberFormat="1" applyFont="1" applyFill="1" applyBorder="1"/>
    <xf numFmtId="3" fontId="4" fillId="14" borderId="15" xfId="0" applyNumberFormat="1" applyFont="1" applyFill="1" applyBorder="1" applyAlignment="1">
      <alignment vertical="center"/>
    </xf>
    <xf numFmtId="3" fontId="2" fillId="14" borderId="15" xfId="0" applyNumberFormat="1" applyFont="1" applyFill="1" applyBorder="1" applyAlignment="1">
      <alignment vertical="center"/>
    </xf>
    <xf numFmtId="3" fontId="3" fillId="14" borderId="21" xfId="0" applyNumberFormat="1" applyFont="1" applyFill="1" applyBorder="1"/>
    <xf numFmtId="3" fontId="4" fillId="14" borderId="14" xfId="0" applyNumberFormat="1" applyFont="1" applyFill="1" applyBorder="1" applyAlignment="1">
      <alignment vertical="center"/>
    </xf>
    <xf numFmtId="3" fontId="3" fillId="14" borderId="16" xfId="57" applyNumberFormat="1" applyFont="1" applyFill="1" applyBorder="1" applyAlignment="1">
      <alignment horizontal="right"/>
      <protection/>
    </xf>
    <xf numFmtId="3" fontId="3" fillId="14" borderId="30" xfId="57" applyNumberFormat="1" applyFont="1" applyFill="1" applyBorder="1" applyAlignment="1">
      <alignment horizontal="right"/>
      <protection/>
    </xf>
    <xf numFmtId="3" fontId="2" fillId="14" borderId="31" xfId="57" applyNumberFormat="1" applyFont="1" applyFill="1" applyBorder="1" applyAlignment="1">
      <alignment horizontal="right"/>
      <protection/>
    </xf>
    <xf numFmtId="0" fontId="2" fillId="14" borderId="16" xfId="57" applyFont="1" applyFill="1" applyBorder="1" applyAlignment="1">
      <alignment horizontal="center"/>
      <protection/>
    </xf>
    <xf numFmtId="0" fontId="3" fillId="14" borderId="30" xfId="57" applyFont="1" applyFill="1" applyBorder="1" applyAlignment="1">
      <alignment/>
      <protection/>
    </xf>
    <xf numFmtId="0" fontId="2" fillId="14" borderId="30" xfId="57" applyFont="1" applyFill="1" applyBorder="1" applyAlignment="1">
      <alignment/>
      <protection/>
    </xf>
    <xf numFmtId="3" fontId="5" fillId="14" borderId="16" xfId="57" applyNumberFormat="1" applyFont="1" applyFill="1" applyBorder="1" applyAlignment="1">
      <alignment horizontal="right"/>
      <protection/>
    </xf>
    <xf numFmtId="3" fontId="2" fillId="14" borderId="30" xfId="57" applyNumberFormat="1" applyFont="1" applyFill="1" applyBorder="1" applyAlignment="1">
      <alignment horizontal="right"/>
      <protection/>
    </xf>
    <xf numFmtId="3" fontId="3" fillId="14" borderId="30" xfId="57" applyNumberFormat="1" applyFont="1" applyFill="1" applyBorder="1" applyAlignment="1">
      <alignment horizontal="right" vertical="center"/>
      <protection/>
    </xf>
    <xf numFmtId="3" fontId="2" fillId="14" borderId="30" xfId="57" applyNumberFormat="1" applyFont="1" applyFill="1" applyBorder="1" applyAlignment="1">
      <alignment horizontal="right" vertical="center"/>
      <protection/>
    </xf>
    <xf numFmtId="3" fontId="3" fillId="14" borderId="16" xfId="57" applyNumberFormat="1" applyFont="1" applyFill="1" applyBorder="1" applyAlignment="1">
      <alignment horizontal="right" vertical="center"/>
      <protection/>
    </xf>
    <xf numFmtId="3" fontId="3" fillId="14" borderId="31" xfId="57" applyNumberFormat="1" applyFont="1" applyFill="1" applyBorder="1" applyAlignment="1">
      <alignment horizontal="right" vertical="center"/>
      <protection/>
    </xf>
    <xf numFmtId="3" fontId="2" fillId="14" borderId="30" xfId="57" applyNumberFormat="1" applyFont="1" applyFill="1" applyBorder="1" applyAlignment="1">
      <alignment/>
      <protection/>
    </xf>
    <xf numFmtId="3" fontId="3" fillId="14" borderId="16" xfId="57" applyNumberFormat="1" applyFont="1" applyFill="1" applyBorder="1" applyAlignment="1" applyProtection="1">
      <alignment horizontal="right"/>
      <protection locked="0"/>
    </xf>
    <xf numFmtId="3" fontId="3" fillId="14" borderId="30" xfId="57" applyNumberFormat="1" applyFont="1" applyFill="1" applyBorder="1" applyAlignment="1">
      <alignment/>
      <protection/>
    </xf>
    <xf numFmtId="3" fontId="35" fillId="14" borderId="16" xfId="57" applyNumberFormat="1" applyFont="1" applyFill="1" applyBorder="1" applyAlignment="1">
      <alignment horizontal="right"/>
      <protection/>
    </xf>
    <xf numFmtId="3" fontId="2" fillId="14" borderId="30" xfId="57" applyNumberFormat="1" applyFont="1" applyFill="1" applyBorder="1" applyAlignment="1">
      <alignment horizontal="right"/>
      <protection/>
    </xf>
    <xf numFmtId="3" fontId="2" fillId="14" borderId="31" xfId="57" applyNumberFormat="1" applyFont="1" applyFill="1" applyBorder="1" applyAlignment="1">
      <alignment horizontal="right" vertical="center"/>
      <protection/>
    </xf>
    <xf numFmtId="0" fontId="3" fillId="14" borderId="30" xfId="57" applyFont="1" applyFill="1" applyBorder="1" applyAlignment="1">
      <alignment horizontal="right"/>
      <protection/>
    </xf>
    <xf numFmtId="0" fontId="2" fillId="14" borderId="31" xfId="57" applyFont="1" applyFill="1" applyBorder="1" applyAlignment="1">
      <alignment horizontal="right"/>
      <protection/>
    </xf>
    <xf numFmtId="3" fontId="3" fillId="14" borderId="16" xfId="57" applyNumberFormat="1" applyFont="1" applyFill="1" applyBorder="1" applyAlignment="1">
      <alignment/>
      <protection/>
    </xf>
    <xf numFmtId="3" fontId="2" fillId="14" borderId="26" xfId="57" applyNumberFormat="1" applyFont="1" applyFill="1" applyBorder="1" applyAlignment="1">
      <alignment horizontal="right"/>
      <protection/>
    </xf>
    <xf numFmtId="3" fontId="5" fillId="14" borderId="32" xfId="57" applyNumberFormat="1" applyFont="1" applyFill="1" applyBorder="1" applyAlignment="1">
      <alignment horizontal="right"/>
      <protection/>
    </xf>
    <xf numFmtId="3" fontId="2" fillId="14" borderId="31" xfId="57" applyNumberFormat="1" applyFont="1" applyFill="1" applyBorder="1" applyAlignment="1">
      <alignment horizontal="right"/>
      <protection/>
    </xf>
    <xf numFmtId="3" fontId="2" fillId="14" borderId="13" xfId="0" applyNumberFormat="1" applyFont="1" applyFill="1" applyBorder="1" applyAlignment="1">
      <alignment horizontal="right"/>
    </xf>
    <xf numFmtId="3" fontId="3" fillId="14" borderId="21" xfId="0" applyNumberFormat="1" applyFont="1" applyFill="1" applyBorder="1" applyAlignment="1">
      <alignment horizontal="right"/>
    </xf>
    <xf numFmtId="3" fontId="2" fillId="14" borderId="15" xfId="0" applyNumberFormat="1" applyFont="1" applyFill="1" applyBorder="1"/>
    <xf numFmtId="3" fontId="2" fillId="14" borderId="11" xfId="0" applyNumberFormat="1" applyFont="1" applyFill="1" applyBorder="1"/>
    <xf numFmtId="3" fontId="2" fillId="14" borderId="10" xfId="0" applyNumberFormat="1" applyFont="1" applyFill="1" applyBorder="1" applyAlignment="1">
      <alignment horizontal="right"/>
    </xf>
    <xf numFmtId="3" fontId="0" fillId="14" borderId="12" xfId="0" applyNumberFormat="1" applyFill="1" applyBorder="1"/>
    <xf numFmtId="3" fontId="4" fillId="14" borderId="12" xfId="0" applyNumberFormat="1" applyFont="1" applyFill="1" applyBorder="1"/>
    <xf numFmtId="0" fontId="3" fillId="0" borderId="0" xfId="0" applyFont="1" applyFill="1" applyBorder="1" applyAlignment="1">
      <alignment horizontal="left" vertical="top"/>
    </xf>
    <xf numFmtId="3" fontId="3" fillId="0" borderId="20" xfId="0" applyNumberFormat="1" applyFont="1" applyFill="1" applyBorder="1" applyAlignment="1">
      <alignment horizontal="left"/>
    </xf>
    <xf numFmtId="3" fontId="34" fillId="0" borderId="35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3" fontId="46" fillId="0" borderId="12" xfId="0" applyNumberFormat="1" applyFont="1" applyBorder="1"/>
    <xf numFmtId="3" fontId="46" fillId="14" borderId="12" xfId="0" applyNumberFormat="1" applyFont="1" applyFill="1" applyBorder="1"/>
    <xf numFmtId="0" fontId="5" fillId="0" borderId="10" xfId="0" applyFont="1" applyFill="1" applyBorder="1" applyAlignment="1">
      <alignment/>
    </xf>
    <xf numFmtId="3" fontId="5" fillId="14" borderId="10" xfId="0" applyNumberFormat="1" applyFont="1" applyFill="1" applyBorder="1"/>
    <xf numFmtId="0" fontId="3" fillId="0" borderId="20" xfId="0" applyFont="1" applyFill="1" applyBorder="1"/>
    <xf numFmtId="3" fontId="4" fillId="14" borderId="11" xfId="0" applyNumberFormat="1" applyFont="1" applyFill="1" applyBorder="1"/>
    <xf numFmtId="3" fontId="6" fillId="14" borderId="14" xfId="0" applyNumberFormat="1" applyFont="1" applyFill="1" applyBorder="1"/>
    <xf numFmtId="3" fontId="6" fillId="14" borderId="10" xfId="0" applyNumberFormat="1" applyFont="1" applyFill="1" applyBorder="1"/>
    <xf numFmtId="3" fontId="3" fillId="14" borderId="14" xfId="0" applyNumberFormat="1" applyFont="1" applyFill="1" applyBorder="1"/>
    <xf numFmtId="0" fontId="3" fillId="0" borderId="30" xfId="55" applyFont="1" applyBorder="1" applyAlignment="1">
      <alignment/>
      <protection/>
    </xf>
    <xf numFmtId="3" fontId="4" fillId="0" borderId="10" xfId="0" applyNumberFormat="1" applyFont="1" applyBorder="1" applyAlignment="1">
      <alignment vertical="center"/>
    </xf>
    <xf numFmtId="3" fontId="2" fillId="14" borderId="10" xfId="0" applyNumberFormat="1" applyFont="1" applyFill="1" applyBorder="1" applyAlignment="1">
      <alignment vertical="center"/>
    </xf>
    <xf numFmtId="0" fontId="1" fillId="0" borderId="0" xfId="54" applyFill="1">
      <alignment/>
      <protection/>
    </xf>
    <xf numFmtId="3" fontId="1" fillId="0" borderId="0" xfId="54" applyNumberFormat="1" applyFill="1">
      <alignment/>
      <protection/>
    </xf>
    <xf numFmtId="0" fontId="31" fillId="0" borderId="28" xfId="54" applyFont="1" applyFill="1" applyBorder="1" applyAlignment="1">
      <alignment vertical="center"/>
      <protection/>
    </xf>
    <xf numFmtId="3" fontId="32" fillId="0" borderId="0" xfId="54" applyNumberFormat="1" applyFont="1" applyFill="1" applyBorder="1" applyAlignment="1">
      <alignment vertical="center"/>
      <protection/>
    </xf>
    <xf numFmtId="3" fontId="3" fillId="0" borderId="0" xfId="0" applyNumberFormat="1" applyFont="1" applyFill="1" applyBorder="1"/>
    <xf numFmtId="9" fontId="3" fillId="0" borderId="21" xfId="0" applyNumberFormat="1" applyFont="1" applyBorder="1"/>
    <xf numFmtId="9" fontId="3" fillId="0" borderId="15" xfId="0" applyNumberFormat="1" applyFont="1" applyBorder="1"/>
    <xf numFmtId="9" fontId="2" fillId="0" borderId="21" xfId="0" applyNumberFormat="1" applyFont="1" applyBorder="1"/>
    <xf numFmtId="3" fontId="35" fillId="0" borderId="11" xfId="54" applyNumberFormat="1" applyFont="1" applyFill="1" applyBorder="1">
      <alignment/>
      <protection/>
    </xf>
    <xf numFmtId="3" fontId="0" fillId="0" borderId="10" xfId="0" applyNumberFormat="1" applyFont="1" applyBorder="1" applyAlignment="1">
      <alignment vertical="center"/>
    </xf>
    <xf numFmtId="3" fontId="0" fillId="14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/>
    </xf>
    <xf numFmtId="3" fontId="5" fillId="0" borderId="10" xfId="0" applyNumberFormat="1" applyFont="1" applyBorder="1"/>
    <xf numFmtId="3" fontId="3" fillId="14" borderId="10" xfId="55" applyNumberFormat="1" applyFont="1" applyFill="1" applyBorder="1" applyAlignment="1">
      <alignment/>
      <protection/>
    </xf>
    <xf numFmtId="3" fontId="3" fillId="14" borderId="21" xfId="55" applyNumberFormat="1" applyFont="1" applyFill="1" applyBorder="1" applyAlignment="1">
      <alignment/>
      <protection/>
    </xf>
    <xf numFmtId="3" fontId="3" fillId="14" borderId="11" xfId="55" applyNumberFormat="1" applyFont="1" applyFill="1" applyBorder="1" applyAlignment="1">
      <alignment/>
      <protection/>
    </xf>
    <xf numFmtId="3" fontId="2" fillId="14" borderId="15" xfId="0" applyNumberFormat="1" applyFont="1" applyFill="1" applyBorder="1"/>
    <xf numFmtId="3" fontId="3" fillId="14" borderId="10" xfId="0" applyNumberFormat="1" applyFont="1" applyFill="1" applyBorder="1"/>
    <xf numFmtId="3" fontId="8" fillId="14" borderId="15" xfId="0" applyNumberFormat="1" applyFont="1" applyFill="1" applyBorder="1"/>
    <xf numFmtId="3" fontId="2" fillId="0" borderId="20" xfId="0" applyNumberFormat="1" applyFont="1" applyFill="1" applyBorder="1" applyAlignment="1">
      <alignment horizontal="center"/>
    </xf>
    <xf numFmtId="3" fontId="4" fillId="0" borderId="11" xfId="55" applyNumberFormat="1" applyFont="1" applyBorder="1" applyAlignment="1">
      <alignment/>
      <protection/>
    </xf>
    <xf numFmtId="0" fontId="0" fillId="0" borderId="16" xfId="57" applyBorder="1">
      <alignment/>
      <protection/>
    </xf>
    <xf numFmtId="3" fontId="0" fillId="0" borderId="16" xfId="57" applyNumberFormat="1" applyBorder="1">
      <alignment/>
      <protection/>
    </xf>
    <xf numFmtId="3" fontId="0" fillId="0" borderId="16" xfId="57" applyNumberFormat="1" applyFont="1" applyBorder="1">
      <alignment/>
      <protection/>
    </xf>
    <xf numFmtId="0" fontId="0" fillId="0" borderId="16" xfId="57" applyFont="1" applyBorder="1">
      <alignment/>
      <protection/>
    </xf>
    <xf numFmtId="9" fontId="2" fillId="0" borderId="11" xfId="55" applyNumberFormat="1" applyFont="1" applyBorder="1" applyAlignment="1">
      <alignment/>
      <protection/>
    </xf>
    <xf numFmtId="9" fontId="2" fillId="0" borderId="11" xfId="0" applyNumberFormat="1" applyFont="1" applyBorder="1"/>
    <xf numFmtId="0" fontId="0" fillId="0" borderId="35" xfId="0" applyFont="1" applyFill="1" applyBorder="1"/>
    <xf numFmtId="0" fontId="45" fillId="0" borderId="12" xfId="0" applyFont="1" applyFill="1" applyBorder="1"/>
    <xf numFmtId="9" fontId="2" fillId="0" borderId="14" xfId="55" applyNumberFormat="1" applyFont="1" applyBorder="1" applyAlignment="1">
      <alignment/>
      <protection/>
    </xf>
    <xf numFmtId="3" fontId="2" fillId="0" borderId="13" xfId="0" applyNumberFormat="1" applyFont="1" applyFill="1" applyBorder="1" applyAlignment="1">
      <alignment horizontal="center"/>
    </xf>
    <xf numFmtId="9" fontId="3" fillId="0" borderId="14" xfId="55" applyNumberFormat="1" applyFont="1" applyBorder="1" applyAlignment="1">
      <alignment/>
      <protection/>
    </xf>
    <xf numFmtId="0" fontId="1" fillId="0" borderId="0" xfId="65">
      <alignment/>
      <protection/>
    </xf>
    <xf numFmtId="0" fontId="1" fillId="0" borderId="0" xfId="65" applyAlignment="1">
      <alignment horizontal="center"/>
      <protection/>
    </xf>
    <xf numFmtId="0" fontId="49" fillId="0" borderId="0" xfId="65" applyFont="1" applyAlignment="1">
      <alignment horizontal="center" vertical="center"/>
      <protection/>
    </xf>
    <xf numFmtId="0" fontId="11" fillId="0" borderId="0" xfId="65" applyFont="1" applyAlignment="1">
      <alignment horizontal="center" vertical="center"/>
      <protection/>
    </xf>
    <xf numFmtId="0" fontId="1" fillId="0" borderId="0" xfId="65" applyBorder="1">
      <alignment/>
      <protection/>
    </xf>
    <xf numFmtId="3" fontId="37" fillId="0" borderId="0" xfId="65" applyNumberFormat="1" applyFont="1" applyBorder="1">
      <alignment/>
      <protection/>
    </xf>
    <xf numFmtId="3" fontId="37" fillId="0" borderId="12" xfId="65" applyNumberFormat="1" applyFont="1" applyFill="1" applyBorder="1">
      <alignment/>
      <protection/>
    </xf>
    <xf numFmtId="3" fontId="37" fillId="0" borderId="23" xfId="65" applyNumberFormat="1" applyFont="1" applyFill="1" applyBorder="1">
      <alignment/>
      <protection/>
    </xf>
    <xf numFmtId="0" fontId="1" fillId="0" borderId="0" xfId="72">
      <alignment/>
      <protection/>
    </xf>
    <xf numFmtId="0" fontId="32" fillId="0" borderId="0" xfId="72" applyFont="1" applyAlignment="1">
      <alignment horizontal="center"/>
      <protection/>
    </xf>
    <xf numFmtId="0" fontId="1" fillId="0" borderId="19" xfId="72" applyBorder="1">
      <alignment/>
      <protection/>
    </xf>
    <xf numFmtId="0" fontId="2" fillId="0" borderId="0" xfId="69" applyFont="1" applyBorder="1" applyAlignment="1">
      <alignment horizontal="right"/>
      <protection/>
    </xf>
    <xf numFmtId="0" fontId="50" fillId="0" borderId="16" xfId="72" applyFont="1" applyBorder="1">
      <alignment/>
      <protection/>
    </xf>
    <xf numFmtId="0" fontId="50" fillId="0" borderId="0" xfId="72" applyFont="1" applyBorder="1">
      <alignment/>
      <protection/>
    </xf>
    <xf numFmtId="0" fontId="50" fillId="0" borderId="20" xfId="72" applyFont="1" applyBorder="1">
      <alignment/>
      <protection/>
    </xf>
    <xf numFmtId="3" fontId="50" fillId="0" borderId="25" xfId="72" applyNumberFormat="1" applyFont="1" applyBorder="1">
      <alignment/>
      <protection/>
    </xf>
    <xf numFmtId="3" fontId="50" fillId="0" borderId="10" xfId="72" applyNumberFormat="1" applyFont="1" applyBorder="1">
      <alignment/>
      <protection/>
    </xf>
    <xf numFmtId="0" fontId="50" fillId="0" borderId="17" xfId="72" applyFont="1" applyBorder="1">
      <alignment/>
      <protection/>
    </xf>
    <xf numFmtId="0" fontId="50" fillId="0" borderId="40" xfId="72" applyFont="1" applyBorder="1">
      <alignment/>
      <protection/>
    </xf>
    <xf numFmtId="0" fontId="50" fillId="0" borderId="39" xfId="72" applyFont="1" applyBorder="1">
      <alignment/>
      <protection/>
    </xf>
    <xf numFmtId="3" fontId="50" fillId="0" borderId="13" xfId="72" applyNumberFormat="1" applyFont="1" applyBorder="1">
      <alignment/>
      <protection/>
    </xf>
    <xf numFmtId="0" fontId="51" fillId="0" borderId="30" xfId="72" applyFont="1" applyBorder="1">
      <alignment/>
      <protection/>
    </xf>
    <xf numFmtId="0" fontId="50" fillId="0" borderId="41" xfId="72" applyFont="1" applyBorder="1">
      <alignment/>
      <protection/>
    </xf>
    <xf numFmtId="0" fontId="50" fillId="0" borderId="22" xfId="72" applyFont="1" applyBorder="1">
      <alignment/>
      <protection/>
    </xf>
    <xf numFmtId="3" fontId="51" fillId="0" borderId="14" xfId="72" applyNumberFormat="1" applyFont="1" applyBorder="1">
      <alignment/>
      <protection/>
    </xf>
    <xf numFmtId="0" fontId="50" fillId="0" borderId="33" xfId="72" applyFont="1" applyBorder="1">
      <alignment/>
      <protection/>
    </xf>
    <xf numFmtId="0" fontId="50" fillId="0" borderId="42" xfId="72" applyFont="1" applyBorder="1">
      <alignment/>
      <protection/>
    </xf>
    <xf numFmtId="0" fontId="50" fillId="0" borderId="37" xfId="72" applyFont="1" applyBorder="1">
      <alignment/>
      <protection/>
    </xf>
    <xf numFmtId="3" fontId="40" fillId="0" borderId="25" xfId="72" applyNumberFormat="1" applyFont="1" applyBorder="1" applyAlignment="1">
      <alignment vertical="center"/>
      <protection/>
    </xf>
    <xf numFmtId="0" fontId="50" fillId="0" borderId="30" xfId="72" applyFont="1" applyBorder="1">
      <alignment/>
      <protection/>
    </xf>
    <xf numFmtId="3" fontId="40" fillId="0" borderId="14" xfId="72" applyNumberFormat="1" applyFont="1" applyBorder="1" applyAlignment="1">
      <alignment vertical="center"/>
      <protection/>
    </xf>
    <xf numFmtId="3" fontId="40" fillId="0" borderId="10" xfId="72" applyNumberFormat="1" applyFont="1" applyBorder="1" applyAlignment="1">
      <alignment vertical="center"/>
      <protection/>
    </xf>
    <xf numFmtId="3" fontId="40" fillId="0" borderId="10" xfId="72" applyNumberFormat="1" applyFont="1" applyBorder="1">
      <alignment/>
      <protection/>
    </xf>
    <xf numFmtId="0" fontId="51" fillId="0" borderId="16" xfId="72" applyFont="1" applyBorder="1">
      <alignment/>
      <protection/>
    </xf>
    <xf numFmtId="3" fontId="54" fillId="0" borderId="10" xfId="72" applyNumberFormat="1" applyFont="1" applyBorder="1">
      <alignment/>
      <protection/>
    </xf>
    <xf numFmtId="0" fontId="1" fillId="0" borderId="0" xfId="72" applyBorder="1" applyAlignment="1">
      <alignment horizontal="center" vertical="center"/>
      <protection/>
    </xf>
    <xf numFmtId="0" fontId="53" fillId="0" borderId="0" xfId="72" applyFont="1" applyBorder="1" applyAlignment="1">
      <alignment horizontal="center" vertical="center" wrapText="1"/>
      <protection/>
    </xf>
    <xf numFmtId="0" fontId="50" fillId="0" borderId="0" xfId="72" applyFont="1" applyBorder="1" applyAlignment="1">
      <alignment horizontal="center" vertical="center"/>
      <protection/>
    </xf>
    <xf numFmtId="0" fontId="1" fillId="0" borderId="0" xfId="70">
      <alignment/>
      <protection/>
    </xf>
    <xf numFmtId="0" fontId="4" fillId="0" borderId="0" xfId="68" applyFont="1" applyAlignment="1">
      <alignment horizontal="center"/>
      <protection/>
    </xf>
    <xf numFmtId="0" fontId="1" fillId="0" borderId="0" xfId="70" applyAlignment="1">
      <alignment/>
      <protection/>
    </xf>
    <xf numFmtId="0" fontId="1" fillId="0" borderId="19" xfId="70" applyBorder="1">
      <alignment/>
      <protection/>
    </xf>
    <xf numFmtId="0" fontId="1" fillId="0" borderId="0" xfId="70" applyBorder="1" applyAlignment="1">
      <alignment horizontal="right"/>
      <protection/>
    </xf>
    <xf numFmtId="0" fontId="1" fillId="0" borderId="12" xfId="70" applyBorder="1">
      <alignment/>
      <protection/>
    </xf>
    <xf numFmtId="0" fontId="1" fillId="0" borderId="40" xfId="70" applyBorder="1" applyAlignment="1">
      <alignment/>
      <protection/>
    </xf>
    <xf numFmtId="0" fontId="11" fillId="0" borderId="40" xfId="70" applyFont="1" applyBorder="1" applyAlignment="1">
      <alignment/>
      <protection/>
    </xf>
    <xf numFmtId="0" fontId="1" fillId="0" borderId="40" xfId="70" applyBorder="1" applyAlignment="1">
      <alignment horizontal="right" vertical="center"/>
      <protection/>
    </xf>
    <xf numFmtId="0" fontId="1" fillId="0" borderId="0" xfId="70" applyBorder="1" applyAlignment="1">
      <alignment/>
      <protection/>
    </xf>
    <xf numFmtId="0" fontId="11" fillId="0" borderId="0" xfId="70" applyFont="1" applyBorder="1" applyAlignment="1">
      <alignment/>
      <protection/>
    </xf>
    <xf numFmtId="0" fontId="1" fillId="0" borderId="0" xfId="70" applyBorder="1" applyAlignment="1">
      <alignment horizontal="right" vertical="center"/>
      <protection/>
    </xf>
    <xf numFmtId="0" fontId="1" fillId="0" borderId="10" xfId="70" applyBorder="1" applyAlignment="1">
      <alignment horizontal="right" vertical="center"/>
      <protection/>
    </xf>
    <xf numFmtId="0" fontId="1" fillId="0" borderId="0" xfId="70" applyBorder="1">
      <alignment/>
      <protection/>
    </xf>
    <xf numFmtId="0" fontId="1" fillId="0" borderId="0" xfId="74">
      <alignment/>
      <protection/>
    </xf>
    <xf numFmtId="0" fontId="1" fillId="0" borderId="19" xfId="74" applyBorder="1">
      <alignment/>
      <protection/>
    </xf>
    <xf numFmtId="0" fontId="4" fillId="0" borderId="0" xfId="69" applyFont="1" applyBorder="1" applyAlignment="1">
      <alignment horizontal="right"/>
      <protection/>
    </xf>
    <xf numFmtId="0" fontId="12" fillId="0" borderId="12" xfId="74" applyFont="1" applyBorder="1">
      <alignment/>
      <protection/>
    </xf>
    <xf numFmtId="0" fontId="11" fillId="0" borderId="10" xfId="74" applyFont="1" applyBorder="1" applyAlignment="1">
      <alignment horizontal="center"/>
      <protection/>
    </xf>
    <xf numFmtId="0" fontId="55" fillId="0" borderId="10" xfId="74" applyFont="1" applyBorder="1" applyAlignment="1">
      <alignment/>
      <protection/>
    </xf>
    <xf numFmtId="0" fontId="55" fillId="0" borderId="0" xfId="74" applyFont="1">
      <alignment/>
      <protection/>
    </xf>
    <xf numFmtId="0" fontId="55" fillId="0" borderId="10" xfId="74" applyFont="1" applyBorder="1">
      <alignment/>
      <protection/>
    </xf>
    <xf numFmtId="3" fontId="55" fillId="0" borderId="10" xfId="74" applyNumberFormat="1" applyFont="1" applyBorder="1">
      <alignment/>
      <protection/>
    </xf>
    <xf numFmtId="0" fontId="44" fillId="0" borderId="10" xfId="74" applyFont="1" applyBorder="1">
      <alignment/>
      <protection/>
    </xf>
    <xf numFmtId="0" fontId="11" fillId="0" borderId="11" xfId="74" applyFont="1" applyBorder="1" applyAlignment="1">
      <alignment horizontal="center"/>
      <protection/>
    </xf>
    <xf numFmtId="0" fontId="55" fillId="0" borderId="19" xfId="74" applyFont="1" applyBorder="1">
      <alignment/>
      <protection/>
    </xf>
    <xf numFmtId="0" fontId="55" fillId="0" borderId="11" xfId="74" applyFont="1" applyBorder="1">
      <alignment/>
      <protection/>
    </xf>
    <xf numFmtId="3" fontId="55" fillId="0" borderId="11" xfId="74" applyNumberFormat="1" applyFont="1" applyBorder="1">
      <alignment/>
      <protection/>
    </xf>
    <xf numFmtId="0" fontId="44" fillId="0" borderId="11" xfId="74" applyFont="1" applyBorder="1">
      <alignment/>
      <protection/>
    </xf>
    <xf numFmtId="0" fontId="1" fillId="0" borderId="0" xfId="73">
      <alignment/>
      <protection/>
    </xf>
    <xf numFmtId="3" fontId="59" fillId="0" borderId="11" xfId="73" applyNumberFormat="1" applyFont="1" applyFill="1" applyBorder="1" applyAlignment="1">
      <alignment vertical="center"/>
      <protection/>
    </xf>
    <xf numFmtId="3" fontId="59" fillId="0" borderId="12" xfId="73" applyNumberFormat="1" applyFont="1" applyFill="1" applyBorder="1" applyAlignment="1">
      <alignment vertical="center"/>
      <protection/>
    </xf>
    <xf numFmtId="3" fontId="58" fillId="0" borderId="12" xfId="73" applyNumberFormat="1" applyFont="1" applyFill="1" applyBorder="1" applyAlignment="1">
      <alignment vertical="center"/>
      <protection/>
    </xf>
    <xf numFmtId="0" fontId="58" fillId="0" borderId="12" xfId="73" applyFont="1" applyFill="1" applyBorder="1" applyAlignment="1">
      <alignment horizontal="center" vertical="center" wrapText="1"/>
      <protection/>
    </xf>
    <xf numFmtId="3" fontId="62" fillId="0" borderId="12" xfId="73" applyNumberFormat="1" applyFont="1" applyFill="1" applyBorder="1" applyAlignment="1">
      <alignment horizontal="right" vertical="center" wrapText="1"/>
      <protection/>
    </xf>
    <xf numFmtId="3" fontId="59" fillId="0" borderId="12" xfId="73" applyNumberFormat="1" applyFont="1" applyFill="1" applyBorder="1" applyAlignment="1">
      <alignment horizontal="right" vertical="center" wrapText="1"/>
      <protection/>
    </xf>
    <xf numFmtId="0" fontId="59" fillId="0" borderId="12" xfId="73" applyFont="1" applyFill="1" applyBorder="1" applyAlignment="1">
      <alignment horizontal="right" vertical="center" wrapText="1"/>
      <protection/>
    </xf>
    <xf numFmtId="0" fontId="58" fillId="0" borderId="35" xfId="73" applyFont="1" applyFill="1" applyBorder="1" applyAlignment="1">
      <alignment horizontal="center" vertical="center" wrapText="1"/>
      <protection/>
    </xf>
    <xf numFmtId="0" fontId="1" fillId="0" borderId="12" xfId="73" applyFont="1" applyFill="1" applyBorder="1" applyAlignment="1">
      <alignment vertical="center"/>
      <protection/>
    </xf>
    <xf numFmtId="3" fontId="62" fillId="0" borderId="12" xfId="73" applyNumberFormat="1" applyFont="1" applyFill="1" applyBorder="1" applyAlignment="1">
      <alignment horizontal="right" vertical="center"/>
      <protection/>
    </xf>
    <xf numFmtId="3" fontId="62" fillId="0" borderId="12" xfId="73" applyNumberFormat="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1" fillId="0" borderId="12" xfId="73" applyFont="1" applyFill="1" applyBorder="1" applyAlignment="1">
      <alignment vertical="center" wrapText="1"/>
      <protection/>
    </xf>
    <xf numFmtId="0" fontId="1" fillId="0" borderId="12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63" fillId="0" borderId="11" xfId="0" applyFont="1" applyFill="1" applyBorder="1" applyAlignment="1">
      <alignment horizontal="left" vertical="center"/>
    </xf>
    <xf numFmtId="0" fontId="5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8" fillId="0" borderId="12" xfId="0" applyFont="1" applyBorder="1" applyAlignment="1">
      <alignment horizontal="center" vertical="center" wrapText="1"/>
    </xf>
    <xf numFmtId="0" fontId="58" fillId="0" borderId="12" xfId="73" applyFont="1" applyFill="1" applyBorder="1" applyAlignment="1">
      <alignment vertical="center" wrapText="1"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0" fontId="58" fillId="0" borderId="11" xfId="73" applyFont="1" applyFill="1" applyBorder="1" applyAlignment="1">
      <alignment vertical="center" wrapText="1"/>
      <protection/>
    </xf>
    <xf numFmtId="0" fontId="0" fillId="0" borderId="12" xfId="0" applyBorder="1" applyAlignment="1">
      <alignment horizontal="left"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/>
    <xf numFmtId="0" fontId="32" fillId="0" borderId="12" xfId="0" applyFont="1" applyBorder="1" applyAlignment="1">
      <alignment vertical="center"/>
    </xf>
    <xf numFmtId="3" fontId="32" fillId="0" borderId="12" xfId="0" applyNumberFormat="1" applyFont="1" applyBorder="1" applyAlignment="1">
      <alignment vertical="center"/>
    </xf>
    <xf numFmtId="3" fontId="32" fillId="0" borderId="12" xfId="0" applyNumberFormat="1" applyFont="1" applyFill="1" applyBorder="1" applyAlignment="1">
      <alignment vertical="center"/>
    </xf>
    <xf numFmtId="0" fontId="0" fillId="0" borderId="0" xfId="67">
      <alignment/>
      <protection/>
    </xf>
    <xf numFmtId="0" fontId="0" fillId="0" borderId="41" xfId="67" applyBorder="1">
      <alignment/>
      <protection/>
    </xf>
    <xf numFmtId="0" fontId="2" fillId="0" borderId="41" xfId="69" applyFont="1" applyBorder="1" applyAlignment="1">
      <alignment horizontal="right"/>
      <protection/>
    </xf>
    <xf numFmtId="0" fontId="32" fillId="0" borderId="14" xfId="67" applyFont="1" applyBorder="1" applyAlignment="1">
      <alignment horizontal="center"/>
      <protection/>
    </xf>
    <xf numFmtId="0" fontId="64" fillId="0" borderId="31" xfId="67" applyFont="1" applyBorder="1" applyAlignment="1">
      <alignment/>
      <protection/>
    </xf>
    <xf numFmtId="0" fontId="65" fillId="0" borderId="43" xfId="67" applyFont="1" applyBorder="1" applyAlignment="1">
      <alignment/>
      <protection/>
    </xf>
    <xf numFmtId="0" fontId="65" fillId="0" borderId="43" xfId="67" applyFont="1" applyBorder="1" applyAlignment="1">
      <alignment horizontal="center"/>
      <protection/>
    </xf>
    <xf numFmtId="0" fontId="65" fillId="0" borderId="43" xfId="67" applyFont="1" applyBorder="1">
      <alignment/>
      <protection/>
    </xf>
    <xf numFmtId="0" fontId="65" fillId="0" borderId="38" xfId="67" applyFont="1" applyBorder="1">
      <alignment/>
      <protection/>
    </xf>
    <xf numFmtId="0" fontId="64" fillId="0" borderId="30" xfId="67" applyFont="1" applyBorder="1" applyAlignment="1">
      <alignment vertical="center"/>
      <protection/>
    </xf>
    <xf numFmtId="0" fontId="64" fillId="0" borderId="22" xfId="67" applyFont="1" applyBorder="1">
      <alignment/>
      <protection/>
    </xf>
    <xf numFmtId="3" fontId="31" fillId="0" borderId="14" xfId="67" applyNumberFormat="1" applyFont="1" applyBorder="1">
      <alignment/>
      <protection/>
    </xf>
    <xf numFmtId="3" fontId="31" fillId="0" borderId="22" xfId="67" applyNumberFormat="1" applyFont="1" applyBorder="1">
      <alignment/>
      <protection/>
    </xf>
    <xf numFmtId="0" fontId="64" fillId="0" borderId="31" xfId="67" applyFont="1" applyBorder="1" applyAlignment="1">
      <alignment horizontal="left"/>
      <protection/>
    </xf>
    <xf numFmtId="0" fontId="37" fillId="0" borderId="43" xfId="67" applyFont="1" applyBorder="1">
      <alignment/>
      <protection/>
    </xf>
    <xf numFmtId="0" fontId="37" fillId="0" borderId="38" xfId="67" applyFont="1" applyBorder="1">
      <alignment/>
      <protection/>
    </xf>
    <xf numFmtId="0" fontId="64" fillId="0" borderId="30" xfId="67" applyFont="1" applyBorder="1">
      <alignment/>
      <protection/>
    </xf>
    <xf numFmtId="0" fontId="65" fillId="0" borderId="22" xfId="67" applyFont="1" applyBorder="1">
      <alignment/>
      <protection/>
    </xf>
    <xf numFmtId="0" fontId="0" fillId="0" borderId="0" xfId="67" applyBorder="1">
      <alignment/>
      <protection/>
    </xf>
    <xf numFmtId="0" fontId="1" fillId="0" borderId="0" xfId="71">
      <alignment/>
      <protection/>
    </xf>
    <xf numFmtId="0" fontId="1" fillId="0" borderId="0" xfId="71" applyAlignment="1">
      <alignment vertical="center"/>
      <protection/>
    </xf>
    <xf numFmtId="0" fontId="11" fillId="0" borderId="0" xfId="71" applyFont="1" applyAlignment="1">
      <alignment horizontal="right"/>
      <protection/>
    </xf>
    <xf numFmtId="9" fontId="1" fillId="0" borderId="0" xfId="71" applyNumberFormat="1">
      <alignment/>
      <protection/>
    </xf>
    <xf numFmtId="0" fontId="1" fillId="0" borderId="0" xfId="71" applyFont="1">
      <alignment/>
      <protection/>
    </xf>
    <xf numFmtId="0" fontId="0" fillId="0" borderId="0" xfId="0" applyAlignment="1">
      <alignment horizontal="right"/>
    </xf>
    <xf numFmtId="3" fontId="33" fillId="0" borderId="12" xfId="0" applyNumberFormat="1" applyFont="1" applyFill="1" applyBorder="1"/>
    <xf numFmtId="3" fontId="33" fillId="0" borderId="34" xfId="0" applyNumberFormat="1" applyFont="1" applyFill="1" applyBorder="1" applyAlignment="1">
      <alignment horizontal="right" vertical="center"/>
    </xf>
    <xf numFmtId="3" fontId="33" fillId="0" borderId="35" xfId="0" applyNumberFormat="1" applyFont="1" applyFill="1" applyBorder="1"/>
    <xf numFmtId="3" fontId="33" fillId="0" borderId="13" xfId="0" applyNumberFormat="1" applyFont="1" applyFill="1" applyBorder="1"/>
    <xf numFmtId="3" fontId="33" fillId="14" borderId="13" xfId="0" applyNumberFormat="1" applyFont="1" applyFill="1" applyBorder="1"/>
    <xf numFmtId="3" fontId="37" fillId="0" borderId="12" xfId="0" applyNumberFormat="1" applyFont="1" applyFill="1" applyBorder="1"/>
    <xf numFmtId="3" fontId="33" fillId="14" borderId="12" xfId="0" applyNumberFormat="1" applyFont="1" applyFill="1" applyBorder="1"/>
    <xf numFmtId="0" fontId="33" fillId="0" borderId="12" xfId="0" applyFont="1" applyFill="1" applyBorder="1" applyAlignment="1">
      <alignment horizontal="left"/>
    </xf>
    <xf numFmtId="0" fontId="33" fillId="0" borderId="20" xfId="0" applyFont="1" applyFill="1" applyBorder="1" applyAlignment="1">
      <alignment horizontal="left"/>
    </xf>
    <xf numFmtId="3" fontId="33" fillId="0" borderId="11" xfId="0" applyNumberFormat="1" applyFont="1" applyFill="1" applyBorder="1" applyAlignment="1">
      <alignment horizontal="right" vertical="center"/>
    </xf>
    <xf numFmtId="0" fontId="3" fillId="0" borderId="0" xfId="0" applyFont="1"/>
    <xf numFmtId="3" fontId="33" fillId="0" borderId="11" xfId="0" applyNumberFormat="1" applyFont="1" applyBorder="1" applyAlignment="1">
      <alignment horizontal="right" vertical="center"/>
    </xf>
    <xf numFmtId="0" fontId="33" fillId="0" borderId="23" xfId="0" applyFont="1" applyBorder="1" applyAlignment="1">
      <alignment horizontal="left" vertical="center"/>
    </xf>
    <xf numFmtId="0" fontId="33" fillId="0" borderId="44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0" fontId="33" fillId="0" borderId="12" xfId="55" applyFont="1" applyBorder="1" applyAlignment="1">
      <alignment/>
      <protection/>
    </xf>
    <xf numFmtId="0" fontId="33" fillId="0" borderId="13" xfId="55" applyFont="1" applyBorder="1" applyAlignment="1">
      <alignment/>
      <protection/>
    </xf>
    <xf numFmtId="0" fontId="2" fillId="0" borderId="18" xfId="0" applyFont="1" applyFill="1" applyBorder="1" applyAlignment="1">
      <alignment horizontal="left" vertical="top"/>
    </xf>
    <xf numFmtId="0" fontId="33" fillId="0" borderId="32" xfId="0" applyFont="1" applyFill="1" applyBorder="1"/>
    <xf numFmtId="3" fontId="3" fillId="14" borderId="21" xfId="55" applyNumberFormat="1" applyFont="1" applyFill="1" applyBorder="1" applyAlignment="1">
      <alignment/>
      <protection/>
    </xf>
    <xf numFmtId="3" fontId="2" fillId="14" borderId="15" xfId="55" applyNumberFormat="1" applyFont="1" applyFill="1" applyBorder="1" applyAlignment="1">
      <alignment/>
      <protection/>
    </xf>
    <xf numFmtId="3" fontId="3" fillId="14" borderId="15" xfId="55" applyNumberFormat="1" applyFont="1" applyFill="1" applyBorder="1" applyAlignment="1">
      <alignment/>
      <protection/>
    </xf>
    <xf numFmtId="3" fontId="2" fillId="14" borderId="29" xfId="55" applyNumberFormat="1" applyFont="1" applyFill="1" applyBorder="1" applyAlignment="1">
      <alignment/>
      <protection/>
    </xf>
    <xf numFmtId="3" fontId="2" fillId="14" borderId="27" xfId="55" applyNumberFormat="1" applyFont="1" applyFill="1" applyBorder="1" applyAlignment="1">
      <alignment/>
      <protection/>
    </xf>
    <xf numFmtId="3" fontId="2" fillId="14" borderId="14" xfId="55" applyNumberFormat="1" applyFont="1" applyFill="1" applyBorder="1" applyAlignment="1">
      <alignment/>
      <protection/>
    </xf>
    <xf numFmtId="3" fontId="3" fillId="14" borderId="13" xfId="55" applyNumberFormat="1" applyFont="1" applyFill="1" applyBorder="1" applyAlignment="1">
      <alignment/>
      <protection/>
    </xf>
    <xf numFmtId="3" fontId="2" fillId="14" borderId="28" xfId="55" applyNumberFormat="1" applyFont="1" applyFill="1" applyBorder="1" applyAlignment="1">
      <alignment/>
      <protection/>
    </xf>
    <xf numFmtId="3" fontId="2" fillId="14" borderId="15" xfId="55" applyNumberFormat="1" applyFont="1" applyFill="1" applyBorder="1" applyAlignment="1">
      <alignment vertical="center"/>
      <protection/>
    </xf>
    <xf numFmtId="3" fontId="2" fillId="14" borderId="14" xfId="0" applyNumberFormat="1" applyFont="1" applyFill="1" applyBorder="1"/>
    <xf numFmtId="3" fontId="2" fillId="14" borderId="14" xfId="0" applyNumberFormat="1" applyFont="1" applyFill="1" applyBorder="1"/>
    <xf numFmtId="3" fontId="3" fillId="14" borderId="13" xfId="0" applyNumberFormat="1" applyFont="1" applyFill="1" applyBorder="1"/>
    <xf numFmtId="3" fontId="3" fillId="14" borderId="16" xfId="55" applyNumberFormat="1" applyFont="1" applyFill="1" applyBorder="1" applyAlignment="1">
      <alignment/>
      <protection/>
    </xf>
    <xf numFmtId="0" fontId="5" fillId="0" borderId="10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30" xfId="53" applyFont="1" applyFill="1" applyBorder="1" applyAlignment="1">
      <alignment vertical="center"/>
      <protection/>
    </xf>
    <xf numFmtId="3" fontId="3" fillId="14" borderId="21" xfId="0" applyNumberFormat="1" applyFont="1" applyFill="1" applyBorder="1"/>
    <xf numFmtId="0" fontId="0" fillId="0" borderId="11" xfId="55" applyFont="1" applyBorder="1" applyAlignment="1">
      <alignment/>
      <protection/>
    </xf>
    <xf numFmtId="0" fontId="2" fillId="0" borderId="11" xfId="0" applyFont="1" applyFill="1" applyBorder="1" applyAlignment="1">
      <alignment/>
    </xf>
    <xf numFmtId="0" fontId="3" fillId="0" borderId="22" xfId="0" applyFont="1" applyBorder="1" applyAlignment="1">
      <alignment horizontal="left"/>
    </xf>
    <xf numFmtId="0" fontId="35" fillId="0" borderId="12" xfId="55" applyFont="1" applyFill="1" applyBorder="1" applyAlignment="1">
      <alignment/>
      <protection/>
    </xf>
    <xf numFmtId="3" fontId="35" fillId="0" borderId="11" xfId="54" applyNumberFormat="1" applyFont="1" applyFill="1" applyBorder="1" applyAlignment="1">
      <alignment vertical="center"/>
      <protection/>
    </xf>
    <xf numFmtId="3" fontId="3" fillId="14" borderId="11" xfId="55" applyNumberFormat="1" applyFont="1" applyFill="1" applyBorder="1" applyAlignment="1">
      <alignment/>
      <protection/>
    </xf>
    <xf numFmtId="3" fontId="9" fillId="14" borderId="15" xfId="55" applyNumberFormat="1" applyFont="1" applyFill="1" applyBorder="1" applyAlignment="1">
      <alignment vertical="center"/>
      <protection/>
    </xf>
    <xf numFmtId="3" fontId="3" fillId="14" borderId="15" xfId="55" applyNumberFormat="1" applyFont="1" applyFill="1" applyBorder="1" applyAlignment="1">
      <alignment/>
      <protection/>
    </xf>
    <xf numFmtId="3" fontId="2" fillId="14" borderId="21" xfId="55" applyNumberFormat="1" applyFont="1" applyFill="1" applyBorder="1" applyAlignment="1">
      <alignment/>
      <protection/>
    </xf>
    <xf numFmtId="3" fontId="2" fillId="14" borderId="15" xfId="55" applyNumberFormat="1" applyFont="1" applyFill="1" applyBorder="1" applyAlignment="1">
      <alignment/>
      <protection/>
    </xf>
    <xf numFmtId="3" fontId="2" fillId="14" borderId="11" xfId="55" applyNumberFormat="1" applyFont="1" applyFill="1" applyBorder="1" applyAlignment="1">
      <alignment/>
      <protection/>
    </xf>
    <xf numFmtId="3" fontId="2" fillId="14" borderId="13" xfId="55" applyNumberFormat="1" applyFont="1" applyFill="1" applyBorder="1" applyAlignment="1">
      <alignment/>
      <protection/>
    </xf>
    <xf numFmtId="3" fontId="2" fillId="14" borderId="15" xfId="55" applyNumberFormat="1" applyFont="1" applyFill="1" applyBorder="1" applyAlignment="1">
      <alignment vertical="center"/>
      <protection/>
    </xf>
    <xf numFmtId="0" fontId="3" fillId="14" borderId="11" xfId="55" applyFont="1" applyFill="1" applyBorder="1" applyAlignment="1">
      <alignment/>
      <protection/>
    </xf>
    <xf numFmtId="0" fontId="3" fillId="14" borderId="12" xfId="55" applyFont="1" applyFill="1" applyBorder="1" applyAlignment="1">
      <alignment/>
      <protection/>
    </xf>
    <xf numFmtId="0" fontId="3" fillId="14" borderId="10" xfId="55" applyFont="1" applyFill="1" applyBorder="1" applyAlignment="1">
      <alignment/>
      <protection/>
    </xf>
    <xf numFmtId="3" fontId="4" fillId="14" borderId="14" xfId="55" applyNumberFormat="1" applyFont="1" applyFill="1" applyBorder="1" applyAlignment="1">
      <alignment/>
      <protection/>
    </xf>
    <xf numFmtId="3" fontId="2" fillId="14" borderId="14" xfId="55" applyNumberFormat="1" applyFont="1" applyFill="1" applyBorder="1" applyAlignment="1">
      <alignment vertical="center"/>
      <protection/>
    </xf>
    <xf numFmtId="0" fontId="3" fillId="14" borderId="13" xfId="55" applyFont="1" applyFill="1" applyBorder="1" applyAlignment="1">
      <alignment/>
      <protection/>
    </xf>
    <xf numFmtId="0" fontId="3" fillId="14" borderId="15" xfId="55" applyFont="1" applyFill="1" applyBorder="1" applyAlignment="1">
      <alignment/>
      <protection/>
    </xf>
    <xf numFmtId="3" fontId="4" fillId="14" borderId="31" xfId="55" applyNumberFormat="1" applyFont="1" applyFill="1" applyBorder="1" applyAlignment="1">
      <alignment/>
      <protection/>
    </xf>
    <xf numFmtId="3" fontId="2" fillId="14" borderId="31" xfId="55" applyNumberFormat="1" applyFont="1" applyFill="1" applyBorder="1" applyAlignment="1">
      <alignment/>
      <protection/>
    </xf>
    <xf numFmtId="3" fontId="3" fillId="14" borderId="25" xfId="55" applyNumberFormat="1" applyFont="1" applyFill="1" applyBorder="1" applyAlignment="1">
      <alignment/>
      <protection/>
    </xf>
    <xf numFmtId="0" fontId="3" fillId="14" borderId="21" xfId="55" applyFont="1" applyFill="1" applyBorder="1" applyAlignment="1">
      <alignment/>
      <protection/>
    </xf>
    <xf numFmtId="3" fontId="4" fillId="14" borderId="15" xfId="55" applyNumberFormat="1" applyFont="1" applyFill="1" applyBorder="1" applyAlignment="1">
      <alignment/>
      <protection/>
    </xf>
    <xf numFmtId="3" fontId="3" fillId="14" borderId="14" xfId="55" applyNumberFormat="1" applyFont="1" applyFill="1" applyBorder="1" applyAlignment="1">
      <alignment/>
      <protection/>
    </xf>
    <xf numFmtId="3" fontId="4" fillId="14" borderId="10" xfId="55" applyNumberFormat="1" applyFont="1" applyFill="1" applyBorder="1" applyAlignment="1">
      <alignment/>
      <protection/>
    </xf>
    <xf numFmtId="3" fontId="2" fillId="14" borderId="12" xfId="55" applyNumberFormat="1" applyFont="1" applyFill="1" applyBorder="1" applyAlignment="1">
      <alignment/>
      <protection/>
    </xf>
    <xf numFmtId="0" fontId="2" fillId="0" borderId="15" xfId="57" applyFont="1" applyFill="1" applyBorder="1" applyAlignment="1">
      <alignment horizontal="right"/>
      <protection/>
    </xf>
    <xf numFmtId="9" fontId="3" fillId="0" borderId="10" xfId="57" applyNumberFormat="1" applyFont="1" applyFill="1" applyBorder="1" applyAlignment="1">
      <alignment horizontal="right" vertical="center"/>
      <protection/>
    </xf>
    <xf numFmtId="0" fontId="3" fillId="0" borderId="10" xfId="57" applyFont="1" applyFill="1" applyBorder="1" applyAlignment="1">
      <alignment horizontal="right"/>
      <protection/>
    </xf>
    <xf numFmtId="9" fontId="3" fillId="0" borderId="15" xfId="57" applyNumberFormat="1" applyFont="1" applyFill="1" applyBorder="1" applyAlignment="1">
      <alignment horizontal="right" vertical="center"/>
      <protection/>
    </xf>
    <xf numFmtId="3" fontId="3" fillId="0" borderId="10" xfId="57" applyNumberFormat="1" applyFont="1" applyFill="1" applyBorder="1" applyAlignment="1">
      <alignment horizontal="right"/>
      <protection/>
    </xf>
    <xf numFmtId="3" fontId="5" fillId="0" borderId="10" xfId="57" applyNumberFormat="1" applyFont="1" applyFill="1" applyBorder="1" applyAlignment="1">
      <alignment horizontal="right"/>
      <protection/>
    </xf>
    <xf numFmtId="3" fontId="2" fillId="0" borderId="15" xfId="57" applyNumberFormat="1" applyFont="1" applyFill="1" applyBorder="1" applyAlignment="1">
      <alignment horizontal="right"/>
      <protection/>
    </xf>
    <xf numFmtId="3" fontId="2" fillId="0" borderId="15" xfId="57" applyNumberFormat="1" applyFont="1" applyFill="1" applyBorder="1" applyAlignment="1">
      <alignment horizontal="right" vertical="center"/>
      <protection/>
    </xf>
    <xf numFmtId="3" fontId="2" fillId="0" borderId="14" xfId="57" applyNumberFormat="1" applyFont="1" applyFill="1" applyBorder="1" applyAlignment="1">
      <alignment horizontal="right" vertical="center"/>
      <protection/>
    </xf>
    <xf numFmtId="3" fontId="3" fillId="0" borderId="30" xfId="57" applyNumberFormat="1" applyFont="1" applyFill="1" applyBorder="1" applyAlignment="1">
      <alignment horizontal="right" vertical="center"/>
      <protection/>
    </xf>
    <xf numFmtId="0" fontId="3" fillId="0" borderId="14" xfId="57" applyFont="1" applyFill="1" applyBorder="1" applyAlignment="1">
      <alignment horizontal="right" vertical="center"/>
      <protection/>
    </xf>
    <xf numFmtId="3" fontId="2" fillId="0" borderId="30" xfId="57" applyNumberFormat="1" applyFont="1" applyFill="1" applyBorder="1" applyAlignment="1">
      <alignment horizontal="right" vertical="center"/>
      <protection/>
    </xf>
    <xf numFmtId="0" fontId="2" fillId="0" borderId="14" xfId="57" applyFont="1" applyFill="1" applyBorder="1" applyAlignment="1">
      <alignment horizontal="right" vertical="center"/>
      <protection/>
    </xf>
    <xf numFmtId="3" fontId="3" fillId="0" borderId="16" xfId="57" applyNumberFormat="1" applyFont="1" applyFill="1" applyBorder="1" applyAlignment="1">
      <alignment horizontal="right" vertical="center"/>
      <protection/>
    </xf>
    <xf numFmtId="3" fontId="3" fillId="12" borderId="16" xfId="57" applyNumberFormat="1" applyFont="1" applyFill="1" applyBorder="1" applyAlignment="1">
      <alignment horizontal="right"/>
      <protection/>
    </xf>
    <xf numFmtId="3" fontId="2" fillId="14" borderId="30" xfId="57" applyNumberFormat="1" applyFont="1" applyFill="1" applyBorder="1" applyAlignment="1">
      <alignment horizontal="right" vertical="center"/>
      <protection/>
    </xf>
    <xf numFmtId="3" fontId="3" fillId="14" borderId="16" xfId="57" applyNumberFormat="1" applyFont="1" applyFill="1" applyBorder="1" applyAlignment="1">
      <alignment horizontal="right"/>
      <protection/>
    </xf>
    <xf numFmtId="3" fontId="3" fillId="14" borderId="30" xfId="57" applyNumberFormat="1" applyFont="1" applyFill="1" applyBorder="1" applyAlignment="1">
      <alignment horizontal="right"/>
      <protection/>
    </xf>
    <xf numFmtId="0" fontId="3" fillId="14" borderId="30" xfId="57" applyFont="1" applyFill="1" applyBorder="1" applyAlignment="1">
      <alignment/>
      <protection/>
    </xf>
    <xf numFmtId="3" fontId="5" fillId="14" borderId="16" xfId="57" applyNumberFormat="1" applyFont="1" applyFill="1" applyBorder="1" applyAlignment="1">
      <alignment horizontal="right"/>
      <protection/>
    </xf>
    <xf numFmtId="3" fontId="3" fillId="14" borderId="30" xfId="57" applyNumberFormat="1" applyFont="1" applyFill="1" applyBorder="1" applyAlignment="1">
      <alignment horizontal="right" vertical="center"/>
      <protection/>
    </xf>
    <xf numFmtId="3" fontId="3" fillId="14" borderId="16" xfId="57" applyNumberFormat="1" applyFont="1" applyFill="1" applyBorder="1" applyAlignment="1">
      <alignment horizontal="right" vertical="center"/>
      <protection/>
    </xf>
    <xf numFmtId="3" fontId="3" fillId="14" borderId="31" xfId="57" applyNumberFormat="1" applyFont="1" applyFill="1" applyBorder="1" applyAlignment="1">
      <alignment horizontal="right" vertical="center"/>
      <protection/>
    </xf>
    <xf numFmtId="3" fontId="2" fillId="14" borderId="31" xfId="57" applyNumberFormat="1" applyFont="1" applyFill="1" applyBorder="1" applyAlignment="1">
      <alignment horizontal="right" vertical="center"/>
      <protection/>
    </xf>
    <xf numFmtId="3" fontId="2" fillId="14" borderId="14" xfId="57" applyNumberFormat="1" applyFont="1" applyFill="1" applyBorder="1" applyAlignment="1">
      <alignment horizontal="right" vertical="center"/>
      <protection/>
    </xf>
    <xf numFmtId="3" fontId="35" fillId="0" borderId="23" xfId="54" applyNumberFormat="1" applyFont="1" applyFill="1" applyBorder="1">
      <alignment/>
      <protection/>
    </xf>
    <xf numFmtId="9" fontId="3" fillId="0" borderId="14" xfId="57" applyNumberFormat="1" applyFont="1" applyFill="1" applyBorder="1" applyAlignment="1">
      <alignment horizontal="right" vertical="center"/>
      <protection/>
    </xf>
    <xf numFmtId="0" fontId="35" fillId="0" borderId="35" xfId="55" applyFont="1" applyFill="1" applyBorder="1" applyAlignment="1">
      <alignment/>
      <protection/>
    </xf>
    <xf numFmtId="3" fontId="37" fillId="0" borderId="12" xfId="54" applyNumberFormat="1" applyFont="1" applyFill="1" applyBorder="1" applyAlignment="1">
      <alignment vertical="center"/>
      <protection/>
    </xf>
    <xf numFmtId="3" fontId="2" fillId="0" borderId="20" xfId="0" applyNumberFormat="1" applyFont="1" applyBorder="1" applyAlignment="1">
      <alignment horizontal="center"/>
    </xf>
    <xf numFmtId="3" fontId="2" fillId="14" borderId="20" xfId="0" applyNumberFormat="1" applyFont="1" applyFill="1" applyBorder="1"/>
    <xf numFmtId="3" fontId="3" fillId="14" borderId="20" xfId="0" applyNumberFormat="1" applyFont="1" applyFill="1" applyBorder="1"/>
    <xf numFmtId="3" fontId="5" fillId="14" borderId="20" xfId="0" applyNumberFormat="1" applyFont="1" applyFill="1" applyBorder="1"/>
    <xf numFmtId="3" fontId="5" fillId="14" borderId="22" xfId="0" applyNumberFormat="1" applyFont="1" applyFill="1" applyBorder="1"/>
    <xf numFmtId="3" fontId="3" fillId="14" borderId="20" xfId="0" applyNumberFormat="1" applyFont="1" applyFill="1" applyBorder="1"/>
    <xf numFmtId="3" fontId="2" fillId="14" borderId="20" xfId="0" applyNumberFormat="1" applyFont="1" applyFill="1" applyBorder="1" applyAlignment="1">
      <alignment horizontal="center"/>
    </xf>
    <xf numFmtId="3" fontId="8" fillId="14" borderId="20" xfId="0" applyNumberFormat="1" applyFont="1" applyFill="1" applyBorder="1"/>
    <xf numFmtId="3" fontId="7" fillId="14" borderId="20" xfId="0" applyNumberFormat="1" applyFont="1" applyFill="1" applyBorder="1"/>
    <xf numFmtId="3" fontId="0" fillId="0" borderId="0" xfId="57" applyNumberFormat="1">
      <alignment/>
      <protection/>
    </xf>
    <xf numFmtId="9" fontId="3" fillId="14" borderId="10" xfId="64" applyFont="1" applyFill="1" applyBorder="1"/>
    <xf numFmtId="9" fontId="3" fillId="14" borderId="14" xfId="64" applyFont="1" applyFill="1" applyBorder="1"/>
    <xf numFmtId="9" fontId="2" fillId="14" borderId="14" xfId="64" applyFont="1" applyFill="1" applyBorder="1"/>
    <xf numFmtId="9" fontId="2" fillId="14" borderId="15" xfId="64" applyFont="1" applyFill="1" applyBorder="1"/>
    <xf numFmtId="9" fontId="3" fillId="14" borderId="11" xfId="64" applyFont="1" applyFill="1" applyBorder="1"/>
    <xf numFmtId="9" fontId="2" fillId="14" borderId="11" xfId="64" applyFont="1" applyFill="1" applyBorder="1"/>
    <xf numFmtId="9" fontId="7" fillId="0" borderId="11" xfId="64" applyNumberFormat="1" applyFont="1" applyFill="1" applyBorder="1" applyAlignment="1">
      <alignment horizontal="right"/>
    </xf>
    <xf numFmtId="9" fontId="2" fillId="0" borderId="15" xfId="57" applyNumberFormat="1" applyFont="1" applyFill="1" applyBorder="1" applyAlignment="1">
      <alignment horizontal="right" vertical="center"/>
      <protection/>
    </xf>
    <xf numFmtId="9" fontId="2" fillId="0" borderId="14" xfId="57" applyNumberFormat="1" applyFont="1" applyFill="1" applyBorder="1" applyAlignment="1">
      <alignment horizontal="right" vertical="center"/>
      <protection/>
    </xf>
    <xf numFmtId="9" fontId="3" fillId="0" borderId="11" xfId="55" applyNumberFormat="1" applyFont="1" applyBorder="1" applyAlignment="1">
      <alignment/>
      <protection/>
    </xf>
    <xf numFmtId="9" fontId="2" fillId="0" borderId="21" xfId="55" applyNumberFormat="1" applyFont="1" applyBorder="1" applyAlignment="1">
      <alignment/>
      <protection/>
    </xf>
    <xf numFmtId="9" fontId="3" fillId="0" borderId="21" xfId="55" applyNumberFormat="1" applyFont="1" applyBorder="1" applyAlignment="1">
      <alignment/>
      <protection/>
    </xf>
    <xf numFmtId="9" fontId="3" fillId="0" borderId="15" xfId="55" applyNumberFormat="1" applyFont="1" applyBorder="1" applyAlignment="1">
      <alignment/>
      <protection/>
    </xf>
    <xf numFmtId="9" fontId="2" fillId="0" borderId="29" xfId="55" applyNumberFormat="1" applyFont="1" applyBorder="1" applyAlignment="1">
      <alignment/>
      <protection/>
    </xf>
    <xf numFmtId="9" fontId="2" fillId="0" borderId="28" xfId="55" applyNumberFormat="1" applyFont="1" applyBorder="1" applyAlignment="1">
      <alignment/>
      <protection/>
    </xf>
    <xf numFmtId="9" fontId="2" fillId="0" borderId="14" xfId="0" applyNumberFormat="1" applyFont="1" applyBorder="1"/>
    <xf numFmtId="9" fontId="3" fillId="0" borderId="14" xfId="57" applyNumberFormat="1" applyFont="1" applyFill="1" applyBorder="1" applyAlignment="1">
      <alignment horizontal="right" vertical="center"/>
      <protection/>
    </xf>
    <xf numFmtId="9" fontId="2" fillId="0" borderId="18" xfId="57" applyNumberFormat="1" applyFont="1" applyFill="1" applyBorder="1" applyAlignment="1">
      <alignment horizontal="right" vertical="center"/>
      <protection/>
    </xf>
    <xf numFmtId="9" fontId="3" fillId="0" borderId="11" xfId="57" applyNumberFormat="1" applyFont="1" applyFill="1" applyBorder="1" applyAlignment="1">
      <alignment horizontal="right" vertical="center"/>
      <protection/>
    </xf>
    <xf numFmtId="9" fontId="2" fillId="0" borderId="11" xfId="0" applyNumberFormat="1" applyFont="1" applyFill="1" applyBorder="1"/>
    <xf numFmtId="9" fontId="2" fillId="0" borderId="21" xfId="0" applyNumberFormat="1" applyFont="1" applyFill="1" applyBorder="1"/>
    <xf numFmtId="9" fontId="3" fillId="0" borderId="12" xfId="0" applyNumberFormat="1" applyFont="1" applyFill="1" applyBorder="1"/>
    <xf numFmtId="9" fontId="3" fillId="0" borderId="21" xfId="0" applyNumberFormat="1" applyFont="1" applyFill="1" applyBorder="1"/>
    <xf numFmtId="9" fontId="2" fillId="0" borderId="15" xfId="0" applyNumberFormat="1" applyFont="1" applyFill="1" applyBorder="1"/>
    <xf numFmtId="9" fontId="2" fillId="0" borderId="21" xfId="0" applyNumberFormat="1" applyFont="1" applyFill="1" applyBorder="1" applyAlignment="1">
      <alignment horizontal="right" vertical="center"/>
    </xf>
    <xf numFmtId="9" fontId="2" fillId="0" borderId="15" xfId="0" applyNumberFormat="1" applyFont="1" applyFill="1" applyBorder="1" applyAlignment="1">
      <alignment horizontal="right" vertical="center"/>
    </xf>
    <xf numFmtId="9" fontId="3" fillId="0" borderId="11" xfId="0" applyNumberFormat="1" applyFont="1" applyFill="1" applyBorder="1" applyAlignment="1">
      <alignment horizontal="right" vertical="center"/>
    </xf>
    <xf numFmtId="9" fontId="3" fillId="0" borderId="12" xfId="0" applyNumberFormat="1" applyFont="1" applyFill="1" applyBorder="1" applyAlignment="1">
      <alignment horizontal="right" vertical="center"/>
    </xf>
    <xf numFmtId="9" fontId="3" fillId="0" borderId="14" xfId="0" applyNumberFormat="1" applyFont="1" applyFill="1" applyBorder="1" applyAlignment="1">
      <alignment horizontal="right" vertical="center"/>
    </xf>
    <xf numFmtId="9" fontId="3" fillId="0" borderId="21" xfId="0" applyNumberFormat="1" applyFont="1" applyFill="1" applyBorder="1" applyAlignment="1">
      <alignment horizontal="right" vertical="center"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3" fillId="0" borderId="18" xfId="0" applyNumberFormat="1" applyFont="1" applyFill="1" applyBorder="1" applyAlignment="1">
      <alignment horizontal="right" vertical="center"/>
    </xf>
    <xf numFmtId="3" fontId="3" fillId="14" borderId="22" xfId="0" applyNumberFormat="1" applyFont="1" applyFill="1" applyBorder="1"/>
    <xf numFmtId="0" fontId="5" fillId="14" borderId="22" xfId="0" applyFont="1" applyFill="1" applyBorder="1"/>
    <xf numFmtId="0" fontId="3" fillId="14" borderId="20" xfId="0" applyFont="1" applyFill="1" applyBorder="1" applyAlignment="1">
      <alignment horizontal="left"/>
    </xf>
    <xf numFmtId="0" fontId="0" fillId="14" borderId="0" xfId="0" applyFont="1" applyFill="1"/>
    <xf numFmtId="9" fontId="3" fillId="0" borderId="11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2" fillId="0" borderId="10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5" fillId="0" borderId="10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left" vertical="top"/>
    </xf>
    <xf numFmtId="9" fontId="2" fillId="0" borderId="18" xfId="55" applyNumberFormat="1" applyFont="1" applyBorder="1" applyAlignment="1">
      <alignment/>
      <protection/>
    </xf>
    <xf numFmtId="3" fontId="2" fillId="14" borderId="16" xfId="57" applyNumberFormat="1" applyFont="1" applyFill="1" applyBorder="1" applyAlignment="1">
      <alignment horizontal="right"/>
      <protection/>
    </xf>
    <xf numFmtId="0" fontId="5" fillId="14" borderId="20" xfId="0" applyFont="1" applyFill="1" applyBorder="1" applyAlignment="1">
      <alignment horizontal="center" vertical="center" wrapText="1"/>
    </xf>
    <xf numFmtId="9" fontId="2" fillId="0" borderId="15" xfId="0" applyNumberFormat="1" applyFont="1" applyBorder="1" applyAlignment="1">
      <alignment vertical="center"/>
    </xf>
    <xf numFmtId="9" fontId="2" fillId="0" borderId="15" xfId="55" applyNumberFormat="1" applyFont="1" applyBorder="1" applyAlignment="1">
      <alignment vertical="center"/>
      <protection/>
    </xf>
    <xf numFmtId="3" fontId="2" fillId="0" borderId="21" xfId="55" applyNumberFormat="1" applyFont="1" applyBorder="1" applyAlignment="1">
      <alignment/>
      <protection/>
    </xf>
    <xf numFmtId="0" fontId="2" fillId="0" borderId="21" xfId="55" applyFont="1" applyBorder="1" applyAlignment="1">
      <alignment/>
      <protection/>
    </xf>
    <xf numFmtId="0" fontId="2" fillId="0" borderId="20" xfId="0" applyFont="1" applyFill="1" applyBorder="1"/>
    <xf numFmtId="0" fontId="5" fillId="0" borderId="30" xfId="0" applyFont="1" applyFill="1" applyBorder="1"/>
    <xf numFmtId="0" fontId="5" fillId="0" borderId="26" xfId="0" applyFont="1" applyFill="1" applyBorder="1"/>
    <xf numFmtId="0" fontId="41" fillId="0" borderId="30" xfId="0" applyFont="1" applyFill="1" applyBorder="1"/>
    <xf numFmtId="0" fontId="41" fillId="0" borderId="26" xfId="0" applyFont="1" applyFill="1" applyBorder="1"/>
    <xf numFmtId="0" fontId="41" fillId="0" borderId="23" xfId="0" applyFont="1" applyFill="1" applyBorder="1"/>
    <xf numFmtId="0" fontId="41" fillId="0" borderId="17" xfId="0" applyFont="1" applyFill="1" applyBorder="1"/>
    <xf numFmtId="3" fontId="6" fillId="0" borderId="11" xfId="0" applyNumberFormat="1" applyFont="1" applyFill="1" applyBorder="1" applyAlignment="1">
      <alignment horizontal="center"/>
    </xf>
    <xf numFmtId="0" fontId="5" fillId="0" borderId="32" xfId="0" applyFont="1" applyFill="1" applyBorder="1"/>
    <xf numFmtId="0" fontId="4" fillId="0" borderId="22" xfId="0" applyFont="1" applyFill="1" applyBorder="1" applyAlignment="1">
      <alignment horizontal="center"/>
    </xf>
    <xf numFmtId="0" fontId="41" fillId="0" borderId="32" xfId="0" applyFont="1" applyFill="1" applyBorder="1"/>
    <xf numFmtId="0" fontId="4" fillId="0" borderId="34" xfId="0" applyFont="1" applyFill="1" applyBorder="1" applyAlignment="1">
      <alignment horizontal="center"/>
    </xf>
    <xf numFmtId="3" fontId="9" fillId="12" borderId="14" xfId="55" applyNumberFormat="1" applyFont="1" applyFill="1" applyBorder="1" applyAlignment="1">
      <alignment/>
      <protection/>
    </xf>
    <xf numFmtId="0" fontId="43" fillId="0" borderId="10" xfId="55" applyFont="1" applyBorder="1" applyAlignment="1">
      <alignment vertical="center"/>
      <protection/>
    </xf>
    <xf numFmtId="3" fontId="2" fillId="14" borderId="10" xfId="55" applyNumberFormat="1" applyFont="1" applyFill="1" applyBorder="1" applyAlignment="1">
      <alignment vertical="center"/>
      <protection/>
    </xf>
    <xf numFmtId="9" fontId="2" fillId="0" borderId="10" xfId="55" applyNumberFormat="1" applyFont="1" applyBorder="1" applyAlignment="1">
      <alignment/>
      <protection/>
    </xf>
    <xf numFmtId="9" fontId="5" fillId="0" borderId="11" xfId="0" applyNumberFormat="1" applyFont="1" applyFill="1" applyBorder="1" applyAlignment="1">
      <alignment horizontal="right" vertical="center"/>
    </xf>
    <xf numFmtId="9" fontId="5" fillId="0" borderId="14" xfId="0" applyNumberFormat="1" applyFont="1" applyFill="1" applyBorder="1" applyAlignment="1">
      <alignment horizontal="right" vertical="center"/>
    </xf>
    <xf numFmtId="9" fontId="5" fillId="0" borderId="18" xfId="0" applyNumberFormat="1" applyFont="1" applyFill="1" applyBorder="1" applyAlignment="1">
      <alignment horizontal="right" vertical="center"/>
    </xf>
    <xf numFmtId="9" fontId="5" fillId="0" borderId="12" xfId="0" applyNumberFormat="1" applyFont="1" applyFill="1" applyBorder="1" applyAlignment="1">
      <alignment horizontal="right" vertical="center"/>
    </xf>
    <xf numFmtId="9" fontId="5" fillId="0" borderId="21" xfId="0" applyNumberFormat="1" applyFont="1" applyFill="1" applyBorder="1" applyAlignment="1">
      <alignment horizontal="right" vertical="center"/>
    </xf>
    <xf numFmtId="3" fontId="35" fillId="0" borderId="45" xfId="54" applyNumberFormat="1" applyFont="1" applyFill="1" applyBorder="1" applyAlignment="1">
      <alignment vertical="center"/>
      <protection/>
    </xf>
    <xf numFmtId="9" fontId="3" fillId="0" borderId="15" xfId="57" applyNumberFormat="1" applyFont="1" applyFill="1" applyBorder="1" applyAlignment="1">
      <alignment horizontal="right" vertical="center"/>
      <protection/>
    </xf>
    <xf numFmtId="3" fontId="41" fillId="14" borderId="20" xfId="0" applyNumberFormat="1" applyFont="1" applyFill="1" applyBorder="1"/>
    <xf numFmtId="0" fontId="41" fillId="0" borderId="10" xfId="0" applyFont="1" applyFill="1" applyBorder="1" applyAlignment="1">
      <alignment horizontal="left"/>
    </xf>
    <xf numFmtId="3" fontId="36" fillId="0" borderId="12" xfId="54" applyNumberFormat="1" applyFont="1" applyFill="1" applyBorder="1">
      <alignment/>
      <protection/>
    </xf>
    <xf numFmtId="0" fontId="33" fillId="0" borderId="23" xfId="0" applyFont="1" applyBorder="1" applyAlignment="1">
      <alignment horizontal="left" vertical="center"/>
    </xf>
    <xf numFmtId="0" fontId="33" fillId="0" borderId="44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3" fontId="0" fillId="0" borderId="12" xfId="0" applyNumberFormat="1" applyFill="1" applyBorder="1" applyAlignment="1">
      <alignment vertical="center"/>
    </xf>
    <xf numFmtId="3" fontId="32" fillId="0" borderId="12" xfId="73" applyNumberFormat="1" applyFont="1" applyFill="1" applyBorder="1" applyAlignment="1">
      <alignment vertical="center"/>
      <protection/>
    </xf>
    <xf numFmtId="3" fontId="1" fillId="0" borderId="12" xfId="73" applyNumberFormat="1" applyFill="1" applyBorder="1" applyAlignment="1">
      <alignment vertical="center"/>
      <protection/>
    </xf>
    <xf numFmtId="3" fontId="1" fillId="0" borderId="12" xfId="73" applyNumberFormat="1" applyFont="1" applyFill="1" applyBorder="1" applyAlignment="1">
      <alignment horizontal="right" vertical="center"/>
      <protection/>
    </xf>
    <xf numFmtId="3" fontId="1" fillId="0" borderId="12" xfId="73" applyNumberFormat="1" applyFont="1" applyFill="1" applyBorder="1" applyAlignment="1">
      <alignment vertical="center"/>
      <protection/>
    </xf>
    <xf numFmtId="0" fontId="1" fillId="0" borderId="35" xfId="73" applyFont="1" applyFill="1" applyBorder="1">
      <alignment/>
      <protection/>
    </xf>
    <xf numFmtId="3" fontId="1" fillId="0" borderId="35" xfId="73" applyNumberFormat="1" applyFont="1" applyFill="1" applyBorder="1">
      <alignment/>
      <protection/>
    </xf>
    <xf numFmtId="3" fontId="11" fillId="0" borderId="12" xfId="73" applyNumberFormat="1" applyFont="1" applyFill="1" applyBorder="1" applyAlignment="1">
      <alignment vertical="center"/>
      <protection/>
    </xf>
    <xf numFmtId="3" fontId="9" fillId="0" borderId="11" xfId="0" applyNumberFormat="1" applyFont="1" applyFill="1" applyBorder="1" applyAlignment="1">
      <alignment horizontal="right" vertical="center"/>
    </xf>
    <xf numFmtId="3" fontId="32" fillId="0" borderId="11" xfId="73" applyNumberFormat="1" applyFont="1" applyFill="1" applyBorder="1" applyAlignment="1">
      <alignment vertical="center"/>
      <protection/>
    </xf>
    <xf numFmtId="3" fontId="60" fillId="0" borderId="11" xfId="0" applyNumberFormat="1" applyFont="1" applyFill="1" applyBorder="1" applyAlignment="1">
      <alignment horizontal="right" vertical="center"/>
    </xf>
    <xf numFmtId="3" fontId="33" fillId="0" borderId="11" xfId="73" applyNumberFormat="1" applyFont="1" applyFill="1" applyBorder="1" applyAlignment="1">
      <alignment vertical="center"/>
      <protection/>
    </xf>
    <xf numFmtId="3" fontId="33" fillId="0" borderId="11" xfId="73" applyNumberFormat="1" applyFont="1" applyFill="1" applyBorder="1" applyAlignment="1">
      <alignment horizontal="right" vertical="center"/>
      <protection/>
    </xf>
    <xf numFmtId="3" fontId="33" fillId="0" borderId="12" xfId="73" applyNumberFormat="1" applyFont="1" applyFill="1" applyBorder="1" applyAlignment="1">
      <alignment vertical="center"/>
      <protection/>
    </xf>
    <xf numFmtId="0" fontId="33" fillId="0" borderId="19" xfId="0" applyFont="1" applyFill="1" applyBorder="1" applyAlignment="1">
      <alignment horizontal="left"/>
    </xf>
    <xf numFmtId="3" fontId="0" fillId="0" borderId="11" xfId="0" applyNumberFormat="1" applyFill="1" applyBorder="1"/>
    <xf numFmtId="0" fontId="0" fillId="0" borderId="0" xfId="0" applyFill="1"/>
    <xf numFmtId="3" fontId="0" fillId="0" borderId="0" xfId="67" applyNumberFormat="1">
      <alignment/>
      <protection/>
    </xf>
    <xf numFmtId="0" fontId="3" fillId="14" borderId="0" xfId="0" applyFont="1" applyFill="1"/>
    <xf numFmtId="0" fontId="8" fillId="0" borderId="26" xfId="0" applyFont="1" applyFill="1" applyBorder="1"/>
    <xf numFmtId="9" fontId="2" fillId="0" borderId="18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center"/>
    </xf>
    <xf numFmtId="3" fontId="2" fillId="14" borderId="22" xfId="0" applyNumberFormat="1" applyFont="1" applyFill="1" applyBorder="1"/>
    <xf numFmtId="3" fontId="2" fillId="14" borderId="38" xfId="0" applyNumberFormat="1" applyFont="1" applyFill="1" applyBorder="1"/>
    <xf numFmtId="3" fontId="8" fillId="14" borderId="38" xfId="0" applyNumberFormat="1" applyFont="1" applyFill="1" applyBorder="1"/>
    <xf numFmtId="0" fontId="0" fillId="0" borderId="0" xfId="0" applyFill="1" applyAlignment="1">
      <alignment horizontal="right"/>
    </xf>
    <xf numFmtId="0" fontId="33" fillId="0" borderId="34" xfId="0" applyFont="1" applyFill="1" applyBorder="1" applyAlignment="1">
      <alignment horizontal="left"/>
    </xf>
    <xf numFmtId="0" fontId="3" fillId="14" borderId="10" xfId="55" applyFont="1" applyFill="1" applyBorder="1" applyAlignment="1">
      <alignment/>
      <protection/>
    </xf>
    <xf numFmtId="0" fontId="3" fillId="14" borderId="14" xfId="55" applyFont="1" applyFill="1" applyBorder="1" applyAlignment="1">
      <alignment/>
      <protection/>
    </xf>
    <xf numFmtId="0" fontId="5" fillId="0" borderId="11" xfId="0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1" fillId="0" borderId="0" xfId="65" applyFill="1">
      <alignment/>
      <protection/>
    </xf>
    <xf numFmtId="0" fontId="0" fillId="0" borderId="0" xfId="0" applyFill="1" applyAlignment="1">
      <alignment horizontal="center" vertical="center"/>
    </xf>
    <xf numFmtId="0" fontId="37" fillId="0" borderId="23" xfId="65" applyFont="1" applyFill="1" applyBorder="1" applyAlignment="1">
      <alignment/>
      <protection/>
    </xf>
    <xf numFmtId="0" fontId="37" fillId="0" borderId="35" xfId="65" applyFont="1" applyFill="1" applyBorder="1" applyAlignment="1">
      <alignment/>
      <protection/>
    </xf>
    <xf numFmtId="0" fontId="58" fillId="0" borderId="12" xfId="73" applyFont="1" applyFill="1" applyBorder="1" applyAlignment="1">
      <alignment horizontal="center" vertical="center" wrapText="1"/>
      <protection/>
    </xf>
    <xf numFmtId="0" fontId="33" fillId="0" borderId="23" xfId="0" applyFont="1" applyFill="1" applyBorder="1" applyAlignment="1">
      <alignment horizontal="left"/>
    </xf>
    <xf numFmtId="0" fontId="33" fillId="0" borderId="44" xfId="0" applyFont="1" applyFill="1" applyBorder="1" applyAlignment="1">
      <alignment horizontal="left"/>
    </xf>
    <xf numFmtId="0" fontId="33" fillId="0" borderId="35" xfId="0" applyFont="1" applyFill="1" applyBorder="1" applyAlignment="1">
      <alignment horizontal="left"/>
    </xf>
    <xf numFmtId="3" fontId="31" fillId="0" borderId="14" xfId="67" applyNumberFormat="1" applyFont="1" applyFill="1" applyBorder="1">
      <alignment/>
      <protection/>
    </xf>
    <xf numFmtId="0" fontId="0" fillId="0" borderId="0" xfId="67" applyFill="1" applyBorder="1">
      <alignment/>
      <protection/>
    </xf>
    <xf numFmtId="0" fontId="1" fillId="0" borderId="0" xfId="73" applyFill="1">
      <alignment/>
      <protection/>
    </xf>
    <xf numFmtId="0" fontId="1" fillId="0" borderId="19" xfId="73" applyFill="1" applyBorder="1">
      <alignment/>
      <protection/>
    </xf>
    <xf numFmtId="0" fontId="61" fillId="0" borderId="0" xfId="73" applyFont="1" applyFill="1" applyAlignment="1">
      <alignment vertical="center"/>
      <protection/>
    </xf>
    <xf numFmtId="0" fontId="1" fillId="0" borderId="0" xfId="73" applyFont="1" applyFill="1">
      <alignment/>
      <protection/>
    </xf>
    <xf numFmtId="0" fontId="1" fillId="0" borderId="13" xfId="73" applyFill="1" applyBorder="1">
      <alignment/>
      <protection/>
    </xf>
    <xf numFmtId="0" fontId="1" fillId="0" borderId="11" xfId="73" applyFill="1" applyBorder="1">
      <alignment/>
      <protection/>
    </xf>
    <xf numFmtId="1" fontId="1" fillId="0" borderId="12" xfId="73" applyNumberFormat="1" applyFont="1" applyFill="1" applyBorder="1" applyAlignment="1">
      <alignment horizontal="right" vertical="center"/>
      <protection/>
    </xf>
    <xf numFmtId="3" fontId="1" fillId="0" borderId="12" xfId="73" applyNumberFormat="1" applyFont="1" applyFill="1" applyBorder="1" applyAlignment="1">
      <alignment vertical="center" wrapText="1"/>
      <protection/>
    </xf>
    <xf numFmtId="1" fontId="1" fillId="0" borderId="12" xfId="73" applyNumberFormat="1" applyFill="1" applyBorder="1" applyAlignment="1">
      <alignment vertical="center"/>
      <protection/>
    </xf>
    <xf numFmtId="0" fontId="62" fillId="0" borderId="12" xfId="73" applyFont="1" applyFill="1" applyBorder="1" applyAlignment="1">
      <alignment horizontal="left" vertical="center" wrapText="1"/>
      <protection/>
    </xf>
    <xf numFmtId="0" fontId="1" fillId="0" borderId="12" xfId="73" applyFont="1" applyFill="1" applyBorder="1" applyAlignment="1">
      <alignment horizontal="right" vertical="center"/>
      <protection/>
    </xf>
    <xf numFmtId="2" fontId="1" fillId="0" borderId="12" xfId="73" applyNumberFormat="1" applyFont="1" applyFill="1" applyBorder="1" applyAlignment="1">
      <alignment vertical="center"/>
      <protection/>
    </xf>
    <xf numFmtId="0" fontId="0" fillId="0" borderId="32" xfId="0" applyFont="1" applyFill="1" applyBorder="1"/>
    <xf numFmtId="0" fontId="1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" fontId="1" fillId="0" borderId="12" xfId="73" applyNumberFormat="1" applyFont="1" applyFill="1" applyBorder="1" applyAlignment="1">
      <alignment vertical="center"/>
      <protection/>
    </xf>
    <xf numFmtId="3" fontId="1" fillId="0" borderId="11" xfId="73" applyNumberFormat="1" applyFont="1" applyFill="1" applyBorder="1" applyAlignment="1">
      <alignment vertical="center"/>
      <protection/>
    </xf>
    <xf numFmtId="3" fontId="0" fillId="0" borderId="12" xfId="0" applyNumberFormat="1" applyFont="1" applyFill="1" applyBorder="1" applyAlignment="1">
      <alignment vertical="center"/>
    </xf>
    <xf numFmtId="0" fontId="1" fillId="0" borderId="12" xfId="73" applyFill="1" applyBorder="1">
      <alignment/>
      <protection/>
    </xf>
    <xf numFmtId="0" fontId="11" fillId="0" borderId="12" xfId="73" applyFont="1" applyFill="1" applyBorder="1" applyAlignment="1">
      <alignment vertical="center"/>
      <protection/>
    </xf>
    <xf numFmtId="3" fontId="1" fillId="0" borderId="0" xfId="73" applyNumberFormat="1" applyFill="1">
      <alignment/>
      <protection/>
    </xf>
    <xf numFmtId="0" fontId="55" fillId="0" borderId="0" xfId="73" applyFont="1" applyFill="1">
      <alignment/>
      <protection/>
    </xf>
    <xf numFmtId="0" fontId="57" fillId="0" borderId="0" xfId="73" applyFont="1" applyFill="1" applyAlignment="1">
      <alignment horizontal="center" vertical="center"/>
      <protection/>
    </xf>
    <xf numFmtId="0" fontId="1" fillId="0" borderId="39" xfId="73" applyFill="1" applyBorder="1">
      <alignment/>
      <protection/>
    </xf>
    <xf numFmtId="0" fontId="58" fillId="0" borderId="23" xfId="73" applyFont="1" applyFill="1" applyBorder="1" applyAlignment="1">
      <alignment horizontal="center" vertical="center" wrapText="1"/>
      <protection/>
    </xf>
    <xf numFmtId="0" fontId="1" fillId="0" borderId="34" xfId="73" applyFill="1" applyBorder="1">
      <alignment/>
      <protection/>
    </xf>
    <xf numFmtId="1" fontId="11" fillId="0" borderId="12" xfId="73" applyNumberFormat="1" applyFont="1" applyFill="1" applyBorder="1" applyAlignment="1">
      <alignment horizontal="center" vertical="center"/>
      <protection/>
    </xf>
    <xf numFmtId="0" fontId="58" fillId="0" borderId="11" xfId="73" applyFont="1" applyFill="1" applyBorder="1" applyAlignment="1">
      <alignment vertical="center"/>
      <protection/>
    </xf>
    <xf numFmtId="0" fontId="59" fillId="0" borderId="11" xfId="73" applyFont="1" applyFill="1" applyBorder="1" applyAlignment="1">
      <alignment vertical="center"/>
      <protection/>
    </xf>
    <xf numFmtId="0" fontId="59" fillId="0" borderId="11" xfId="73" applyFont="1" applyFill="1" applyBorder="1" applyAlignment="1">
      <alignment vertical="center" wrapText="1"/>
      <protection/>
    </xf>
    <xf numFmtId="0" fontId="59" fillId="0" borderId="12" xfId="73" applyFont="1" applyFill="1" applyBorder="1" applyAlignment="1">
      <alignment vertical="center"/>
      <protection/>
    </xf>
    <xf numFmtId="0" fontId="58" fillId="0" borderId="12" xfId="73" applyFont="1" applyFill="1" applyBorder="1" applyAlignment="1">
      <alignment vertical="center"/>
      <protection/>
    </xf>
    <xf numFmtId="0" fontId="59" fillId="0" borderId="12" xfId="73" applyFont="1" applyFill="1" applyBorder="1" applyAlignment="1">
      <alignment vertical="center" wrapText="1"/>
      <protection/>
    </xf>
    <xf numFmtId="0" fontId="11" fillId="0" borderId="12" xfId="73" applyFont="1" applyFill="1" applyBorder="1">
      <alignment/>
      <protection/>
    </xf>
    <xf numFmtId="0" fontId="33" fillId="0" borderId="0" xfId="0" applyFont="1" applyFill="1" applyBorder="1" applyAlignment="1">
      <alignment vertical="center"/>
    </xf>
    <xf numFmtId="1" fontId="1" fillId="0" borderId="12" xfId="73" applyNumberFormat="1" applyFont="1" applyFill="1" applyBorder="1" applyAlignment="1">
      <alignment horizontal="center" vertical="center"/>
      <protection/>
    </xf>
    <xf numFmtId="3" fontId="31" fillId="0" borderId="12" xfId="73" applyNumberFormat="1" applyFont="1" applyFill="1" applyBorder="1" applyAlignment="1">
      <alignment vertical="center"/>
      <protection/>
    </xf>
    <xf numFmtId="0" fontId="56" fillId="0" borderId="12" xfId="73" applyFont="1" applyFill="1" applyBorder="1" applyAlignment="1">
      <alignment vertical="center"/>
      <protection/>
    </xf>
    <xf numFmtId="0" fontId="1" fillId="0" borderId="0" xfId="65" applyFont="1" applyFill="1" applyAlignment="1">
      <alignment horizontal="center"/>
      <protection/>
    </xf>
    <xf numFmtId="0" fontId="1" fillId="0" borderId="0" xfId="65" applyFill="1" applyAlignment="1">
      <alignment horizontal="center"/>
      <protection/>
    </xf>
    <xf numFmtId="0" fontId="49" fillId="0" borderId="0" xfId="65" applyFont="1" applyFill="1" applyAlignment="1">
      <alignment horizontal="center" vertical="center"/>
      <protection/>
    </xf>
    <xf numFmtId="0" fontId="11" fillId="0" borderId="0" xfId="65" applyFont="1" applyFill="1" applyAlignment="1">
      <alignment horizontal="center" vertical="center"/>
      <protection/>
    </xf>
    <xf numFmtId="0" fontId="1" fillId="0" borderId="19" xfId="65" applyFill="1" applyBorder="1">
      <alignment/>
      <protection/>
    </xf>
    <xf numFmtId="0" fontId="11" fillId="0" borderId="0" xfId="65" applyFont="1" applyFill="1" applyAlignment="1">
      <alignment horizontal="right"/>
      <protection/>
    </xf>
    <xf numFmtId="0" fontId="1" fillId="0" borderId="0" xfId="65" applyFill="1" applyBorder="1">
      <alignment/>
      <protection/>
    </xf>
    <xf numFmtId="0" fontId="37" fillId="0" borderId="12" xfId="65" applyFont="1" applyFill="1" applyBorder="1" applyAlignment="1">
      <alignment vertical="center"/>
      <protection/>
    </xf>
    <xf numFmtId="3" fontId="31" fillId="0" borderId="12" xfId="65" applyNumberFormat="1" applyFont="1" applyFill="1" applyBorder="1">
      <alignment/>
      <protection/>
    </xf>
    <xf numFmtId="3" fontId="37" fillId="0" borderId="0" xfId="65" applyNumberFormat="1" applyFont="1" applyFill="1" applyBorder="1">
      <alignment/>
      <protection/>
    </xf>
    <xf numFmtId="0" fontId="37" fillId="0" borderId="0" xfId="65" applyFont="1" applyFill="1" applyBorder="1" applyAlignment="1">
      <alignment vertical="center"/>
      <protection/>
    </xf>
    <xf numFmtId="0" fontId="11" fillId="0" borderId="19" xfId="65" applyFont="1" applyFill="1" applyBorder="1">
      <alignment/>
      <protection/>
    </xf>
    <xf numFmtId="0" fontId="11" fillId="0" borderId="19" xfId="65" applyFont="1" applyFill="1" applyBorder="1" applyAlignment="1">
      <alignment horizontal="right"/>
      <protection/>
    </xf>
    <xf numFmtId="0" fontId="11" fillId="0" borderId="0" xfId="65" applyFont="1" applyFill="1" applyBorder="1" applyAlignment="1">
      <alignment horizontal="right"/>
      <protection/>
    </xf>
    <xf numFmtId="0" fontId="31" fillId="0" borderId="12" xfId="65" applyFont="1" applyFill="1" applyBorder="1" applyAlignment="1">
      <alignment horizontal="center"/>
      <protection/>
    </xf>
    <xf numFmtId="0" fontId="31" fillId="0" borderId="13" xfId="65" applyFont="1" applyFill="1" applyBorder="1" applyAlignment="1">
      <alignment horizontal="center"/>
      <protection/>
    </xf>
    <xf numFmtId="0" fontId="31" fillId="0" borderId="16" xfId="65" applyFont="1" applyFill="1" applyBorder="1" applyAlignment="1">
      <alignment horizontal="center"/>
      <protection/>
    </xf>
    <xf numFmtId="0" fontId="0" fillId="0" borderId="35" xfId="0" applyFill="1" applyBorder="1" applyAlignment="1">
      <alignment/>
    </xf>
    <xf numFmtId="3" fontId="37" fillId="0" borderId="12" xfId="65" applyNumberFormat="1" applyFont="1" applyFill="1" applyBorder="1" applyAlignment="1">
      <alignment horizontal="right"/>
      <protection/>
    </xf>
    <xf numFmtId="3" fontId="37" fillId="0" borderId="23" xfId="65" applyNumberFormat="1" applyFont="1" applyFill="1" applyBorder="1" applyAlignment="1">
      <alignment horizontal="right"/>
      <protection/>
    </xf>
    <xf numFmtId="3" fontId="37" fillId="0" borderId="13" xfId="65" applyNumberFormat="1" applyFont="1" applyFill="1" applyBorder="1" applyAlignment="1">
      <alignment horizontal="right"/>
      <protection/>
    </xf>
    <xf numFmtId="3" fontId="37" fillId="0" borderId="16" xfId="65" applyNumberFormat="1" applyFont="1" applyFill="1" applyBorder="1" applyAlignment="1">
      <alignment horizontal="right"/>
      <protection/>
    </xf>
    <xf numFmtId="0" fontId="1" fillId="0" borderId="16" xfId="65" applyFill="1" applyBorder="1">
      <alignment/>
      <protection/>
    </xf>
    <xf numFmtId="0" fontId="37" fillId="0" borderId="16" xfId="65" applyFont="1" applyFill="1" applyBorder="1">
      <alignment/>
      <protection/>
    </xf>
    <xf numFmtId="0" fontId="37" fillId="0" borderId="23" xfId="0" applyFont="1" applyFill="1" applyBorder="1" applyAlignment="1">
      <alignment horizontal="left"/>
    </xf>
    <xf numFmtId="0" fontId="37" fillId="0" borderId="35" xfId="0" applyFont="1" applyFill="1" applyBorder="1" applyAlignment="1">
      <alignment horizontal="left"/>
    </xf>
    <xf numFmtId="3" fontId="0" fillId="0" borderId="12" xfId="0" applyNumberFormat="1" applyFill="1" applyBorder="1" applyAlignment="1">
      <alignment/>
    </xf>
    <xf numFmtId="3" fontId="0" fillId="0" borderId="12" xfId="0" applyNumberFormat="1" applyFont="1" applyFill="1" applyBorder="1"/>
    <xf numFmtId="3" fontId="0" fillId="0" borderId="12" xfId="0" applyNumberFormat="1" applyFill="1" applyBorder="1"/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/>
    <xf numFmtId="0" fontId="2" fillId="0" borderId="0" xfId="0" applyFont="1" applyFill="1" applyAlignment="1">
      <alignment horizontal="centerContinuous"/>
    </xf>
    <xf numFmtId="9" fontId="3" fillId="0" borderId="10" xfId="0" applyNumberFormat="1" applyFont="1" applyFill="1" applyBorder="1"/>
    <xf numFmtId="3" fontId="7" fillId="0" borderId="10" xfId="64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3" fontId="3" fillId="0" borderId="10" xfId="64" applyNumberFormat="1" applyFont="1" applyFill="1" applyBorder="1" applyAlignment="1">
      <alignment horizontal="right"/>
    </xf>
    <xf numFmtId="3" fontId="41" fillId="0" borderId="10" xfId="64" applyNumberFormat="1" applyFont="1" applyFill="1" applyBorder="1" applyAlignment="1">
      <alignment horizontal="right"/>
    </xf>
    <xf numFmtId="3" fontId="2" fillId="0" borderId="10" xfId="0" applyNumberFormat="1" applyFont="1" applyFill="1" applyBorder="1"/>
    <xf numFmtId="3" fontId="5" fillId="0" borderId="10" xfId="0" applyNumberFormat="1" applyFont="1" applyFill="1" applyBorder="1"/>
    <xf numFmtId="3" fontId="3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/>
    <xf numFmtId="0" fontId="2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2" fillId="0" borderId="12" xfId="45" applyNumberFormat="1" applyFont="1" applyFill="1" applyBorder="1" applyAlignment="1">
      <alignment horizontal="right"/>
    </xf>
    <xf numFmtId="0" fontId="2" fillId="0" borderId="0" xfId="0" applyFont="1" applyFill="1" applyBorder="1"/>
    <xf numFmtId="3" fontId="2" fillId="0" borderId="12" xfId="0" applyNumberFormat="1" applyFont="1" applyFill="1" applyBorder="1" applyAlignment="1">
      <alignment horizontal="right"/>
    </xf>
    <xf numFmtId="0" fontId="0" fillId="0" borderId="10" xfId="0" applyFill="1" applyBorder="1"/>
    <xf numFmtId="3" fontId="5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/>
    <xf numFmtId="3" fontId="41" fillId="0" borderId="10" xfId="0" applyNumberFormat="1" applyFont="1" applyFill="1" applyBorder="1"/>
    <xf numFmtId="3" fontId="2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/>
    <xf numFmtId="3" fontId="0" fillId="0" borderId="10" xfId="0" applyNumberFormat="1" applyFill="1" applyBorder="1"/>
    <xf numFmtId="3" fontId="7" fillId="0" borderId="40" xfId="0" applyNumberFormat="1" applyFont="1" applyFill="1" applyBorder="1"/>
    <xf numFmtId="3" fontId="3" fillId="0" borderId="4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41" fillId="0" borderId="14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41" fillId="0" borderId="11" xfId="0" applyNumberFormat="1" applyFont="1" applyFill="1" applyBorder="1" applyAlignment="1">
      <alignment horizontal="right"/>
    </xf>
    <xf numFmtId="3" fontId="41" fillId="0" borderId="21" xfId="0" applyNumberFormat="1" applyFont="1" applyFill="1" applyBorder="1" applyAlignment="1">
      <alignment horizontal="right"/>
    </xf>
    <xf numFmtId="3" fontId="41" fillId="0" borderId="12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 vertical="center"/>
    </xf>
    <xf numFmtId="0" fontId="11" fillId="0" borderId="19" xfId="54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right"/>
      <protection/>
    </xf>
    <xf numFmtId="0" fontId="34" fillId="0" borderId="11" xfId="54" applyFont="1" applyFill="1" applyBorder="1">
      <alignment/>
      <protection/>
    </xf>
    <xf numFmtId="3" fontId="34" fillId="0" borderId="32" xfId="54" applyNumberFormat="1" applyFont="1" applyFill="1" applyBorder="1">
      <alignment/>
      <protection/>
    </xf>
    <xf numFmtId="0" fontId="34" fillId="0" borderId="32" xfId="54" applyFont="1" applyFill="1" applyBorder="1">
      <alignment/>
      <protection/>
    </xf>
    <xf numFmtId="3" fontId="34" fillId="0" borderId="23" xfId="0" applyNumberFormat="1" applyFont="1" applyFill="1" applyBorder="1"/>
    <xf numFmtId="0" fontId="34" fillId="0" borderId="23" xfId="54" applyFont="1" applyFill="1" applyBorder="1">
      <alignment/>
      <protection/>
    </xf>
    <xf numFmtId="3" fontId="35" fillId="0" borderId="12" xfId="54" applyNumberFormat="1" applyFont="1" applyFill="1" applyBorder="1">
      <alignment/>
      <protection/>
    </xf>
    <xf numFmtId="0" fontId="36" fillId="0" borderId="23" xfId="54" applyFont="1" applyFill="1" applyBorder="1">
      <alignment/>
      <protection/>
    </xf>
    <xf numFmtId="3" fontId="35" fillId="0" borderId="21" xfId="54" applyNumberFormat="1" applyFont="1" applyFill="1" applyBorder="1">
      <alignment/>
      <protection/>
    </xf>
    <xf numFmtId="0" fontId="34" fillId="0" borderId="15" xfId="55" applyFont="1" applyFill="1" applyBorder="1" applyAlignment="1">
      <alignment/>
      <protection/>
    </xf>
    <xf numFmtId="3" fontId="34" fillId="0" borderId="14" xfId="54" applyNumberFormat="1" applyFont="1" applyFill="1" applyBorder="1">
      <alignment/>
      <protection/>
    </xf>
    <xf numFmtId="0" fontId="35" fillId="0" borderId="11" xfId="55" applyFont="1" applyFill="1" applyBorder="1" applyAlignment="1">
      <alignment/>
      <protection/>
    </xf>
    <xf numFmtId="3" fontId="35" fillId="0" borderId="32" xfId="54" applyNumberFormat="1" applyFont="1" applyFill="1" applyBorder="1">
      <alignment/>
      <protection/>
    </xf>
    <xf numFmtId="3" fontId="47" fillId="0" borderId="12" xfId="0" applyNumberFormat="1" applyFont="1" applyFill="1" applyBorder="1"/>
    <xf numFmtId="0" fontId="35" fillId="0" borderId="21" xfId="55" applyFont="1" applyFill="1" applyBorder="1" applyAlignment="1">
      <alignment/>
      <protection/>
    </xf>
    <xf numFmtId="0" fontId="31" fillId="0" borderId="15" xfId="55" applyFont="1" applyFill="1" applyBorder="1" applyAlignment="1">
      <alignment/>
      <protection/>
    </xf>
    <xf numFmtId="3" fontId="34" fillId="0" borderId="15" xfId="54" applyNumberFormat="1" applyFont="1" applyFill="1" applyBorder="1">
      <alignment/>
      <protection/>
    </xf>
    <xf numFmtId="0" fontId="35" fillId="0" borderId="18" xfId="55" applyFont="1" applyFill="1" applyBorder="1" applyAlignment="1">
      <alignment/>
      <protection/>
    </xf>
    <xf numFmtId="0" fontId="34" fillId="0" borderId="16" xfId="54" applyFont="1" applyFill="1" applyBorder="1">
      <alignment/>
      <protection/>
    </xf>
    <xf numFmtId="3" fontId="35" fillId="0" borderId="40" xfId="54" applyNumberFormat="1" applyFont="1" applyFill="1" applyBorder="1">
      <alignment/>
      <protection/>
    </xf>
    <xf numFmtId="3" fontId="35" fillId="0" borderId="39" xfId="54" applyNumberFormat="1" applyFont="1" applyFill="1" applyBorder="1">
      <alignment/>
      <protection/>
    </xf>
    <xf numFmtId="3" fontId="35" fillId="0" borderId="0" xfId="54" applyNumberFormat="1" applyFont="1" applyFill="1" applyBorder="1">
      <alignment/>
      <protection/>
    </xf>
    <xf numFmtId="3" fontId="35" fillId="0" borderId="20" xfId="54" applyNumberFormat="1" applyFont="1" applyFill="1" applyBorder="1">
      <alignment/>
      <protection/>
    </xf>
    <xf numFmtId="0" fontId="35" fillId="0" borderId="16" xfId="54" applyFont="1" applyFill="1" applyBorder="1">
      <alignment/>
      <protection/>
    </xf>
    <xf numFmtId="0" fontId="35" fillId="0" borderId="0" xfId="54" applyFont="1" applyFill="1" applyBorder="1">
      <alignment/>
      <protection/>
    </xf>
    <xf numFmtId="0" fontId="35" fillId="0" borderId="20" xfId="54" applyFont="1" applyFill="1" applyBorder="1">
      <alignment/>
      <protection/>
    </xf>
    <xf numFmtId="0" fontId="35" fillId="0" borderId="13" xfId="56" applyFont="1" applyFill="1" applyBorder="1" applyAlignment="1">
      <alignment/>
      <protection/>
    </xf>
    <xf numFmtId="0" fontId="35" fillId="0" borderId="15" xfId="55" applyFont="1" applyFill="1" applyBorder="1" applyAlignment="1">
      <alignment/>
      <protection/>
    </xf>
    <xf numFmtId="3" fontId="35" fillId="0" borderId="15" xfId="54" applyNumberFormat="1" applyFont="1" applyFill="1" applyBorder="1">
      <alignment/>
      <protection/>
    </xf>
    <xf numFmtId="0" fontId="31" fillId="0" borderId="29" xfId="55" applyFont="1" applyFill="1" applyBorder="1" applyAlignment="1">
      <alignment/>
      <protection/>
    </xf>
    <xf numFmtId="3" fontId="34" fillId="0" borderId="29" xfId="54" applyNumberFormat="1" applyFont="1" applyFill="1" applyBorder="1">
      <alignment/>
      <protection/>
    </xf>
    <xf numFmtId="0" fontId="35" fillId="0" borderId="46" xfId="54" applyFont="1" applyFill="1" applyBorder="1">
      <alignment/>
      <protection/>
    </xf>
    <xf numFmtId="0" fontId="35" fillId="0" borderId="47" xfId="54" applyFont="1" applyFill="1" applyBorder="1">
      <alignment/>
      <protection/>
    </xf>
    <xf numFmtId="0" fontId="35" fillId="0" borderId="48" xfId="54" applyFont="1" applyFill="1" applyBorder="1">
      <alignment/>
      <protection/>
    </xf>
    <xf numFmtId="0" fontId="40" fillId="0" borderId="28" xfId="55" applyFont="1" applyFill="1" applyBorder="1" applyAlignment="1">
      <alignment/>
      <protection/>
    </xf>
    <xf numFmtId="3" fontId="34" fillId="0" borderId="46" xfId="54" applyNumberFormat="1" applyFont="1" applyFill="1" applyBorder="1">
      <alignment/>
      <protection/>
    </xf>
    <xf numFmtId="0" fontId="32" fillId="0" borderId="46" xfId="54" applyFont="1" applyFill="1" applyBorder="1" applyAlignment="1">
      <alignment vertical="center"/>
      <protection/>
    </xf>
    <xf numFmtId="3" fontId="34" fillId="0" borderId="27" xfId="54" applyNumberFormat="1" applyFont="1" applyFill="1" applyBorder="1">
      <alignment/>
      <protection/>
    </xf>
    <xf numFmtId="3" fontId="35" fillId="0" borderId="45" xfId="54" applyNumberFormat="1" applyFont="1" applyFill="1" applyBorder="1">
      <alignment/>
      <protection/>
    </xf>
    <xf numFmtId="0" fontId="35" fillId="0" borderId="49" xfId="54" applyFont="1" applyFill="1" applyBorder="1">
      <alignment/>
      <protection/>
    </xf>
    <xf numFmtId="0" fontId="35" fillId="0" borderId="50" xfId="54" applyFont="1" applyFill="1" applyBorder="1">
      <alignment/>
      <protection/>
    </xf>
    <xf numFmtId="3" fontId="35" fillId="0" borderId="16" xfId="54" applyNumberFormat="1" applyFont="1" applyFill="1" applyBorder="1">
      <alignment/>
      <protection/>
    </xf>
    <xf numFmtId="0" fontId="35" fillId="0" borderId="34" xfId="54" applyFont="1" applyFill="1" applyBorder="1">
      <alignment/>
      <protection/>
    </xf>
    <xf numFmtId="0" fontId="35" fillId="0" borderId="23" xfId="54" applyFont="1" applyFill="1" applyBorder="1">
      <alignment/>
      <protection/>
    </xf>
    <xf numFmtId="0" fontId="35" fillId="0" borderId="32" xfId="54" applyFont="1" applyFill="1" applyBorder="1">
      <alignment/>
      <protection/>
    </xf>
    <xf numFmtId="0" fontId="35" fillId="0" borderId="12" xfId="54" applyFont="1" applyFill="1" applyBorder="1">
      <alignment/>
      <protection/>
    </xf>
    <xf numFmtId="3" fontId="35" fillId="0" borderId="18" xfId="54" applyNumberFormat="1" applyFont="1" applyFill="1" applyBorder="1">
      <alignment/>
      <protection/>
    </xf>
    <xf numFmtId="0" fontId="35" fillId="0" borderId="40" xfId="54" applyFont="1" applyFill="1" applyBorder="1">
      <alignment/>
      <protection/>
    </xf>
    <xf numFmtId="0" fontId="35" fillId="0" borderId="39" xfId="54" applyFont="1" applyFill="1" applyBorder="1">
      <alignment/>
      <protection/>
    </xf>
    <xf numFmtId="0" fontId="35" fillId="0" borderId="10" xfId="55" applyFont="1" applyFill="1" applyBorder="1" applyAlignment="1">
      <alignment/>
      <protection/>
    </xf>
    <xf numFmtId="3" fontId="35" fillId="0" borderId="10" xfId="54" applyNumberFormat="1" applyFont="1" applyFill="1" applyBorder="1">
      <alignment/>
      <protection/>
    </xf>
    <xf numFmtId="3" fontId="34" fillId="0" borderId="0" xfId="54" applyNumberFormat="1" applyFont="1" applyFill="1" applyBorder="1">
      <alignment/>
      <protection/>
    </xf>
    <xf numFmtId="3" fontId="34" fillId="0" borderId="20" xfId="54" applyNumberFormat="1" applyFont="1" applyFill="1" applyBorder="1">
      <alignment/>
      <protection/>
    </xf>
    <xf numFmtId="0" fontId="0" fillId="0" borderId="16" xfId="0" applyFill="1" applyBorder="1"/>
    <xf numFmtId="0" fontId="35" fillId="0" borderId="14" xfId="55" applyFont="1" applyFill="1" applyBorder="1" applyAlignment="1">
      <alignment/>
      <protection/>
    </xf>
    <xf numFmtId="0" fontId="0" fillId="0" borderId="46" xfId="0" applyFill="1" applyBorder="1"/>
    <xf numFmtId="3" fontId="35" fillId="0" borderId="47" xfId="54" applyNumberFormat="1" applyFont="1" applyFill="1" applyBorder="1">
      <alignment/>
      <protection/>
    </xf>
    <xf numFmtId="3" fontId="35" fillId="0" borderId="48" xfId="54" applyNumberFormat="1" applyFont="1" applyFill="1" applyBorder="1">
      <alignment/>
      <protection/>
    </xf>
    <xf numFmtId="0" fontId="40" fillId="0" borderId="27" xfId="55" applyFont="1" applyFill="1" applyBorder="1" applyAlignment="1">
      <alignment vertical="center"/>
      <protection/>
    </xf>
    <xf numFmtId="3" fontId="32" fillId="0" borderId="46" xfId="54" applyNumberFormat="1" applyFont="1" applyFill="1" applyBorder="1" applyAlignment="1">
      <alignment vertical="center"/>
      <protection/>
    </xf>
    <xf numFmtId="0" fontId="32" fillId="0" borderId="51" xfId="54" applyFont="1" applyFill="1" applyBorder="1" applyAlignment="1">
      <alignment vertical="center"/>
      <protection/>
    </xf>
    <xf numFmtId="3" fontId="32" fillId="0" borderId="27" xfId="54" applyNumberFormat="1" applyFont="1" applyFill="1" applyBorder="1" applyAlignment="1">
      <alignment vertical="center"/>
      <protection/>
    </xf>
    <xf numFmtId="0" fontId="35" fillId="0" borderId="0" xfId="54" applyFont="1" applyFill="1">
      <alignment/>
      <protection/>
    </xf>
    <xf numFmtId="0" fontId="35" fillId="0" borderId="13" xfId="55" applyFont="1" applyFill="1" applyBorder="1" applyAlignment="1">
      <alignment/>
      <protection/>
    </xf>
    <xf numFmtId="0" fontId="35" fillId="0" borderId="17" xfId="54" applyFont="1" applyFill="1" applyBorder="1">
      <alignment/>
      <protection/>
    </xf>
    <xf numFmtId="0" fontId="35" fillId="0" borderId="52" xfId="55" applyFont="1" applyFill="1" applyBorder="1" applyAlignment="1">
      <alignment/>
      <protection/>
    </xf>
    <xf numFmtId="3" fontId="35" fillId="0" borderId="27" xfId="54" applyNumberFormat="1" applyFont="1" applyFill="1" applyBorder="1">
      <alignment/>
      <protection/>
    </xf>
    <xf numFmtId="0" fontId="32" fillId="0" borderId="27" xfId="54" applyFont="1" applyFill="1" applyBorder="1" applyAlignment="1">
      <alignment vertical="center"/>
      <protection/>
    </xf>
    <xf numFmtId="3" fontId="34" fillId="0" borderId="28" xfId="54" applyNumberFormat="1" applyFont="1" applyFill="1" applyBorder="1">
      <alignment/>
      <protection/>
    </xf>
    <xf numFmtId="0" fontId="35" fillId="0" borderId="53" xfId="55" applyFont="1" applyFill="1" applyBorder="1" applyAlignment="1">
      <alignment/>
      <protection/>
    </xf>
    <xf numFmtId="3" fontId="35" fillId="0" borderId="54" xfId="54" applyNumberFormat="1" applyFont="1" applyFill="1" applyBorder="1">
      <alignment/>
      <protection/>
    </xf>
    <xf numFmtId="0" fontId="35" fillId="0" borderId="54" xfId="54" applyFont="1" applyFill="1" applyBorder="1">
      <alignment/>
      <protection/>
    </xf>
    <xf numFmtId="3" fontId="35" fillId="0" borderId="53" xfId="54" applyNumberFormat="1" applyFont="1" applyFill="1" applyBorder="1">
      <alignment/>
      <protection/>
    </xf>
    <xf numFmtId="0" fontId="32" fillId="0" borderId="27" xfId="55" applyFont="1" applyFill="1" applyBorder="1" applyAlignment="1">
      <alignment vertical="center"/>
      <protection/>
    </xf>
    <xf numFmtId="3" fontId="34" fillId="0" borderId="48" xfId="54" applyNumberFormat="1" applyFont="1" applyFill="1" applyBorder="1">
      <alignment/>
      <protection/>
    </xf>
    <xf numFmtId="0" fontId="31" fillId="0" borderId="52" xfId="55" applyFont="1" applyFill="1" applyBorder="1" applyAlignment="1">
      <alignment/>
      <protection/>
    </xf>
    <xf numFmtId="3" fontId="35" fillId="0" borderId="46" xfId="0" applyNumberFormat="1" applyFont="1" applyFill="1" applyBorder="1"/>
    <xf numFmtId="3" fontId="35" fillId="0" borderId="52" xfId="54" applyNumberFormat="1" applyFont="1" applyFill="1" applyBorder="1">
      <alignment/>
      <protection/>
    </xf>
    <xf numFmtId="0" fontId="33" fillId="0" borderId="0" xfId="54" applyFont="1" applyFill="1">
      <alignment/>
      <protection/>
    </xf>
    <xf numFmtId="49" fontId="2" fillId="0" borderId="13" xfId="55" applyNumberFormat="1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>
      <alignment horizontal="center" vertical="center" wrapText="1"/>
    </xf>
    <xf numFmtId="0" fontId="11" fillId="0" borderId="0" xfId="54" applyFont="1" applyFill="1" applyBorder="1" applyAlignment="1">
      <alignment horizontal="center" vertical="center" wrapText="1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13" xfId="54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>
      <alignment horizontal="center" vertical="center"/>
    </xf>
    <xf numFmtId="0" fontId="2" fillId="0" borderId="0" xfId="55" applyFont="1" applyBorder="1" applyAlignment="1">
      <alignment horizontal="center"/>
      <protection/>
    </xf>
    <xf numFmtId="0" fontId="0" fillId="0" borderId="0" xfId="55" applyAlignment="1">
      <alignment/>
      <protection/>
    </xf>
    <xf numFmtId="0" fontId="0" fillId="0" borderId="0" xfId="0" applyAlignment="1">
      <alignment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/>
      <protection/>
    </xf>
    <xf numFmtId="0" fontId="0" fillId="0" borderId="11" xfId="55" applyBorder="1" applyAlignment="1">
      <alignment horizontal="center" vertical="center"/>
      <protection/>
    </xf>
    <xf numFmtId="3" fontId="2" fillId="0" borderId="13" xfId="55" applyNumberFormat="1" applyFont="1" applyBorder="1" applyAlignment="1">
      <alignment horizontal="center" vertical="center"/>
      <protection/>
    </xf>
    <xf numFmtId="49" fontId="2" fillId="0" borderId="13" xfId="55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10" xfId="55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2" fillId="0" borderId="0" xfId="57" applyNumberFormat="1" applyFont="1" applyBorder="1" applyAlignment="1">
      <alignment horizontal="center"/>
      <protection/>
    </xf>
    <xf numFmtId="2" fontId="0" fillId="0" borderId="0" xfId="57" applyNumberFormat="1" applyAlignment="1">
      <alignment/>
      <protection/>
    </xf>
    <xf numFmtId="0" fontId="0" fillId="0" borderId="0" xfId="57" applyAlignment="1">
      <alignment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4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1" fillId="0" borderId="10" xfId="53" applyFill="1" applyBorder="1" applyAlignment="1">
      <alignment horizontal="center" vertical="center"/>
      <protection/>
    </xf>
    <xf numFmtId="0" fontId="1" fillId="0" borderId="14" xfId="53" applyFill="1" applyBorder="1" applyAlignment="1">
      <alignment horizontal="center" vertical="center"/>
      <protection/>
    </xf>
    <xf numFmtId="0" fontId="0" fillId="0" borderId="10" xfId="55" applyFill="1" applyBorder="1" applyAlignment="1">
      <alignment horizontal="center" vertical="center" wrapText="1"/>
      <protection/>
    </xf>
    <xf numFmtId="0" fontId="0" fillId="0" borderId="14" xfId="57" applyFill="1" applyBorder="1" applyAlignment="1">
      <alignment horizont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49" fontId="2" fillId="0" borderId="14" xfId="55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8" fillId="0" borderId="13" xfId="55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7" fillId="0" borderId="23" xfId="65" applyFont="1" applyFill="1" applyBorder="1" applyAlignment="1">
      <alignment/>
      <protection/>
    </xf>
    <xf numFmtId="0" fontId="37" fillId="0" borderId="35" xfId="65" applyFont="1" applyFill="1" applyBorder="1" applyAlignment="1">
      <alignment/>
      <protection/>
    </xf>
    <xf numFmtId="0" fontId="37" fillId="0" borderId="13" xfId="65" applyFont="1" applyFill="1" applyBorder="1" applyAlignment="1">
      <alignment vertical="center"/>
      <protection/>
    </xf>
    <xf numFmtId="0" fontId="37" fillId="0" borderId="11" xfId="65" applyFont="1" applyFill="1" applyBorder="1" applyAlignment="1">
      <alignment vertical="center"/>
      <protection/>
    </xf>
    <xf numFmtId="0" fontId="31" fillId="0" borderId="23" xfId="65" applyFont="1" applyFill="1" applyBorder="1" applyAlignment="1">
      <alignment/>
      <protection/>
    </xf>
    <xf numFmtId="0" fontId="0" fillId="0" borderId="35" xfId="0" applyFill="1" applyBorder="1" applyAlignment="1">
      <alignment/>
    </xf>
    <xf numFmtId="0" fontId="37" fillId="0" borderId="10" xfId="65" applyFont="1" applyFill="1" applyBorder="1" applyAlignment="1">
      <alignment vertical="center"/>
      <protection/>
    </xf>
    <xf numFmtId="0" fontId="11" fillId="0" borderId="0" xfId="65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11" fillId="0" borderId="0" xfId="65" applyFont="1" applyFill="1" applyAlignment="1">
      <alignment/>
      <protection/>
    </xf>
    <xf numFmtId="0" fontId="4" fillId="0" borderId="0" xfId="0" applyFont="1" applyFill="1" applyAlignment="1">
      <alignment/>
    </xf>
    <xf numFmtId="0" fontId="31" fillId="0" borderId="10" xfId="65" applyFont="1" applyFill="1" applyBorder="1" applyAlignment="1">
      <alignment vertical="center" wrapText="1"/>
      <protection/>
    </xf>
    <xf numFmtId="0" fontId="37" fillId="0" borderId="27" xfId="65" applyFont="1" applyFill="1" applyBorder="1" applyAlignment="1">
      <alignment vertical="center" wrapText="1"/>
      <protection/>
    </xf>
    <xf numFmtId="0" fontId="31" fillId="0" borderId="13" xfId="65" applyFont="1" applyFill="1" applyBorder="1" applyAlignment="1">
      <alignment vertical="center" wrapText="1"/>
      <protection/>
    </xf>
    <xf numFmtId="0" fontId="31" fillId="0" borderId="0" xfId="65" applyFont="1" applyFill="1" applyBorder="1" applyAlignment="1">
      <alignment vertical="center" wrapText="1"/>
      <protection/>
    </xf>
    <xf numFmtId="0" fontId="37" fillId="0" borderId="0" xfId="65" applyFont="1" applyFill="1" applyBorder="1" applyAlignment="1">
      <alignment vertical="center" wrapText="1"/>
      <protection/>
    </xf>
    <xf numFmtId="0" fontId="31" fillId="0" borderId="0" xfId="65" applyFont="1" applyBorder="1" applyAlignment="1">
      <alignment vertical="center" wrapText="1"/>
      <protection/>
    </xf>
    <xf numFmtId="0" fontId="37" fillId="0" borderId="0" xfId="65" applyFont="1" applyBorder="1" applyAlignment="1">
      <alignment vertical="center" wrapText="1"/>
      <protection/>
    </xf>
    <xf numFmtId="0" fontId="50" fillId="0" borderId="33" xfId="72" applyFont="1" applyBorder="1" applyAlignment="1">
      <alignment horizontal="center" vertical="center"/>
      <protection/>
    </xf>
    <xf numFmtId="0" fontId="50" fillId="0" borderId="16" xfId="72" applyFont="1" applyBorder="1" applyAlignment="1">
      <alignment horizontal="center" vertical="center"/>
      <protection/>
    </xf>
    <xf numFmtId="0" fontId="1" fillId="0" borderId="16" xfId="72" applyBorder="1" applyAlignment="1">
      <alignment horizontal="center" vertical="center"/>
      <protection/>
    </xf>
    <xf numFmtId="0" fontId="1" fillId="0" borderId="30" xfId="72" applyBorder="1" applyAlignment="1">
      <alignment horizontal="center" vertical="center"/>
      <protection/>
    </xf>
    <xf numFmtId="0" fontId="52" fillId="0" borderId="42" xfId="72" applyFont="1" applyBorder="1" applyAlignment="1">
      <alignment horizontal="center" vertical="center" wrapText="1"/>
      <protection/>
    </xf>
    <xf numFmtId="0" fontId="52" fillId="0" borderId="37" xfId="72" applyFont="1" applyBorder="1" applyAlignment="1">
      <alignment horizontal="center" vertical="center" wrapText="1"/>
      <protection/>
    </xf>
    <xf numFmtId="0" fontId="52" fillId="0" borderId="0" xfId="72" applyFont="1" applyBorder="1" applyAlignment="1">
      <alignment horizontal="center" vertical="center" wrapText="1"/>
      <protection/>
    </xf>
    <xf numFmtId="0" fontId="52" fillId="0" borderId="20" xfId="72" applyFont="1" applyBorder="1" applyAlignment="1">
      <alignment horizontal="center" vertical="center" wrapText="1"/>
      <protection/>
    </xf>
    <xf numFmtId="0" fontId="53" fillId="0" borderId="0" xfId="72" applyFont="1" applyBorder="1" applyAlignment="1">
      <alignment horizontal="center" vertical="center" wrapText="1"/>
      <protection/>
    </xf>
    <xf numFmtId="0" fontId="53" fillId="0" borderId="20" xfId="72" applyFont="1" applyBorder="1" applyAlignment="1">
      <alignment horizontal="center" vertical="center" wrapText="1"/>
      <protection/>
    </xf>
    <xf numFmtId="0" fontId="53" fillId="0" borderId="41" xfId="72" applyFont="1" applyBorder="1" applyAlignment="1">
      <alignment horizontal="center" vertical="center" wrapText="1"/>
      <protection/>
    </xf>
    <xf numFmtId="0" fontId="53" fillId="0" borderId="22" xfId="72" applyFont="1" applyBorder="1" applyAlignment="1">
      <alignment horizontal="center" vertical="center" wrapText="1"/>
      <protection/>
    </xf>
    <xf numFmtId="0" fontId="50" fillId="0" borderId="25" xfId="72" applyFont="1" applyBorder="1" applyAlignment="1">
      <alignment horizontal="center" vertical="center"/>
      <protection/>
    </xf>
    <xf numFmtId="0" fontId="50" fillId="0" borderId="14" xfId="72" applyFont="1" applyBorder="1" applyAlignment="1">
      <alignment horizontal="center" vertical="center"/>
      <protection/>
    </xf>
    <xf numFmtId="0" fontId="50" fillId="0" borderId="10" xfId="72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50" fillId="0" borderId="33" xfId="72" applyFont="1" applyBorder="1" applyAlignment="1">
      <alignment horizontal="center" vertical="center" wrapText="1"/>
      <protection/>
    </xf>
    <xf numFmtId="0" fontId="50" fillId="0" borderId="37" xfId="72" applyFont="1" applyBorder="1" applyAlignment="1">
      <alignment horizontal="center" vertical="center" wrapText="1"/>
      <protection/>
    </xf>
    <xf numFmtId="0" fontId="50" fillId="0" borderId="16" xfId="72" applyFont="1" applyBorder="1" applyAlignment="1">
      <alignment horizontal="center" vertical="center" wrapText="1"/>
      <protection/>
    </xf>
    <xf numFmtId="0" fontId="50" fillId="0" borderId="20" xfId="72" applyFont="1" applyBorder="1" applyAlignment="1">
      <alignment horizontal="center" vertical="center" wrapText="1"/>
      <protection/>
    </xf>
    <xf numFmtId="0" fontId="1" fillId="0" borderId="16" xfId="72" applyBorder="1" applyAlignment="1">
      <alignment horizontal="center" vertical="center" wrapText="1"/>
      <protection/>
    </xf>
    <xf numFmtId="0" fontId="1" fillId="0" borderId="20" xfId="72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0" fillId="0" borderId="13" xfId="72" applyFont="1" applyBorder="1" applyAlignment="1">
      <alignment horizontal="center" vertical="center"/>
      <protection/>
    </xf>
    <xf numFmtId="0" fontId="40" fillId="0" borderId="13" xfId="72" applyFont="1" applyBorder="1" applyAlignment="1">
      <alignment horizontal="center" vertical="center" wrapText="1"/>
      <protection/>
    </xf>
    <xf numFmtId="0" fontId="40" fillId="0" borderId="14" xfId="72" applyFont="1" applyBorder="1" applyAlignment="1">
      <alignment horizontal="center" vertical="center" wrapText="1"/>
      <protection/>
    </xf>
    <xf numFmtId="0" fontId="11" fillId="0" borderId="0" xfId="72" applyFont="1" applyAlignment="1">
      <alignment horizontal="center"/>
      <protection/>
    </xf>
    <xf numFmtId="0" fontId="32" fillId="0" borderId="0" xfId="72" applyFont="1" applyAlignment="1">
      <alignment horizontal="center" vertical="center" wrapText="1"/>
      <protection/>
    </xf>
    <xf numFmtId="0" fontId="40" fillId="0" borderId="13" xfId="72" applyFont="1" applyBorder="1" applyAlignment="1">
      <alignment horizontal="center" vertical="center"/>
      <protection/>
    </xf>
    <xf numFmtId="0" fontId="40" fillId="0" borderId="11" xfId="72" applyFont="1" applyBorder="1" applyAlignment="1">
      <alignment horizontal="center" vertical="center"/>
      <protection/>
    </xf>
    <xf numFmtId="0" fontId="40" fillId="0" borderId="17" xfId="72" applyFont="1" applyBorder="1" applyAlignment="1">
      <alignment horizontal="center" vertical="center"/>
      <protection/>
    </xf>
    <xf numFmtId="0" fontId="40" fillId="0" borderId="39" xfId="72" applyFont="1" applyBorder="1" applyAlignment="1">
      <alignment horizontal="center" vertical="center"/>
      <protection/>
    </xf>
    <xf numFmtId="0" fontId="40" fillId="0" borderId="32" xfId="72" applyFont="1" applyBorder="1" applyAlignment="1">
      <alignment horizontal="center" vertical="center"/>
      <protection/>
    </xf>
    <xf numFmtId="0" fontId="40" fillId="0" borderId="34" xfId="72" applyFont="1" applyBorder="1" applyAlignment="1">
      <alignment horizontal="center" vertical="center"/>
      <protection/>
    </xf>
    <xf numFmtId="0" fontId="40" fillId="0" borderId="40" xfId="72" applyFont="1" applyBorder="1" applyAlignment="1">
      <alignment horizontal="center" vertical="center"/>
      <protection/>
    </xf>
    <xf numFmtId="0" fontId="40" fillId="0" borderId="30" xfId="72" applyFont="1" applyBorder="1" applyAlignment="1">
      <alignment horizontal="center" vertical="center"/>
      <protection/>
    </xf>
    <xf numFmtId="0" fontId="40" fillId="0" borderId="41" xfId="72" applyFont="1" applyBorder="1" applyAlignment="1">
      <alignment horizontal="center" vertical="center"/>
      <protection/>
    </xf>
    <xf numFmtId="0" fontId="40" fillId="0" borderId="22" xfId="72" applyFont="1" applyBorder="1" applyAlignment="1">
      <alignment horizontal="center" vertical="center"/>
      <protection/>
    </xf>
    <xf numFmtId="0" fontId="11" fillId="0" borderId="13" xfId="70" applyFont="1" applyBorder="1" applyAlignment="1">
      <alignment horizontal="right" vertical="center"/>
      <protection/>
    </xf>
    <xf numFmtId="0" fontId="11" fillId="0" borderId="11" xfId="70" applyFont="1" applyBorder="1" applyAlignment="1">
      <alignment horizontal="right" vertical="center"/>
      <protection/>
    </xf>
    <xf numFmtId="0" fontId="1" fillId="0" borderId="13" xfId="70" applyFont="1" applyBorder="1" applyAlignment="1">
      <alignment/>
      <protection/>
    </xf>
    <xf numFmtId="0" fontId="1" fillId="0" borderId="11" xfId="70" applyBorder="1" applyAlignment="1">
      <alignment/>
      <protection/>
    </xf>
    <xf numFmtId="0" fontId="11" fillId="0" borderId="17" xfId="70" applyFont="1" applyBorder="1" applyAlignment="1">
      <alignment vertical="center"/>
      <protection/>
    </xf>
    <xf numFmtId="0" fontId="11" fillId="0" borderId="40" xfId="70" applyFont="1" applyBorder="1" applyAlignment="1">
      <alignment vertical="center"/>
      <protection/>
    </xf>
    <xf numFmtId="0" fontId="11" fillId="0" borderId="39" xfId="70" applyFont="1" applyBorder="1" applyAlignment="1">
      <alignment vertical="center"/>
      <protection/>
    </xf>
    <xf numFmtId="0" fontId="11" fillId="0" borderId="32" xfId="70" applyFont="1" applyBorder="1" applyAlignment="1">
      <alignment vertical="center"/>
      <protection/>
    </xf>
    <xf numFmtId="0" fontId="11" fillId="0" borderId="19" xfId="70" applyFont="1" applyBorder="1" applyAlignment="1">
      <alignment vertical="center"/>
      <protection/>
    </xf>
    <xf numFmtId="0" fontId="11" fillId="0" borderId="34" xfId="70" applyFont="1" applyBorder="1" applyAlignment="1">
      <alignment vertical="center"/>
      <protection/>
    </xf>
    <xf numFmtId="0" fontId="1" fillId="0" borderId="10" xfId="70" applyFont="1" applyBorder="1" applyAlignment="1">
      <alignment/>
      <protection/>
    </xf>
    <xf numFmtId="0" fontId="1" fillId="0" borderId="17" xfId="70" applyFont="1" applyBorder="1" applyAlignment="1">
      <alignment/>
      <protection/>
    </xf>
    <xf numFmtId="0" fontId="1" fillId="0" borderId="40" xfId="70" applyBorder="1" applyAlignment="1">
      <alignment/>
      <protection/>
    </xf>
    <xf numFmtId="0" fontId="1" fillId="0" borderId="39" xfId="70" applyBorder="1" applyAlignment="1">
      <alignment/>
      <protection/>
    </xf>
    <xf numFmtId="0" fontId="1" fillId="0" borderId="32" xfId="70" applyBorder="1" applyAlignment="1">
      <alignment/>
      <protection/>
    </xf>
    <xf numFmtId="0" fontId="1" fillId="0" borderId="19" xfId="70" applyBorder="1" applyAlignment="1">
      <alignment/>
      <protection/>
    </xf>
    <xf numFmtId="0" fontId="1" fillId="0" borderId="34" xfId="70" applyBorder="1" applyAlignment="1">
      <alignment/>
      <protection/>
    </xf>
    <xf numFmtId="0" fontId="1" fillId="0" borderId="13" xfId="70" applyBorder="1" applyAlignment="1">
      <alignment horizontal="right" vertical="center"/>
      <protection/>
    </xf>
    <xf numFmtId="0" fontId="1" fillId="0" borderId="11" xfId="70" applyBorder="1" applyAlignment="1">
      <alignment horizontal="right" vertical="center"/>
      <protection/>
    </xf>
    <xf numFmtId="0" fontId="11" fillId="0" borderId="17" xfId="70" applyFont="1" applyBorder="1" applyAlignment="1">
      <alignment horizontal="left" vertical="center"/>
      <protection/>
    </xf>
    <xf numFmtId="0" fontId="11" fillId="0" borderId="40" xfId="70" applyFont="1" applyBorder="1" applyAlignment="1">
      <alignment horizontal="left" vertical="center"/>
      <protection/>
    </xf>
    <xf numFmtId="0" fontId="11" fillId="0" borderId="39" xfId="70" applyFont="1" applyBorder="1" applyAlignment="1">
      <alignment horizontal="left" vertical="center"/>
      <protection/>
    </xf>
    <xf numFmtId="0" fontId="11" fillId="0" borderId="32" xfId="70" applyFont="1" applyBorder="1" applyAlignment="1">
      <alignment horizontal="left" vertical="center"/>
      <protection/>
    </xf>
    <xf numFmtId="0" fontId="11" fillId="0" borderId="19" xfId="70" applyFont="1" applyBorder="1" applyAlignment="1">
      <alignment horizontal="left" vertical="center"/>
      <protection/>
    </xf>
    <xf numFmtId="0" fontId="11" fillId="0" borderId="34" xfId="70" applyFont="1" applyBorder="1" applyAlignment="1">
      <alignment horizontal="left" vertical="center"/>
      <protection/>
    </xf>
    <xf numFmtId="0" fontId="11" fillId="0" borderId="17" xfId="70" applyFont="1" applyBorder="1" applyAlignment="1">
      <alignment/>
      <protection/>
    </xf>
    <xf numFmtId="0" fontId="11" fillId="0" borderId="40" xfId="70" applyFont="1" applyBorder="1" applyAlignment="1">
      <alignment/>
      <protection/>
    </xf>
    <xf numFmtId="0" fontId="11" fillId="0" borderId="39" xfId="70" applyFont="1" applyBorder="1" applyAlignment="1">
      <alignment/>
      <protection/>
    </xf>
    <xf numFmtId="0" fontId="11" fillId="0" borderId="32" xfId="70" applyFont="1" applyBorder="1" applyAlignment="1">
      <alignment/>
      <protection/>
    </xf>
    <xf numFmtId="0" fontId="11" fillId="0" borderId="19" xfId="70" applyFont="1" applyBorder="1" applyAlignment="1">
      <alignment/>
      <protection/>
    </xf>
    <xf numFmtId="0" fontId="11" fillId="0" borderId="34" xfId="70" applyFont="1" applyBorder="1" applyAlignment="1">
      <alignment/>
      <protection/>
    </xf>
    <xf numFmtId="0" fontId="1" fillId="0" borderId="17" xfId="70" applyFont="1" applyBorder="1" applyAlignment="1">
      <alignment wrapText="1"/>
      <protection/>
    </xf>
    <xf numFmtId="0" fontId="1" fillId="0" borderId="40" xfId="70" applyBorder="1" applyAlignment="1">
      <alignment wrapText="1"/>
      <protection/>
    </xf>
    <xf numFmtId="0" fontId="1" fillId="0" borderId="39" xfId="70" applyBorder="1" applyAlignment="1">
      <alignment wrapText="1"/>
      <protection/>
    </xf>
    <xf numFmtId="0" fontId="1" fillId="0" borderId="32" xfId="70" applyBorder="1" applyAlignment="1">
      <alignment wrapText="1"/>
      <protection/>
    </xf>
    <xf numFmtId="0" fontId="1" fillId="0" borderId="19" xfId="70" applyBorder="1" applyAlignment="1">
      <alignment wrapText="1"/>
      <protection/>
    </xf>
    <xf numFmtId="0" fontId="1" fillId="0" borderId="34" xfId="70" applyBorder="1" applyAlignment="1">
      <alignment wrapText="1"/>
      <protection/>
    </xf>
    <xf numFmtId="0" fontId="11" fillId="0" borderId="0" xfId="70" applyFont="1" applyAlignment="1">
      <alignment horizontal="center"/>
      <protection/>
    </xf>
    <xf numFmtId="0" fontId="4" fillId="0" borderId="0" xfId="68" applyFont="1" applyAlignment="1">
      <alignment horizontal="center"/>
      <protection/>
    </xf>
    <xf numFmtId="0" fontId="1" fillId="0" borderId="0" xfId="70" applyAlignment="1">
      <alignment/>
      <protection/>
    </xf>
    <xf numFmtId="0" fontId="11" fillId="0" borderId="13" xfId="70" applyFont="1" applyBorder="1" applyAlignment="1">
      <alignment vertical="center"/>
      <protection/>
    </xf>
    <xf numFmtId="0" fontId="11" fillId="0" borderId="10" xfId="70" applyFont="1" applyBorder="1" applyAlignment="1">
      <alignment vertical="center"/>
      <protection/>
    </xf>
    <xf numFmtId="0" fontId="11" fillId="0" borderId="11" xfId="70" applyFont="1" applyBorder="1" applyAlignment="1">
      <alignment vertical="center"/>
      <protection/>
    </xf>
    <xf numFmtId="0" fontId="11" fillId="0" borderId="17" xfId="70" applyFont="1" applyBorder="1" applyAlignment="1">
      <alignment vertical="center" wrapText="1"/>
      <protection/>
    </xf>
    <xf numFmtId="0" fontId="11" fillId="0" borderId="40" xfId="70" applyFont="1" applyBorder="1" applyAlignment="1">
      <alignment vertical="center" wrapText="1"/>
      <protection/>
    </xf>
    <xf numFmtId="0" fontId="11" fillId="0" borderId="39" xfId="70" applyFont="1" applyBorder="1" applyAlignment="1">
      <alignment vertical="center" wrapText="1"/>
      <protection/>
    </xf>
    <xf numFmtId="0" fontId="11" fillId="0" borderId="16" xfId="70" applyFont="1" applyBorder="1" applyAlignment="1">
      <alignment vertical="center" wrapText="1"/>
      <protection/>
    </xf>
    <xf numFmtId="0" fontId="11" fillId="0" borderId="0" xfId="70" applyFont="1" applyBorder="1" applyAlignment="1">
      <alignment vertical="center" wrapText="1"/>
      <protection/>
    </xf>
    <xf numFmtId="0" fontId="11" fillId="0" borderId="20" xfId="70" applyFont="1" applyBorder="1" applyAlignment="1">
      <alignment vertical="center" wrapText="1"/>
      <protection/>
    </xf>
    <xf numFmtId="0" fontId="11" fillId="0" borderId="13" xfId="70" applyFont="1" applyBorder="1" applyAlignment="1">
      <alignment horizontal="center" vertical="center" wrapText="1"/>
      <protection/>
    </xf>
    <xf numFmtId="0" fontId="1" fillId="0" borderId="10" xfId="70" applyBorder="1" applyAlignment="1">
      <alignment horizontal="center" wrapText="1"/>
      <protection/>
    </xf>
    <xf numFmtId="0" fontId="1" fillId="0" borderId="11" xfId="70" applyBorder="1" applyAlignment="1">
      <alignment horizontal="center" wrapText="1"/>
      <protection/>
    </xf>
    <xf numFmtId="0" fontId="11" fillId="0" borderId="23" xfId="70" applyFont="1" applyBorder="1" applyAlignment="1">
      <alignment horizontal="center"/>
      <protection/>
    </xf>
    <xf numFmtId="0" fontId="11" fillId="0" borderId="44" xfId="70" applyFont="1" applyBorder="1" applyAlignment="1">
      <alignment horizontal="center"/>
      <protection/>
    </xf>
    <xf numFmtId="0" fontId="1" fillId="0" borderId="44" xfId="70" applyBorder="1" applyAlignment="1">
      <alignment horizontal="center"/>
      <protection/>
    </xf>
    <xf numFmtId="0" fontId="11" fillId="0" borderId="35" xfId="70" applyFont="1" applyBorder="1" applyAlignment="1">
      <alignment horizontal="center"/>
      <protection/>
    </xf>
    <xf numFmtId="0" fontId="1" fillId="0" borderId="13" xfId="70" applyFont="1" applyBorder="1" applyAlignment="1">
      <alignment horizontal="center" vertical="center" wrapText="1"/>
      <protection/>
    </xf>
    <xf numFmtId="0" fontId="1" fillId="0" borderId="10" xfId="70" applyBorder="1" applyAlignment="1">
      <alignment horizontal="center" vertical="center" wrapText="1"/>
      <protection/>
    </xf>
    <xf numFmtId="0" fontId="1" fillId="0" borderId="11" xfId="70" applyBorder="1" applyAlignment="1">
      <alignment horizontal="center" vertical="center" wrapText="1"/>
      <protection/>
    </xf>
    <xf numFmtId="0" fontId="1" fillId="0" borderId="0" xfId="70" applyFont="1" applyBorder="1" applyAlignment="1">
      <alignment horizontal="center" vertical="center" wrapText="1"/>
      <protection/>
    </xf>
    <xf numFmtId="0" fontId="1" fillId="0" borderId="19" xfId="70" applyBorder="1" applyAlignment="1">
      <alignment horizontal="center" vertical="center" wrapText="1"/>
      <protection/>
    </xf>
    <xf numFmtId="0" fontId="43" fillId="0" borderId="0" xfId="67" applyFont="1" applyAlignment="1">
      <alignment horizontal="center" vertical="center"/>
      <protection/>
    </xf>
    <xf numFmtId="0" fontId="11" fillId="0" borderId="0" xfId="74" applyFont="1" applyAlignment="1">
      <alignment horizontal="center" vertical="center"/>
      <protection/>
    </xf>
    <xf numFmtId="0" fontId="11" fillId="0" borderId="13" xfId="74" applyFont="1" applyBorder="1" applyAlignment="1">
      <alignment horizontal="center" vertical="center"/>
      <protection/>
    </xf>
    <xf numFmtId="0" fontId="11" fillId="0" borderId="11" xfId="74" applyFont="1" applyBorder="1" applyAlignment="1">
      <alignment horizontal="center" vertical="center"/>
      <protection/>
    </xf>
    <xf numFmtId="0" fontId="12" fillId="0" borderId="40" xfId="74" applyFont="1" applyBorder="1" applyAlignment="1">
      <alignment horizontal="center" vertical="center"/>
      <protection/>
    </xf>
    <xf numFmtId="0" fontId="12" fillId="0" borderId="19" xfId="74" applyFont="1" applyBorder="1" applyAlignment="1">
      <alignment horizontal="center" vertical="center"/>
      <protection/>
    </xf>
    <xf numFmtId="0" fontId="12" fillId="0" borderId="23" xfId="74" applyFont="1" applyBorder="1" applyAlignment="1">
      <alignment horizontal="center" vertical="center"/>
      <protection/>
    </xf>
    <xf numFmtId="0" fontId="12" fillId="0" borderId="35" xfId="74" applyFont="1" applyBorder="1" applyAlignment="1">
      <alignment horizontal="center" vertical="center"/>
      <protection/>
    </xf>
    <xf numFmtId="0" fontId="58" fillId="0" borderId="17" xfId="73" applyFont="1" applyFill="1" applyBorder="1" applyAlignment="1">
      <alignment horizontal="center" vertical="center" wrapText="1"/>
      <protection/>
    </xf>
    <xf numFmtId="0" fontId="58" fillId="0" borderId="32" xfId="73" applyFont="1" applyFill="1" applyBorder="1" applyAlignment="1">
      <alignment horizontal="center" vertical="center" wrapText="1"/>
      <protection/>
    </xf>
    <xf numFmtId="0" fontId="58" fillId="0" borderId="13" xfId="73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11" fillId="0" borderId="13" xfId="73" applyFont="1" applyFill="1" applyBorder="1" applyAlignment="1">
      <alignment vertical="center" wrapText="1"/>
      <protection/>
    </xf>
    <xf numFmtId="0" fontId="0" fillId="0" borderId="11" xfId="0" applyFill="1" applyBorder="1" applyAlignment="1">
      <alignment vertical="center"/>
    </xf>
    <xf numFmtId="0" fontId="49" fillId="0" borderId="0" xfId="73" applyFont="1" applyFill="1" applyAlignment="1">
      <alignment horizontal="center" vertical="center"/>
      <protection/>
    </xf>
    <xf numFmtId="0" fontId="56" fillId="0" borderId="0" xfId="73" applyFont="1" applyFill="1" applyAlignment="1">
      <alignment horizontal="center" vertical="center"/>
      <protection/>
    </xf>
    <xf numFmtId="0" fontId="58" fillId="0" borderId="11" xfId="73" applyFont="1" applyFill="1" applyBorder="1" applyAlignment="1">
      <alignment horizontal="center" vertical="center" wrapText="1"/>
      <protection/>
    </xf>
    <xf numFmtId="49" fontId="2" fillId="0" borderId="13" xfId="75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8" fillId="0" borderId="39" xfId="73" applyFont="1" applyFill="1" applyBorder="1" applyAlignment="1">
      <alignment horizontal="center" vertical="center" wrapText="1"/>
      <protection/>
    </xf>
    <xf numFmtId="0" fontId="58" fillId="0" borderId="34" xfId="73" applyFont="1" applyFill="1" applyBorder="1" applyAlignment="1">
      <alignment horizontal="center" vertical="center" wrapText="1"/>
      <protection/>
    </xf>
    <xf numFmtId="0" fontId="58" fillId="0" borderId="23" xfId="73" applyFont="1" applyFill="1" applyBorder="1" applyAlignment="1">
      <alignment horizontal="center" vertical="center" wrapText="1"/>
      <protection/>
    </xf>
    <xf numFmtId="0" fontId="58" fillId="0" borderId="35" xfId="73" applyFont="1" applyFill="1" applyBorder="1" applyAlignment="1">
      <alignment horizontal="center" vertical="center" wrapText="1"/>
      <protection/>
    </xf>
    <xf numFmtId="0" fontId="58" fillId="0" borderId="44" xfId="73" applyFont="1" applyFill="1" applyBorder="1" applyAlignment="1">
      <alignment horizontal="center" vertical="center" wrapText="1"/>
      <protection/>
    </xf>
    <xf numFmtId="0" fontId="58" fillId="0" borderId="12" xfId="73" applyFont="1" applyFill="1" applyBorder="1" applyAlignment="1">
      <alignment horizontal="center" vertical="center" wrapText="1"/>
      <protection/>
    </xf>
    <xf numFmtId="0" fontId="1" fillId="0" borderId="11" xfId="73" applyFill="1" applyBorder="1" applyAlignment="1">
      <alignment horizontal="center" vertical="center" wrapText="1"/>
      <protection/>
    </xf>
    <xf numFmtId="0" fontId="11" fillId="0" borderId="0" xfId="73" applyFont="1" applyFill="1" applyAlignment="1">
      <alignment horizontal="center" vertical="center" wrapText="1"/>
      <protection/>
    </xf>
    <xf numFmtId="0" fontId="57" fillId="0" borderId="0" xfId="73" applyFont="1" applyFill="1" applyAlignment="1">
      <alignment horizontal="center" vertical="center"/>
      <protection/>
    </xf>
    <xf numFmtId="0" fontId="57" fillId="0" borderId="0" xfId="73" applyFont="1" applyFill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3" fontId="37" fillId="0" borderId="13" xfId="67" applyNumberFormat="1" applyFont="1" applyFill="1" applyBorder="1" applyAlignment="1">
      <alignment vertical="center"/>
      <protection/>
    </xf>
    <xf numFmtId="3" fontId="37" fillId="0" borderId="14" xfId="66" applyNumberFormat="1" applyFont="1" applyFill="1" applyBorder="1" applyAlignment="1">
      <alignment vertical="center"/>
      <protection/>
    </xf>
    <xf numFmtId="3" fontId="1" fillId="0" borderId="11" xfId="66" applyNumberFormat="1" applyFont="1" applyFill="1" applyBorder="1" applyAlignment="1">
      <alignment vertical="center"/>
      <protection/>
    </xf>
    <xf numFmtId="3" fontId="31" fillId="0" borderId="13" xfId="67" applyNumberFormat="1" applyFont="1" applyBorder="1" applyAlignment="1">
      <alignment vertical="center"/>
      <protection/>
    </xf>
    <xf numFmtId="3" fontId="31" fillId="0" borderId="14" xfId="67" applyNumberFormat="1" applyFont="1" applyBorder="1" applyAlignment="1">
      <alignment vertical="center"/>
      <protection/>
    </xf>
    <xf numFmtId="3" fontId="31" fillId="0" borderId="11" xfId="67" applyNumberFormat="1" applyFont="1" applyBorder="1" applyAlignment="1">
      <alignment vertical="center"/>
      <protection/>
    </xf>
    <xf numFmtId="0" fontId="33" fillId="0" borderId="17" xfId="67" applyFont="1" applyBorder="1" applyAlignment="1">
      <alignment vertical="center" wrapText="1"/>
      <protection/>
    </xf>
    <xf numFmtId="0" fontId="33" fillId="0" borderId="39" xfId="66" applyFont="1" applyBorder="1" applyAlignment="1">
      <alignment vertical="center" wrapText="1"/>
      <protection/>
    </xf>
    <xf numFmtId="0" fontId="33" fillId="0" borderId="32" xfId="66" applyFont="1" applyBorder="1" applyAlignment="1">
      <alignment vertical="center" wrapText="1"/>
      <protection/>
    </xf>
    <xf numFmtId="0" fontId="33" fillId="0" borderId="34" xfId="66" applyFont="1" applyBorder="1" applyAlignment="1">
      <alignment vertical="center" wrapText="1"/>
      <protection/>
    </xf>
    <xf numFmtId="3" fontId="37" fillId="0" borderId="13" xfId="67" applyNumberFormat="1" applyFont="1" applyBorder="1" applyAlignment="1">
      <alignment vertical="center"/>
      <protection/>
    </xf>
    <xf numFmtId="3" fontId="1" fillId="0" borderId="11" xfId="66" applyNumberFormat="1" applyFont="1" applyBorder="1" applyAlignment="1">
      <alignment vertical="center"/>
      <protection/>
    </xf>
    <xf numFmtId="0" fontId="33" fillId="0" borderId="30" xfId="66" applyFont="1" applyBorder="1" applyAlignment="1">
      <alignment vertical="center" wrapText="1"/>
      <protection/>
    </xf>
    <xf numFmtId="0" fontId="33" fillId="0" borderId="22" xfId="66" applyFont="1" applyBorder="1" applyAlignment="1">
      <alignment vertical="center" wrapText="1"/>
      <protection/>
    </xf>
    <xf numFmtId="3" fontId="37" fillId="0" borderId="14" xfId="66" applyNumberFormat="1" applyFont="1" applyBorder="1" applyAlignment="1">
      <alignment vertical="center"/>
      <protection/>
    </xf>
    <xf numFmtId="3" fontId="37" fillId="0" borderId="11" xfId="66" applyNumberFormat="1" applyFont="1" applyBorder="1" applyAlignment="1">
      <alignment vertical="center"/>
      <protection/>
    </xf>
    <xf numFmtId="3" fontId="37" fillId="0" borderId="11" xfId="66" applyNumberFormat="1" applyFont="1" applyFill="1" applyBorder="1" applyAlignment="1">
      <alignment vertical="center"/>
      <protection/>
    </xf>
    <xf numFmtId="3" fontId="31" fillId="0" borderId="13" xfId="67" applyNumberFormat="1" applyFont="1" applyFill="1" applyBorder="1" applyAlignment="1">
      <alignment vertical="center"/>
      <protection/>
    </xf>
    <xf numFmtId="3" fontId="31" fillId="0" borderId="11" xfId="67" applyNumberFormat="1" applyFont="1" applyFill="1" applyBorder="1" applyAlignment="1">
      <alignment vertical="center"/>
      <protection/>
    </xf>
    <xf numFmtId="3" fontId="37" fillId="0" borderId="10" xfId="67" applyNumberFormat="1" applyFont="1" applyBorder="1" applyAlignment="1">
      <alignment vertical="center"/>
      <protection/>
    </xf>
    <xf numFmtId="3" fontId="37" fillId="0" borderId="11" xfId="67" applyNumberFormat="1" applyFont="1" applyBorder="1" applyAlignment="1">
      <alignment vertical="center"/>
      <protection/>
    </xf>
    <xf numFmtId="0" fontId="33" fillId="0" borderId="16" xfId="67" applyFont="1" applyBorder="1" applyAlignment="1">
      <alignment vertical="center" wrapText="1"/>
      <protection/>
    </xf>
    <xf numFmtId="0" fontId="33" fillId="0" borderId="20" xfId="66" applyFont="1" applyBorder="1" applyAlignment="1">
      <alignment vertical="center" wrapText="1"/>
      <protection/>
    </xf>
    <xf numFmtId="3" fontId="37" fillId="14" borderId="13" xfId="67" applyNumberFormat="1" applyFont="1" applyFill="1" applyBorder="1" applyAlignment="1">
      <alignment vertical="center"/>
      <protection/>
    </xf>
    <xf numFmtId="3" fontId="37" fillId="14" borderId="14" xfId="66" applyNumberFormat="1" applyFont="1" applyFill="1" applyBorder="1" applyAlignment="1">
      <alignment vertical="center"/>
      <protection/>
    </xf>
    <xf numFmtId="0" fontId="33" fillId="0" borderId="17" xfId="67" applyFont="1" applyBorder="1" applyAlignment="1">
      <alignment horizontal="left" vertical="center" wrapText="1"/>
      <protection/>
    </xf>
    <xf numFmtId="0" fontId="33" fillId="0" borderId="39" xfId="66" applyFont="1" applyBorder="1" applyAlignment="1">
      <alignment horizontal="left" vertical="center" wrapText="1"/>
      <protection/>
    </xf>
    <xf numFmtId="0" fontId="33" fillId="0" borderId="32" xfId="66" applyFont="1" applyBorder="1" applyAlignment="1">
      <alignment horizontal="left" vertical="center" wrapText="1"/>
      <protection/>
    </xf>
    <xf numFmtId="0" fontId="33" fillId="0" borderId="34" xfId="66" applyFont="1" applyBorder="1" applyAlignment="1">
      <alignment horizontal="left" vertical="center" wrapText="1"/>
      <protection/>
    </xf>
    <xf numFmtId="0" fontId="0" fillId="0" borderId="0" xfId="67" applyFont="1" applyAlignment="1">
      <alignment horizontal="center"/>
      <protection/>
    </xf>
    <xf numFmtId="0" fontId="0" fillId="0" borderId="0" xfId="67" applyAlignment="1">
      <alignment horizontal="center"/>
      <protection/>
    </xf>
    <xf numFmtId="0" fontId="0" fillId="0" borderId="0" xfId="67" applyFont="1" applyAlignment="1">
      <alignment horizontal="center"/>
      <protection/>
    </xf>
    <xf numFmtId="0" fontId="32" fillId="0" borderId="30" xfId="67" applyFont="1" applyBorder="1" applyAlignment="1">
      <alignment horizontal="center"/>
      <protection/>
    </xf>
    <xf numFmtId="0" fontId="32" fillId="0" borderId="22" xfId="67" applyFont="1" applyBorder="1" applyAlignment="1">
      <alignment horizontal="center"/>
      <protection/>
    </xf>
    <xf numFmtId="0" fontId="33" fillId="0" borderId="16" xfId="67" applyFont="1" applyBorder="1" applyAlignment="1">
      <alignment horizontal="left" vertical="center" wrapText="1"/>
      <protection/>
    </xf>
    <xf numFmtId="0" fontId="33" fillId="0" borderId="20" xfId="66" applyFont="1" applyBorder="1" applyAlignment="1">
      <alignment horizontal="left" vertical="center" wrapText="1"/>
      <protection/>
    </xf>
    <xf numFmtId="3" fontId="37" fillId="14" borderId="10" xfId="67" applyNumberFormat="1" applyFont="1" applyFill="1" applyBorder="1" applyAlignment="1">
      <alignment vertical="center"/>
      <protection/>
    </xf>
    <xf numFmtId="3" fontId="37" fillId="14" borderId="11" xfId="66" applyNumberFormat="1" applyFont="1" applyFill="1" applyBorder="1" applyAlignment="1">
      <alignment vertical="center"/>
      <protection/>
    </xf>
    <xf numFmtId="3" fontId="31" fillId="0" borderId="10" xfId="67" applyNumberFormat="1" applyFont="1" applyBorder="1" applyAlignment="1">
      <alignment vertical="center"/>
      <protection/>
    </xf>
    <xf numFmtId="3" fontId="32" fillId="0" borderId="12" xfId="71" applyNumberFormat="1" applyFont="1" applyBorder="1" applyAlignment="1">
      <alignment vertical="center"/>
      <protection/>
    </xf>
    <xf numFmtId="3" fontId="32" fillId="0" borderId="52" xfId="71" applyNumberFormat="1" applyFont="1" applyBorder="1" applyAlignment="1">
      <alignment vertical="center"/>
      <protection/>
    </xf>
    <xf numFmtId="0" fontId="32" fillId="0" borderId="45" xfId="71" applyFont="1" applyBorder="1" applyAlignment="1">
      <alignment vertical="center" wrapText="1"/>
      <protection/>
    </xf>
    <xf numFmtId="0" fontId="32" fillId="0" borderId="12" xfId="71" applyFont="1" applyBorder="1" applyAlignment="1">
      <alignment vertical="center" wrapText="1"/>
      <protection/>
    </xf>
    <xf numFmtId="0" fontId="32" fillId="0" borderId="52" xfId="71" applyFont="1" applyBorder="1" applyAlignment="1">
      <alignment vertical="center" wrapText="1"/>
      <protection/>
    </xf>
    <xf numFmtId="3" fontId="32" fillId="0" borderId="45" xfId="71" applyNumberFormat="1" applyFont="1" applyBorder="1" applyAlignment="1">
      <alignment vertical="center"/>
      <protection/>
    </xf>
    <xf numFmtId="3" fontId="32" fillId="0" borderId="12" xfId="71" applyNumberFormat="1" applyFont="1" applyFill="1" applyBorder="1" applyAlignment="1">
      <alignment vertical="center"/>
      <protection/>
    </xf>
    <xf numFmtId="3" fontId="32" fillId="0" borderId="52" xfId="71" applyNumberFormat="1" applyFont="1" applyFill="1" applyBorder="1" applyAlignment="1">
      <alignment vertical="center"/>
      <protection/>
    </xf>
    <xf numFmtId="3" fontId="32" fillId="0" borderId="45" xfId="71" applyNumberFormat="1" applyFont="1" applyFill="1" applyBorder="1" applyAlignment="1">
      <alignment vertical="center"/>
      <protection/>
    </xf>
    <xf numFmtId="3" fontId="33" fillId="0" borderId="12" xfId="71" applyNumberFormat="1" applyFont="1" applyBorder="1" applyAlignment="1">
      <alignment vertical="center"/>
      <protection/>
    </xf>
    <xf numFmtId="0" fontId="33" fillId="0" borderId="12" xfId="71" applyFont="1" applyBorder="1" applyAlignment="1">
      <alignment vertical="center" wrapText="1"/>
      <protection/>
    </xf>
    <xf numFmtId="49" fontId="33" fillId="0" borderId="13" xfId="71" applyNumberFormat="1" applyFont="1" applyBorder="1" applyAlignment="1">
      <alignment horizontal="center" vertical="center"/>
      <protection/>
    </xf>
    <xf numFmtId="49" fontId="33" fillId="0" borderId="10" xfId="71" applyNumberFormat="1" applyFont="1" applyBorder="1" applyAlignment="1">
      <alignment horizontal="center" vertical="center"/>
      <protection/>
    </xf>
    <xf numFmtId="49" fontId="33" fillId="0" borderId="11" xfId="71" applyNumberFormat="1" applyFont="1" applyBorder="1" applyAlignment="1">
      <alignment horizontal="center" vertical="center"/>
      <protection/>
    </xf>
    <xf numFmtId="49" fontId="33" fillId="0" borderId="13" xfId="71" applyNumberFormat="1" applyFont="1" applyFill="1" applyBorder="1" applyAlignment="1">
      <alignment horizontal="center" vertical="center"/>
      <protection/>
    </xf>
    <xf numFmtId="49" fontId="33" fillId="0" borderId="10" xfId="71" applyNumberFormat="1" applyFont="1" applyFill="1" applyBorder="1" applyAlignment="1">
      <alignment horizontal="center" vertical="center"/>
      <protection/>
    </xf>
    <xf numFmtId="49" fontId="33" fillId="0" borderId="11" xfId="71" applyNumberFormat="1" applyFont="1" applyFill="1" applyBorder="1" applyAlignment="1">
      <alignment horizontal="center" vertical="center"/>
      <protection/>
    </xf>
    <xf numFmtId="3" fontId="33" fillId="0" borderId="12" xfId="71" applyNumberFormat="1" applyFont="1" applyFill="1" applyBorder="1" applyAlignment="1">
      <alignment vertical="center"/>
      <protection/>
    </xf>
    <xf numFmtId="0" fontId="11" fillId="0" borderId="0" xfId="71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1" fillId="0" borderId="0" xfId="7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2" fillId="0" borderId="12" xfId="71" applyFont="1" applyBorder="1" applyAlignment="1">
      <alignment horizontal="center" vertical="center"/>
      <protection/>
    </xf>
    <xf numFmtId="0" fontId="32" fillId="0" borderId="13" xfId="71" applyFont="1" applyBorder="1" applyAlignment="1">
      <alignment horizontal="center" vertical="center" wrapText="1"/>
      <protection/>
    </xf>
    <xf numFmtId="0" fontId="32" fillId="0" borderId="11" xfId="71" applyFont="1" applyBorder="1" applyAlignment="1">
      <alignment horizontal="center" vertical="center" wrapText="1"/>
      <protection/>
    </xf>
    <xf numFmtId="0" fontId="32" fillId="0" borderId="12" xfId="71" applyFont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left"/>
    </xf>
    <xf numFmtId="0" fontId="33" fillId="0" borderId="44" xfId="0" applyFont="1" applyFill="1" applyBorder="1" applyAlignment="1">
      <alignment horizontal="left"/>
    </xf>
    <xf numFmtId="0" fontId="33" fillId="0" borderId="35" xfId="0" applyFont="1" applyFill="1" applyBorder="1" applyAlignment="1">
      <alignment horizontal="left"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left"/>
    </xf>
    <xf numFmtId="3" fontId="0" fillId="0" borderId="44" xfId="0" applyNumberFormat="1" applyFont="1" applyFill="1" applyBorder="1" applyAlignment="1">
      <alignment horizontal="left"/>
    </xf>
    <xf numFmtId="3" fontId="0" fillId="0" borderId="35" xfId="0" applyNumberFormat="1" applyFont="1" applyFill="1" applyBorder="1" applyAlignment="1">
      <alignment horizontal="left"/>
    </xf>
    <xf numFmtId="0" fontId="33" fillId="0" borderId="23" xfId="0" applyFont="1" applyFill="1" applyBorder="1" applyAlignment="1">
      <alignment horizontal="left" vertical="center" wrapText="1"/>
    </xf>
    <xf numFmtId="0" fontId="33" fillId="0" borderId="44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left" vertical="center"/>
    </xf>
    <xf numFmtId="0" fontId="33" fillId="0" borderId="44" xfId="0" applyFont="1" applyFill="1" applyBorder="1" applyAlignment="1">
      <alignment horizontal="left" vertical="center"/>
    </xf>
    <xf numFmtId="0" fontId="33" fillId="0" borderId="35" xfId="0" applyFont="1" applyFill="1" applyBorder="1" applyAlignment="1">
      <alignment horizontal="left" vertical="center"/>
    </xf>
    <xf numFmtId="4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3" fontId="32" fillId="14" borderId="13" xfId="0" applyNumberFormat="1" applyFont="1" applyFill="1" applyBorder="1" applyAlignment="1">
      <alignment horizontal="center" vertical="center"/>
    </xf>
    <xf numFmtId="0" fontId="32" fillId="14" borderId="10" xfId="0" applyFont="1" applyFill="1" applyBorder="1" applyAlignment="1">
      <alignment horizontal="center" vertical="center"/>
    </xf>
    <xf numFmtId="0" fontId="32" fillId="14" borderId="11" xfId="0" applyFont="1" applyFill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23" xfId="0" applyFont="1" applyBorder="1" applyAlignment="1">
      <alignment horizontal="left" vertical="center"/>
    </xf>
    <xf numFmtId="0" fontId="33" fillId="0" borderId="44" xfId="0" applyFont="1" applyBorder="1" applyAlignment="1">
      <alignment horizontal="left" vertical="center"/>
    </xf>
    <xf numFmtId="0" fontId="33" fillId="0" borderId="3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" xfId="45"/>
    <cellStyle name="Figyelmeztetés" xfId="46"/>
    <cellStyle name="Hivatkozott cella" xfId="47"/>
    <cellStyle name="Jegyzet" xfId="48"/>
    <cellStyle name="Jó" xfId="49"/>
    <cellStyle name="Kimenet" xfId="50"/>
    <cellStyle name="Magyarázó szöveg" xfId="51"/>
    <cellStyle name="Normál 2" xfId="52"/>
    <cellStyle name="Normál_2.sz. melléklet javított" xfId="53"/>
    <cellStyle name="Normál_2011müködésifelhalmérlegfebr17" xfId="54"/>
    <cellStyle name="Normál_2012éviköltségvetésjan19este" xfId="55"/>
    <cellStyle name="Normál_2012éviköltségvetésjan19este 2" xfId="56"/>
    <cellStyle name="Normál_2014.évi költségvetés tervezés jan11" xfId="57"/>
    <cellStyle name="Normal_KARSZJ3" xfId="58"/>
    <cellStyle name="Normal_KTRSZJ" xfId="59"/>
    <cellStyle name="Összesen" xfId="60"/>
    <cellStyle name="Rossz" xfId="61"/>
    <cellStyle name="Semleges" xfId="62"/>
    <cellStyle name="Számítás" xfId="63"/>
    <cellStyle name="Százalék" xfId="64"/>
    <cellStyle name="Normál_2012koncepcióhozhitel állomány" xfId="65"/>
    <cellStyle name="Normál_10mellütemterv" xfId="66"/>
    <cellStyle name="Normál_2007eredetiköltségvetés" xfId="67"/>
    <cellStyle name="Normál_2008évivéglegesköltségvetésfebr13" xfId="68"/>
    <cellStyle name="Normál_2010koltsegvetesjan13" xfId="69"/>
    <cellStyle name="Normál_2012létszám tábla" xfId="70"/>
    <cellStyle name="Normál_3évsaját bevétel-2013" xfId="71"/>
    <cellStyle name="Normál_eus tábla" xfId="72"/>
    <cellStyle name="Normál_Kötelző feladatok" xfId="73"/>
    <cellStyle name="Normál_közvetett támogatás" xfId="74"/>
    <cellStyle name="Normál_2012éviköltségvetésjan19este 2 2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externalLink" Target="externalLinks/externalLink7.xml" /><Relationship Id="rId31" Type="http://schemas.openxmlformats.org/officeDocument/2006/relationships/externalLink" Target="externalLinks/externalLink8.xml" /><Relationship Id="rId32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3" name="Button 1" hidden="1">
              <a:extLst xmlns:a="http://schemas.openxmlformats.org/drawingml/2006/main"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4" name="Button 2" hidden="1">
              <a:extLst xmlns:a="http://schemas.openxmlformats.org/drawingml/2006/main"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5" name="Button 3" hidden="1">
              <a:extLst xmlns:a="http://schemas.openxmlformats.org/drawingml/2006/main"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6" name="Button 4" hidden="1">
              <a:extLst xmlns:a="http://schemas.openxmlformats.org/drawingml/2006/main"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7" name="Button 5" hidden="1">
              <a:extLst xmlns:a="http://schemas.openxmlformats.org/drawingml/2006/main"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8" name="Button 6" hidden="1">
              <a:extLst xmlns:a="http://schemas.openxmlformats.org/drawingml/2006/main"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799" name="Button 7" hidden="1">
              <a:extLst xmlns:a="http://schemas.openxmlformats.org/drawingml/2006/main"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0" name="Button 8" hidden="1">
              <a:extLst xmlns:a="http://schemas.openxmlformats.org/drawingml/2006/main">
                <a:ext uri="{63B3BB69-23CF-44E3-9099-C40C66FF867C}">
                  <a14:compatExt spid="_x0000_s3380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1" name="Button 9" hidden="1">
              <a:extLst xmlns:a="http://schemas.openxmlformats.org/drawingml/2006/main"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2" name="Button 10" hidden="1">
              <a:extLst xmlns:a="http://schemas.openxmlformats.org/drawingml/2006/main">
                <a:ext uri="{63B3BB69-23CF-44E3-9099-C40C66FF867C}">
                  <a14:compatExt spid="_x0000_s3380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3" name="Button 11" hidden="1">
              <a:extLst xmlns:a="http://schemas.openxmlformats.org/drawingml/2006/main">
                <a:ext uri="{63B3BB69-23CF-44E3-9099-C40C66FF867C}">
                  <a14:compatExt spid="_x0000_s3380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4" name="Button 12" hidden="1">
              <a:extLst xmlns:a="http://schemas.openxmlformats.org/drawingml/2006/main">
                <a:ext uri="{63B3BB69-23CF-44E3-9099-C40C66FF867C}">
                  <a14:compatExt spid="_x0000_s3380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5" name="Button 13" hidden="1">
              <a:extLst xmlns:a="http://schemas.openxmlformats.org/drawingml/2006/main">
                <a:ext uri="{63B3BB69-23CF-44E3-9099-C40C66FF867C}">
                  <a14:compatExt spid="_x0000_s3380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6" name="Button 14" hidden="1">
              <a:extLst xmlns:a="http://schemas.openxmlformats.org/drawingml/2006/main">
                <a:ext uri="{63B3BB69-23CF-44E3-9099-C40C66FF867C}">
                  <a14:compatExt spid="_x0000_s33806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7" name="Button 15" hidden="1">
              <a:extLst xmlns:a="http://schemas.openxmlformats.org/drawingml/2006/main">
                <a:ext uri="{63B3BB69-23CF-44E3-9099-C40C66FF867C}">
                  <a14:compatExt spid="_x0000_s33807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85725</xdr:colOff>
          <xdr:row>0</xdr:row>
          <xdr:rowOff>38100</xdr:rowOff>
        </xdr:from>
        <xdr:to>
          <xdr:col>0</xdr:col>
          <xdr:colOff>247650</xdr:colOff>
          <xdr:row>0</xdr:row>
          <xdr:rowOff>38100</xdr:rowOff>
        </xdr:to>
        <xdr:sp macro="" textlink="">
          <xdr:nvSpPr>
            <xdr:cNvPr id="33808" name="Button 16" hidden="1">
              <a:extLst xmlns:a="http://schemas.openxmlformats.org/drawingml/2006/main">
                <a:ext uri="{63B3BB69-23CF-44E3-9099-C40C66FF867C}">
                  <a14:compatExt spid="_x0000_s33808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1</xdr:col>
          <xdr:colOff>28575</xdr:colOff>
          <xdr:row>0</xdr:row>
          <xdr:rowOff>0</xdr:rowOff>
        </xdr:to>
        <xdr:sp macro="" textlink="">
          <xdr:nvSpPr>
            <xdr:cNvPr id="17409" name="Button 1" hidden="1">
              <a:extLst xmlns:a="http://schemas.openxmlformats.org/drawingml/2006/main"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247650</xdr:colOff>
          <xdr:row>0</xdr:row>
          <xdr:rowOff>0</xdr:rowOff>
        </xdr:from>
        <xdr:to>
          <xdr:col>1</xdr:col>
          <xdr:colOff>276225</xdr:colOff>
          <xdr:row>0</xdr:row>
          <xdr:rowOff>0</xdr:rowOff>
        </xdr:to>
        <xdr:sp macro="" textlink="">
          <xdr:nvSpPr>
            <xdr:cNvPr id="17410" name="Button 2" hidden="1">
              <a:extLst xmlns:a="http://schemas.openxmlformats.org/drawingml/2006/main"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hu-HU" sz="1000" b="0" i="0" u="none" strike="noStrike" baseline="0">
                  <a:solidFill>
                    <a:srgbClr val="000000"/>
                  </a:solidFill>
                  <a:latin typeface="Arial CE"/>
                  <a:cs typeface="Arial CE"/>
                </a:rPr>
                <a:t>Futtat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67\sys\Documents%20and%20Settings\FerencZsoltE\Asztal\Szakmai_ig&#233;nye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rencZsoltE\Asztal\Szakmai_ig&#233;nye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KOZOS\Gl_riportok\Formazott_hide\02RIPOR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8" Type="http://schemas.openxmlformats.org/officeDocument/2006/relationships/ctrlProp" Target="../ctrlProps/ctrlProp5.xml" /><Relationship Id="rId18" Type="http://schemas.openxmlformats.org/officeDocument/2006/relationships/ctrlProp" Target="../ctrlProps/ctrlProp15.xml" /><Relationship Id="rId11" Type="http://schemas.openxmlformats.org/officeDocument/2006/relationships/ctrlProp" Target="../ctrlProps/ctrlProp8.xml" /><Relationship Id="rId17" Type="http://schemas.openxmlformats.org/officeDocument/2006/relationships/ctrlProp" Target="../ctrlProps/ctrlProp14.xml" /><Relationship Id="rId12" Type="http://schemas.openxmlformats.org/officeDocument/2006/relationships/ctrlProp" Target="../ctrlProps/ctrlProp9.xml" /><Relationship Id="rId9" Type="http://schemas.openxmlformats.org/officeDocument/2006/relationships/ctrlProp" Target="../ctrlProps/ctrlProp6.xml" /><Relationship Id="rId16" Type="http://schemas.openxmlformats.org/officeDocument/2006/relationships/ctrlProp" Target="../ctrlProps/ctrlProp13.xml" /><Relationship Id="rId7" Type="http://schemas.openxmlformats.org/officeDocument/2006/relationships/ctrlProp" Target="../ctrlProps/ctrlProp4.xml" /><Relationship Id="rId19" Type="http://schemas.openxmlformats.org/officeDocument/2006/relationships/ctrlProp" Target="../ctrlProps/ctrlProp16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8.xml" /><Relationship Id="rId4" Type="http://schemas.openxmlformats.org/officeDocument/2006/relationships/ctrlProp" Target="../ctrlProps/ctrlProp17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SheetLayoutView="100" workbookViewId="0" topLeftCell="A7">
      <selection activeCell="G14" sqref="G14"/>
    </sheetView>
  </sheetViews>
  <sheetFormatPr defaultColWidth="9.125" defaultRowHeight="12.75"/>
  <cols>
    <col min="1" max="1" width="60.25390625" style="624" customWidth="1"/>
    <col min="2" max="3" width="13.00390625" style="624" customWidth="1"/>
    <col min="4" max="4" width="56.125" style="624" customWidth="1"/>
    <col min="5" max="6" width="11.875" style="624" customWidth="1"/>
    <col min="7" max="16384" width="9.125" style="91" customWidth="1"/>
  </cols>
  <sheetData>
    <row r="1" spans="1:5" ht="12.75">
      <c r="A1" s="1217" t="s">
        <v>81</v>
      </c>
      <c r="B1" s="1217"/>
      <c r="C1" s="1217"/>
      <c r="D1" s="1217"/>
      <c r="E1" s="1217"/>
    </row>
    <row r="2" spans="1:5" ht="12.75" customHeight="1">
      <c r="A2" s="1216" t="s">
        <v>82</v>
      </c>
      <c r="B2" s="1216"/>
      <c r="C2" s="1216"/>
      <c r="D2" s="1216"/>
      <c r="E2" s="1216"/>
    </row>
    <row r="3" spans="1:6" ht="12.75" customHeight="1">
      <c r="A3" s="1134"/>
      <c r="B3" s="1134"/>
      <c r="C3" s="1134"/>
      <c r="D3" s="1134"/>
      <c r="E3" s="1135"/>
      <c r="F3" s="1135" t="s">
        <v>524</v>
      </c>
    </row>
    <row r="4" spans="1:6" ht="12.75" customHeight="1">
      <c r="A4" s="1218" t="s">
        <v>264</v>
      </c>
      <c r="B4" s="1214" t="s">
        <v>1319</v>
      </c>
      <c r="C4" s="1214" t="s">
        <v>1326</v>
      </c>
      <c r="D4" s="1218" t="s">
        <v>265</v>
      </c>
      <c r="E4" s="1214" t="s">
        <v>1319</v>
      </c>
      <c r="F4" s="1214" t="s">
        <v>1326</v>
      </c>
    </row>
    <row r="5" spans="1:6" ht="24.75" customHeight="1" thickBot="1">
      <c r="A5" s="1219"/>
      <c r="B5" s="1215"/>
      <c r="C5" s="1215"/>
      <c r="D5" s="1219"/>
      <c r="E5" s="1215"/>
      <c r="F5" s="1215"/>
    </row>
    <row r="6" spans="1:6" s="143" customFormat="1" ht="12.75" thickTop="1">
      <c r="A6" s="1136"/>
      <c r="B6" s="1137"/>
      <c r="C6" s="1137"/>
      <c r="D6" s="1138" t="s">
        <v>266</v>
      </c>
      <c r="E6" s="632">
        <f>SUM('1c.mell '!C125)</f>
        <v>5721072</v>
      </c>
      <c r="F6" s="632">
        <f>SUM('1c.mell '!D125)</f>
        <v>5875409</v>
      </c>
    </row>
    <row r="7" spans="1:6" s="143" customFormat="1" ht="12">
      <c r="A7" s="819" t="s">
        <v>177</v>
      </c>
      <c r="B7" s="869">
        <f>SUM('1b.mell '!C200)</f>
        <v>3107321</v>
      </c>
      <c r="C7" s="869">
        <f>SUM('1b.mell '!D200)</f>
        <v>3179085</v>
      </c>
      <c r="D7" s="1139" t="s">
        <v>309</v>
      </c>
      <c r="E7" s="632">
        <f>SUM('1c.mell '!C126)</f>
        <v>866219</v>
      </c>
      <c r="F7" s="632">
        <f>SUM('1c.mell '!D126)</f>
        <v>907530</v>
      </c>
    </row>
    <row r="8" spans="1:6" s="143" customFormat="1" ht="12">
      <c r="A8" s="819" t="s">
        <v>181</v>
      </c>
      <c r="B8" s="869">
        <f>SUM('1b.mell '!C17)</f>
        <v>0</v>
      </c>
      <c r="C8" s="869">
        <f>SUM('1b.mell '!D17)</f>
        <v>0</v>
      </c>
      <c r="D8" s="1140" t="s">
        <v>267</v>
      </c>
      <c r="E8" s="1141">
        <f>SUM('1c.mell '!C127)</f>
        <v>5905552</v>
      </c>
      <c r="F8" s="1141">
        <f>SUM('1c.mell '!D127)</f>
        <v>6855098</v>
      </c>
    </row>
    <row r="9" spans="1:6" s="143" customFormat="1" ht="12">
      <c r="A9" s="819" t="s">
        <v>537</v>
      </c>
      <c r="B9" s="869">
        <f>SUM('1b.mell '!C203)</f>
        <v>46601</v>
      </c>
      <c r="C9" s="869">
        <f>SUM('1b.mell '!D203)</f>
        <v>46601</v>
      </c>
      <c r="D9" s="1140" t="s">
        <v>84</v>
      </c>
      <c r="E9" s="1141">
        <f>SUM('1c.mell '!C128)</f>
        <v>200230</v>
      </c>
      <c r="F9" s="1141">
        <f>SUM('1c.mell '!D128)</f>
        <v>203299</v>
      </c>
    </row>
    <row r="10" spans="1:6" s="143" customFormat="1" ht="12">
      <c r="A10" s="819" t="s">
        <v>1177</v>
      </c>
      <c r="B10" s="869">
        <f>SUM('1b.mell '!C202)</f>
        <v>19052</v>
      </c>
      <c r="C10" s="869">
        <f>SUM('1b.mell '!D202)</f>
        <v>19052</v>
      </c>
      <c r="D10" s="1140"/>
      <c r="E10" s="1141"/>
      <c r="F10" s="1141"/>
    </row>
    <row r="11" spans="1:6" s="143" customFormat="1" ht="12">
      <c r="A11" s="819" t="s">
        <v>538</v>
      </c>
      <c r="B11" s="1141">
        <f>SUM('1b.mell '!C204)</f>
        <v>2450</v>
      </c>
      <c r="C11" s="1141">
        <f>SUM('1b.mell '!D204)</f>
        <v>2450</v>
      </c>
      <c r="D11" s="1140" t="s">
        <v>83</v>
      </c>
      <c r="E11" s="1141">
        <f>SUM('1c.mell '!C129)</f>
        <v>2331440</v>
      </c>
      <c r="F11" s="1141">
        <f>SUM('1c.mell '!D129)</f>
        <v>2573801</v>
      </c>
    </row>
    <row r="12" spans="1:6" s="143" customFormat="1" ht="12">
      <c r="A12" s="432" t="s">
        <v>1171</v>
      </c>
      <c r="B12" s="1141">
        <f>SUM('1b.mell '!C205)</f>
        <v>15865</v>
      </c>
      <c r="C12" s="1141">
        <f>SUM('1b.mell '!D205)</f>
        <v>15865</v>
      </c>
      <c r="D12" s="1142" t="s">
        <v>427</v>
      </c>
      <c r="E12" s="959">
        <v>33447</v>
      </c>
      <c r="F12" s="959">
        <v>35000</v>
      </c>
    </row>
    <row r="13" spans="1:6" s="143" customFormat="1" ht="12.75" thickBot="1">
      <c r="A13" s="432"/>
      <c r="B13" s="1143"/>
      <c r="C13" s="1143"/>
      <c r="D13" s="1142" t="s">
        <v>1254</v>
      </c>
      <c r="E13" s="959">
        <v>173268</v>
      </c>
      <c r="F13" s="959">
        <v>330568</v>
      </c>
    </row>
    <row r="14" spans="1:6" s="143" customFormat="1" ht="12.75" thickBot="1">
      <c r="A14" s="1144" t="s">
        <v>182</v>
      </c>
      <c r="B14" s="1145">
        <f>SUM(B7:B13)</f>
        <v>3191289</v>
      </c>
      <c r="C14" s="1145">
        <f>SUM(C7:C13)</f>
        <v>3263053</v>
      </c>
      <c r="D14" s="1142"/>
      <c r="E14" s="959"/>
      <c r="F14" s="959"/>
    </row>
    <row r="15" spans="1:6" s="143" customFormat="1" ht="12">
      <c r="A15" s="1146" t="s">
        <v>183</v>
      </c>
      <c r="B15" s="1147">
        <f>SUM('1b.mell '!C207)</f>
        <v>3859000</v>
      </c>
      <c r="C15" s="1147">
        <f>SUM('1b.mell '!D207)</f>
        <v>3859000</v>
      </c>
      <c r="D15" s="1142"/>
      <c r="E15" s="959"/>
      <c r="F15" s="959"/>
    </row>
    <row r="16" spans="1:6" s="143" customFormat="1" ht="12.75">
      <c r="A16" s="1146" t="s">
        <v>184</v>
      </c>
      <c r="B16" s="632">
        <f>SUM('1b.mell '!C208)</f>
        <v>5296631</v>
      </c>
      <c r="C16" s="632">
        <f>SUM('1b.mell '!D208)</f>
        <v>5296631</v>
      </c>
      <c r="D16" s="1148"/>
      <c r="E16" s="959"/>
      <c r="F16" s="959"/>
    </row>
    <row r="17" spans="1:6" s="143" customFormat="1" ht="13.5" thickBot="1">
      <c r="A17" s="1149" t="s">
        <v>5</v>
      </c>
      <c r="B17" s="1143">
        <f>SUM('1b.mell '!C209)</f>
        <v>742096</v>
      </c>
      <c r="C17" s="1143">
        <f>SUM('1b.mell '!D209)</f>
        <v>742096</v>
      </c>
      <c r="D17" s="1148"/>
      <c r="E17" s="959"/>
      <c r="F17" s="959"/>
    </row>
    <row r="18" spans="1:6" s="143" customFormat="1" ht="13.5" thickBot="1">
      <c r="A18" s="1150" t="s">
        <v>190</v>
      </c>
      <c r="B18" s="1151">
        <f aca="true" t="shared" si="0" ref="B18">SUM(B15:B17)</f>
        <v>9897727</v>
      </c>
      <c r="C18" s="1151">
        <f aca="true" t="shared" si="1" ref="C18">SUM(C15:C17)</f>
        <v>9897727</v>
      </c>
      <c r="D18" s="1148"/>
      <c r="E18" s="1141"/>
      <c r="F18" s="1141"/>
    </row>
    <row r="19" spans="1:6" s="143" customFormat="1" ht="12.75">
      <c r="A19" s="1152" t="s">
        <v>388</v>
      </c>
      <c r="B19" s="632">
        <f>SUM('1b.mell '!C211)</f>
        <v>0</v>
      </c>
      <c r="C19" s="632">
        <f>SUM('1b.mell '!D211)</f>
        <v>0</v>
      </c>
      <c r="D19" s="1148"/>
      <c r="E19" s="959"/>
      <c r="F19" s="959"/>
    </row>
    <row r="20" spans="1:6" s="143" customFormat="1" ht="12.75">
      <c r="A20" s="1146" t="s">
        <v>191</v>
      </c>
      <c r="B20" s="632">
        <f>SUM('1b.mell '!C212)</f>
        <v>1625874</v>
      </c>
      <c r="C20" s="632">
        <f>SUM('1b.mell '!D212)</f>
        <v>1625874</v>
      </c>
      <c r="D20" s="1148"/>
      <c r="E20" s="959"/>
      <c r="F20" s="959"/>
    </row>
    <row r="21" spans="1:6" s="143" customFormat="1" ht="12.75">
      <c r="A21" s="819" t="s">
        <v>192</v>
      </c>
      <c r="B21" s="632">
        <f>SUM('1b.mell '!C213)</f>
        <v>181907</v>
      </c>
      <c r="C21" s="632">
        <f>SUM('1b.mell '!D213)</f>
        <v>181907</v>
      </c>
      <c r="D21" s="1148"/>
      <c r="E21" s="959"/>
      <c r="F21" s="959"/>
    </row>
    <row r="22" spans="1:6" s="143" customFormat="1" ht="12">
      <c r="A22" s="819" t="s">
        <v>72</v>
      </c>
      <c r="B22" s="1141">
        <f>SUM('1b.mell '!C214)</f>
        <v>0</v>
      </c>
      <c r="C22" s="1141">
        <f>SUM('1b.mell '!D214)</f>
        <v>0</v>
      </c>
      <c r="D22" s="1153"/>
      <c r="E22" s="1154"/>
      <c r="F22" s="1155"/>
    </row>
    <row r="23" spans="1:6" s="143" customFormat="1" ht="12">
      <c r="A23" s="819" t="s">
        <v>195</v>
      </c>
      <c r="B23" s="1141">
        <f>SUM('1b.mell '!C215)</f>
        <v>193676</v>
      </c>
      <c r="C23" s="1141">
        <f>SUM('1b.mell '!D215)</f>
        <v>193676</v>
      </c>
      <c r="D23" s="1153"/>
      <c r="E23" s="1156"/>
      <c r="F23" s="1157"/>
    </row>
    <row r="24" spans="1:6" s="143" customFormat="1" ht="12">
      <c r="A24" s="819" t="s">
        <v>196</v>
      </c>
      <c r="B24" s="1141">
        <f>SUM('1b.mell '!C216)</f>
        <v>535382</v>
      </c>
      <c r="C24" s="1141">
        <f>SUM('1b.mell '!D216)</f>
        <v>535382</v>
      </c>
      <c r="D24" s="1158"/>
      <c r="E24" s="1159"/>
      <c r="F24" s="1160"/>
    </row>
    <row r="25" spans="1:6" s="143" customFormat="1" ht="12">
      <c r="A25" s="1146" t="s">
        <v>197</v>
      </c>
      <c r="B25" s="1141">
        <f>SUM('1b.mell '!C217)</f>
        <v>5070</v>
      </c>
      <c r="C25" s="1141">
        <f>SUM('1b.mell '!D217)</f>
        <v>5070</v>
      </c>
      <c r="D25" s="1158"/>
      <c r="E25" s="1159"/>
      <c r="F25" s="1160"/>
    </row>
    <row r="26" spans="1:6" s="143" customFormat="1" ht="12">
      <c r="A26" s="1146" t="s">
        <v>389</v>
      </c>
      <c r="B26" s="1141">
        <f>SUM('1b.mell '!C218)</f>
        <v>6000</v>
      </c>
      <c r="C26" s="1141">
        <f>SUM('1b.mell '!D218)</f>
        <v>6000</v>
      </c>
      <c r="D26" s="1158"/>
      <c r="E26" s="1159"/>
      <c r="F26" s="1160"/>
    </row>
    <row r="27" spans="1:6" s="143" customFormat="1" ht="12">
      <c r="A27" s="1161" t="s">
        <v>419</v>
      </c>
      <c r="B27" s="1141"/>
      <c r="C27" s="1141"/>
      <c r="D27" s="1158"/>
      <c r="E27" s="1159"/>
      <c r="F27" s="1160"/>
    </row>
    <row r="28" spans="1:6" s="143" customFormat="1" ht="12.75" thickBot="1">
      <c r="A28" s="1149" t="s">
        <v>198</v>
      </c>
      <c r="B28" s="1143">
        <f>SUM('1b.mell '!C219)</f>
        <v>120875</v>
      </c>
      <c r="C28" s="1143">
        <f>SUM('1b.mell '!D219)</f>
        <v>120875</v>
      </c>
      <c r="D28" s="1158"/>
      <c r="E28" s="1159"/>
      <c r="F28" s="1160"/>
    </row>
    <row r="29" spans="1:6" s="143" customFormat="1" ht="13.5" thickBot="1">
      <c r="A29" s="1150" t="s">
        <v>308</v>
      </c>
      <c r="B29" s="1145">
        <f aca="true" t="shared" si="2" ref="B29">SUM(B19:B28)</f>
        <v>2668784</v>
      </c>
      <c r="C29" s="1145">
        <f aca="true" t="shared" si="3" ref="C29">SUM(C19:C28)</f>
        <v>2668784</v>
      </c>
      <c r="D29" s="1158"/>
      <c r="E29" s="1159"/>
      <c r="F29" s="1160"/>
    </row>
    <row r="30" spans="1:6" s="143" customFormat="1" ht="12.75" thickBot="1">
      <c r="A30" s="1162" t="s">
        <v>199</v>
      </c>
      <c r="B30" s="1163">
        <f>SUM('1b.mell '!C221)</f>
        <v>5233</v>
      </c>
      <c r="C30" s="1163">
        <f>SUM('1b.mell '!D221)</f>
        <v>5233</v>
      </c>
      <c r="D30" s="1158"/>
      <c r="E30" s="1159"/>
      <c r="F30" s="1160"/>
    </row>
    <row r="31" spans="1:6" s="143" customFormat="1" ht="13.5" thickBot="1">
      <c r="A31" s="1164" t="s">
        <v>200</v>
      </c>
      <c r="B31" s="1165">
        <f aca="true" t="shared" si="4" ref="B31">SUM(B30)</f>
        <v>5233</v>
      </c>
      <c r="C31" s="1165">
        <f aca="true" t="shared" si="5" ref="C31">SUM(C30)</f>
        <v>5233</v>
      </c>
      <c r="D31" s="1166"/>
      <c r="E31" s="1167"/>
      <c r="F31" s="1168"/>
    </row>
    <row r="32" spans="1:6" s="143" customFormat="1" ht="17.25" thickBot="1" thickTop="1">
      <c r="A32" s="1169" t="s">
        <v>54</v>
      </c>
      <c r="B32" s="1170">
        <f aca="true" t="shared" si="6" ref="B32">SUM(B31,B29,B18,B14)</f>
        <v>15763033</v>
      </c>
      <c r="C32" s="1170">
        <f aca="true" t="shared" si="7" ref="C32">SUM(C31,C29,C18,C14)</f>
        <v>15834797</v>
      </c>
      <c r="D32" s="1171" t="s">
        <v>47</v>
      </c>
      <c r="E32" s="1172">
        <f>SUM(E6:E11)</f>
        <v>15024513</v>
      </c>
      <c r="F32" s="1172">
        <f>SUM(F6:F11)</f>
        <v>16415137</v>
      </c>
    </row>
    <row r="33" spans="1:6" s="143" customFormat="1" ht="12.75" thickTop="1">
      <c r="A33" s="1146" t="s">
        <v>201</v>
      </c>
      <c r="B33" s="1173">
        <f>SUM('1b.mell '!C224)</f>
        <v>0</v>
      </c>
      <c r="C33" s="1173">
        <f>SUM('1b.mell '!D224)</f>
        <v>0</v>
      </c>
      <c r="D33" s="1174"/>
      <c r="E33" s="1175"/>
      <c r="F33" s="1175"/>
    </row>
    <row r="34" spans="1:6" s="143" customFormat="1" ht="12">
      <c r="A34" s="819" t="s">
        <v>1176</v>
      </c>
      <c r="B34" s="1176">
        <f>SUM('1b.mell '!C225)</f>
        <v>2404281</v>
      </c>
      <c r="C34" s="1176">
        <f>SUM('1b.mell '!D225)</f>
        <v>2404281</v>
      </c>
      <c r="D34" s="1158"/>
      <c r="E34" s="1177"/>
      <c r="F34" s="1177"/>
    </row>
    <row r="35" spans="1:6" s="143" customFormat="1" ht="12">
      <c r="A35" s="819" t="s">
        <v>202</v>
      </c>
      <c r="B35" s="869">
        <f>SUM('1b.mell '!C226)</f>
        <v>0</v>
      </c>
      <c r="C35" s="869">
        <f>SUM('1b.mell '!D226)</f>
        <v>0</v>
      </c>
      <c r="D35" s="1178" t="s">
        <v>215</v>
      </c>
      <c r="E35" s="1141">
        <f>SUM('1c.mell '!C132)</f>
        <v>1077673</v>
      </c>
      <c r="F35" s="1141">
        <f>SUM('1c.mell '!D132)</f>
        <v>1861426</v>
      </c>
    </row>
    <row r="36" spans="1:6" s="143" customFormat="1" ht="12">
      <c r="A36" s="819" t="s">
        <v>203</v>
      </c>
      <c r="B36" s="1147">
        <f>SUM('1b.mell '!C227)</f>
        <v>296493</v>
      </c>
      <c r="C36" s="1147">
        <f>SUM('1b.mell '!D227)</f>
        <v>296493</v>
      </c>
      <c r="D36" s="1179" t="s">
        <v>216</v>
      </c>
      <c r="E36" s="1141">
        <f>SUM('1c.mell '!C133)</f>
        <v>4163435</v>
      </c>
      <c r="F36" s="1141">
        <f>SUM('1c.mell '!D133)</f>
        <v>5799208</v>
      </c>
    </row>
    <row r="37" spans="1:6" s="143" customFormat="1" ht="12.75" thickBot="1">
      <c r="A37" s="819" t="s">
        <v>428</v>
      </c>
      <c r="B37" s="869">
        <f>SUM('1b.mell '!C228)</f>
        <v>0</v>
      </c>
      <c r="C37" s="869">
        <f>SUM('1b.mell '!D228)</f>
        <v>0</v>
      </c>
      <c r="D37" s="1178" t="s">
        <v>340</v>
      </c>
      <c r="E37" s="1141">
        <f>SUM('1c.mell '!C134)</f>
        <v>267500</v>
      </c>
      <c r="F37" s="1141">
        <f>SUM('1c.mell '!D134)</f>
        <v>619897</v>
      </c>
    </row>
    <row r="38" spans="1:6" s="143" customFormat="1" ht="13.5" thickBot="1">
      <c r="A38" s="1150" t="s">
        <v>204</v>
      </c>
      <c r="B38" s="1151">
        <f aca="true" t="shared" si="8" ref="B38">SUM(B33:B37)</f>
        <v>2700774</v>
      </c>
      <c r="C38" s="1151">
        <f aca="true" t="shared" si="9" ref="C38">SUM(C33:C37)</f>
        <v>2700774</v>
      </c>
      <c r="D38" s="1180"/>
      <c r="E38" s="959"/>
      <c r="F38" s="959"/>
    </row>
    <row r="39" spans="1:6" s="143" customFormat="1" ht="12">
      <c r="A39" s="1146" t="s">
        <v>205</v>
      </c>
      <c r="B39" s="1181">
        <f>SUM('1b.mell '!C230)</f>
        <v>290000</v>
      </c>
      <c r="C39" s="1181">
        <f>SUM('1b.mell '!D230)</f>
        <v>290000</v>
      </c>
      <c r="D39" s="1158"/>
      <c r="E39" s="1182"/>
      <c r="F39" s="1183"/>
    </row>
    <row r="40" spans="1:6" s="143" customFormat="1" ht="12">
      <c r="A40" s="819" t="s">
        <v>213</v>
      </c>
      <c r="B40" s="1141">
        <f>SUM('1b.mell '!C231)</f>
        <v>0</v>
      </c>
      <c r="C40" s="1141">
        <f>SUM('1b.mell '!D231)</f>
        <v>0</v>
      </c>
      <c r="D40" s="1158"/>
      <c r="E40" s="1159"/>
      <c r="F40" s="1160"/>
    </row>
    <row r="41" spans="1:6" s="143" customFormat="1" ht="12.75" thickBot="1">
      <c r="A41" s="1184" t="s">
        <v>418</v>
      </c>
      <c r="B41" s="1185"/>
      <c r="C41" s="1185"/>
      <c r="D41" s="1158"/>
      <c r="E41" s="1159"/>
      <c r="F41" s="1160"/>
    </row>
    <row r="42" spans="1:6" s="143" customFormat="1" ht="13.5" thickBot="1">
      <c r="A42" s="1150" t="s">
        <v>206</v>
      </c>
      <c r="B42" s="1151">
        <f aca="true" t="shared" si="10" ref="B42">SUM(B39:B40)</f>
        <v>290000</v>
      </c>
      <c r="C42" s="1151">
        <f aca="true" t="shared" si="11" ref="C42">SUM(C39:C40)</f>
        <v>290000</v>
      </c>
      <c r="D42" s="1153"/>
      <c r="E42" s="1186"/>
      <c r="F42" s="1187"/>
    </row>
    <row r="43" spans="1:6" s="143" customFormat="1" ht="12.75" customHeight="1">
      <c r="A43" s="1152" t="s">
        <v>378</v>
      </c>
      <c r="B43" s="1181">
        <f>SUM('1b.mell '!C233)</f>
        <v>19000</v>
      </c>
      <c r="C43" s="1181">
        <f>SUM('1b.mell '!D233)</f>
        <v>19000</v>
      </c>
      <c r="D43" s="1188"/>
      <c r="E43" s="1159"/>
      <c r="F43" s="1160"/>
    </row>
    <row r="44" spans="1:6" s="143" customFormat="1" ht="12.75" customHeight="1" thickBot="1">
      <c r="A44" s="1189" t="s">
        <v>210</v>
      </c>
      <c r="B44" s="1143">
        <f>SUM('1b.mell '!C234+'1b.mell '!C235)</f>
        <v>0</v>
      </c>
      <c r="C44" s="1143">
        <f>SUM('1b.mell '!D234+'1b.mell '!D235)</f>
        <v>0</v>
      </c>
      <c r="D44" s="1188"/>
      <c r="E44" s="1156"/>
      <c r="F44" s="1157"/>
    </row>
    <row r="45" spans="1:6" s="143" customFormat="1" ht="13.5" thickBot="1">
      <c r="A45" s="1164" t="s">
        <v>211</v>
      </c>
      <c r="B45" s="1165">
        <f aca="true" t="shared" si="12" ref="B45">SUM(B43:B44)</f>
        <v>19000</v>
      </c>
      <c r="C45" s="1165">
        <f aca="true" t="shared" si="13" ref="C45">SUM(C43:C44)</f>
        <v>19000</v>
      </c>
      <c r="D45" s="1190"/>
      <c r="E45" s="1191"/>
      <c r="F45" s="1192"/>
    </row>
    <row r="46" spans="1:6" s="143" customFormat="1" ht="20.25" customHeight="1" thickBot="1" thickTop="1">
      <c r="A46" s="1193" t="s">
        <v>55</v>
      </c>
      <c r="B46" s="1194">
        <f aca="true" t="shared" si="14" ref="B46">SUM(B45,B42,B38)</f>
        <v>3009774</v>
      </c>
      <c r="C46" s="1194">
        <f aca="true" t="shared" si="15" ref="C46">SUM(C45,C42,C38)</f>
        <v>3009774</v>
      </c>
      <c r="D46" s="1195" t="s">
        <v>53</v>
      </c>
      <c r="E46" s="1196">
        <f>SUM(E33:E37)</f>
        <v>5508608</v>
      </c>
      <c r="F46" s="1196">
        <f>SUM(F33:F37)</f>
        <v>8280531</v>
      </c>
    </row>
    <row r="47" spans="1:6" s="143" customFormat="1" ht="12.75" customHeight="1" thickTop="1">
      <c r="A47" s="1146" t="s">
        <v>373</v>
      </c>
      <c r="B47" s="820">
        <f>SUM('1b.mell '!C238)</f>
        <v>110289</v>
      </c>
      <c r="C47" s="820">
        <f>SUM('1b.mell '!D238)</f>
        <v>3450083</v>
      </c>
      <c r="D47" s="819" t="s">
        <v>529</v>
      </c>
      <c r="E47" s="955">
        <f>'1c.mell '!C136</f>
        <v>0</v>
      </c>
      <c r="F47" s="955">
        <f>'1c.mell '!D136</f>
        <v>120591</v>
      </c>
    </row>
    <row r="48" spans="1:6" s="143" customFormat="1" ht="12.75" customHeight="1">
      <c r="A48" s="819" t="s">
        <v>529</v>
      </c>
      <c r="B48" s="872">
        <f>SUM('1b.mell '!C240)</f>
        <v>0</v>
      </c>
      <c r="C48" s="872">
        <f>SUM('1b.mell '!D240)</f>
        <v>120591</v>
      </c>
      <c r="D48" s="871" t="s">
        <v>395</v>
      </c>
      <c r="E48" s="820">
        <f>SUM('1c.mell '!C138)</f>
        <v>100272</v>
      </c>
      <c r="F48" s="820">
        <f>SUM('1c.mell '!D138)</f>
        <v>100272</v>
      </c>
    </row>
    <row r="49" spans="1:6" s="143" customFormat="1" ht="12.75" customHeight="1">
      <c r="A49" s="819" t="s">
        <v>401</v>
      </c>
      <c r="B49" s="1141">
        <f>SUM('1b.mell '!C239)</f>
        <v>8274723</v>
      </c>
      <c r="C49" s="1141">
        <f>SUM('1b.mell '!D239)</f>
        <v>8614441</v>
      </c>
      <c r="D49" s="1197" t="s">
        <v>402</v>
      </c>
      <c r="E49" s="1141">
        <f>SUM('1c.mell '!C137)</f>
        <v>8274723</v>
      </c>
      <c r="F49" s="1141">
        <f>SUM('1c.mell '!D137)</f>
        <v>8614441</v>
      </c>
    </row>
    <row r="50" spans="1:6" s="143" customFormat="1" ht="12.75" customHeight="1">
      <c r="A50" s="819" t="s">
        <v>528</v>
      </c>
      <c r="B50" s="1141"/>
      <c r="C50" s="1141"/>
      <c r="D50" s="1180" t="s">
        <v>1201</v>
      </c>
      <c r="E50" s="1141"/>
      <c r="F50" s="1141"/>
    </row>
    <row r="51" spans="1:6" s="143" customFormat="1" ht="12.75" customHeight="1">
      <c r="A51" s="1198" t="s">
        <v>1204</v>
      </c>
      <c r="B51" s="1141">
        <f>'1b.mell '!C241</f>
        <v>0</v>
      </c>
      <c r="C51" s="1141">
        <f>'1b.mell '!D241</f>
        <v>466</v>
      </c>
      <c r="D51" s="1199"/>
      <c r="E51" s="1154"/>
      <c r="F51" s="1155"/>
    </row>
    <row r="52" spans="1:6" s="143" customFormat="1" ht="12.75" customHeight="1" thickBot="1">
      <c r="A52" s="1200" t="s">
        <v>1201</v>
      </c>
      <c r="B52" s="1201"/>
      <c r="C52" s="1201"/>
      <c r="D52" s="1166"/>
      <c r="E52" s="1191"/>
      <c r="F52" s="1192"/>
    </row>
    <row r="53" spans="1:6" s="143" customFormat="1" ht="15.75" thickBot="1" thickTop="1">
      <c r="A53" s="1202" t="s">
        <v>48</v>
      </c>
      <c r="B53" s="1172">
        <f aca="true" t="shared" si="16" ref="B53">SUM(B47:B52)</f>
        <v>8385012</v>
      </c>
      <c r="C53" s="1172">
        <f>SUM(C47:C52)</f>
        <v>12185581</v>
      </c>
      <c r="D53" s="1202" t="s">
        <v>49</v>
      </c>
      <c r="E53" s="1203">
        <f>SUM(E47:E50)</f>
        <v>8374995</v>
      </c>
      <c r="F53" s="1203">
        <f>SUM(F47:F50)</f>
        <v>8835304</v>
      </c>
    </row>
    <row r="54" spans="1:6" s="143" customFormat="1" ht="13.5" thickBot="1" thickTop="1">
      <c r="A54" s="1204" t="s">
        <v>373</v>
      </c>
      <c r="B54" s="1205">
        <f>SUM('1b.mell '!C243)</f>
        <v>1798297</v>
      </c>
      <c r="C54" s="1205">
        <f>SUM('1b.mell '!D243)</f>
        <v>2548820</v>
      </c>
      <c r="D54" s="1206" t="s">
        <v>390</v>
      </c>
      <c r="E54" s="1207">
        <f>SUM('1c.mell '!C140)</f>
        <v>48000</v>
      </c>
      <c r="F54" s="1207">
        <f>SUM('1c.mell '!D140)</f>
        <v>48000</v>
      </c>
    </row>
    <row r="55" spans="1:6" s="143" customFormat="1" ht="16.5" customHeight="1" thickBot="1">
      <c r="A55" s="1208" t="s">
        <v>212</v>
      </c>
      <c r="B55" s="1170">
        <f aca="true" t="shared" si="17" ref="B55">SUM(B54:B54)</f>
        <v>1798297</v>
      </c>
      <c r="C55" s="1170">
        <f aca="true" t="shared" si="18" ref="C55">SUM(C54:C54)</f>
        <v>2548820</v>
      </c>
      <c r="D55" s="1171" t="s">
        <v>33</v>
      </c>
      <c r="E55" s="1165">
        <f aca="true" t="shared" si="19" ref="E55:F55">SUM(E54:E54)</f>
        <v>48000</v>
      </c>
      <c r="F55" s="1209">
        <f t="shared" si="19"/>
        <v>48000</v>
      </c>
    </row>
    <row r="56" spans="1:6" s="143" customFormat="1" ht="14.25" thickBot="1" thickTop="1">
      <c r="A56" s="1210"/>
      <c r="B56" s="1170"/>
      <c r="C56" s="1170"/>
      <c r="D56" s="1211"/>
      <c r="E56" s="1212"/>
      <c r="F56" s="1212"/>
    </row>
    <row r="57" spans="1:6" s="143" customFormat="1" ht="20.25" customHeight="1" thickBot="1" thickTop="1">
      <c r="A57" s="626" t="s">
        <v>1202</v>
      </c>
      <c r="B57" s="511">
        <f>SUM(B32+B46+B54+B47+B50+B52+B48)</f>
        <v>20681393</v>
      </c>
      <c r="C57" s="511">
        <f>SUM(C32+C46+C54+C47+C50+C52+C48)+C51</f>
        <v>24964531</v>
      </c>
      <c r="D57" s="626" t="s">
        <v>1203</v>
      </c>
      <c r="E57" s="511">
        <f>SUM(E32+E46+E54+E48+E50)+E47</f>
        <v>20681393</v>
      </c>
      <c r="F57" s="511">
        <f>SUM(F32+F46+F54+F48+F50)+F47</f>
        <v>24964531</v>
      </c>
    </row>
    <row r="58" spans="1:3" ht="15.75" thickTop="1">
      <c r="A58" s="1213"/>
      <c r="B58" s="627"/>
      <c r="C58" s="627"/>
    </row>
    <row r="59" spans="1:3" ht="15">
      <c r="A59" s="1213"/>
      <c r="B59" s="625"/>
      <c r="C59" s="625"/>
    </row>
    <row r="60" ht="15">
      <c r="A60" s="1213"/>
    </row>
  </sheetData>
  <mergeCells count="8">
    <mergeCell ref="F4:F5"/>
    <mergeCell ref="A2:E2"/>
    <mergeCell ref="A1:E1"/>
    <mergeCell ref="A4:A5"/>
    <mergeCell ref="D4:D5"/>
    <mergeCell ref="E4:E5"/>
    <mergeCell ref="C4:C5"/>
    <mergeCell ref="B4:B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71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Zeros="0" workbookViewId="0" topLeftCell="A1">
      <selection activeCell="B17" sqref="B17"/>
    </sheetView>
  </sheetViews>
  <sheetFormatPr defaultColWidth="9.125" defaultRowHeight="12.75"/>
  <cols>
    <col min="1" max="1" width="10.125" style="56" customWidth="1"/>
    <col min="2" max="2" width="52.375" style="55" customWidth="1"/>
    <col min="3" max="3" width="13.25390625" style="55" customWidth="1"/>
    <col min="4" max="4" width="12.125" style="55" customWidth="1"/>
    <col min="5" max="8" width="9.125" style="55" customWidth="1"/>
    <col min="9" max="9" width="9.75390625" style="55" bestFit="1" customWidth="1"/>
    <col min="10" max="16384" width="9.125" style="55" customWidth="1"/>
  </cols>
  <sheetData>
    <row r="1" spans="1:3" ht="12.95" customHeight="1">
      <c r="A1" s="1273" t="s">
        <v>93</v>
      </c>
      <c r="B1" s="1273"/>
      <c r="C1" s="1273"/>
    </row>
    <row r="2" ht="12.75">
      <c r="B2" s="56"/>
    </row>
    <row r="3" spans="1:3" s="52" customFormat="1" ht="12.95" customHeight="1">
      <c r="A3" s="1272" t="s">
        <v>1193</v>
      </c>
      <c r="B3" s="1272"/>
      <c r="C3" s="1272"/>
    </row>
    <row r="4" s="52" customFormat="1" ht="12.75"/>
    <row r="5" s="52" customFormat="1" ht="12.75"/>
    <row r="6" s="52" customFormat="1" ht="12.75">
      <c r="D6" s="993" t="s">
        <v>524</v>
      </c>
    </row>
    <row r="7" spans="1:4" s="52" customFormat="1" ht="12.75" customHeight="1">
      <c r="A7" s="1274" t="s">
        <v>247</v>
      </c>
      <c r="B7" s="1274" t="s">
        <v>138</v>
      </c>
      <c r="C7" s="1214" t="s">
        <v>1320</v>
      </c>
      <c r="D7" s="1214" t="s">
        <v>1327</v>
      </c>
    </row>
    <row r="8" spans="1:4" s="52" customFormat="1" ht="12.75">
      <c r="A8" s="1277"/>
      <c r="B8" s="1275"/>
      <c r="C8" s="1259"/>
      <c r="D8" s="1259"/>
    </row>
    <row r="9" spans="1:4" s="52" customFormat="1" ht="13.5" thickBot="1">
      <c r="A9" s="1278"/>
      <c r="B9" s="1276"/>
      <c r="C9" s="1260"/>
      <c r="D9" s="1260"/>
    </row>
    <row r="10" spans="1:4" s="52" customFormat="1" ht="12.75">
      <c r="A10" s="63" t="s">
        <v>139</v>
      </c>
      <c r="B10" s="63" t="s">
        <v>140</v>
      </c>
      <c r="C10" s="63" t="s">
        <v>141</v>
      </c>
      <c r="D10" s="63" t="s">
        <v>522</v>
      </c>
    </row>
    <row r="11" spans="1:4" s="52" customFormat="1" ht="12.75">
      <c r="A11" s="11"/>
      <c r="B11" s="11"/>
      <c r="C11" s="496"/>
      <c r="D11" s="496"/>
    </row>
    <row r="12" spans="1:4" s="27" customFormat="1" ht="12.75">
      <c r="A12" s="16">
        <v>6110</v>
      </c>
      <c r="B12" s="14" t="s">
        <v>44</v>
      </c>
      <c r="C12" s="603">
        <v>33447</v>
      </c>
      <c r="D12" s="603">
        <v>35000</v>
      </c>
    </row>
    <row r="13" spans="1:4" ht="12.75">
      <c r="A13" s="53"/>
      <c r="B13" s="54"/>
      <c r="C13" s="602"/>
      <c r="D13" s="602"/>
    </row>
    <row r="14" spans="1:4" s="27" customFormat="1" ht="12.75">
      <c r="A14" s="16">
        <v>6120</v>
      </c>
      <c r="B14" s="14" t="s">
        <v>46</v>
      </c>
      <c r="C14" s="603">
        <f>SUM(C15+C16)</f>
        <v>173268</v>
      </c>
      <c r="D14" s="603">
        <f>SUM(D15+D16)</f>
        <v>330568</v>
      </c>
    </row>
    <row r="15" spans="1:4" s="27" customFormat="1" ht="12.75">
      <c r="A15" s="16"/>
      <c r="B15" s="612" t="s">
        <v>503</v>
      </c>
      <c r="C15" s="613"/>
      <c r="D15" s="613"/>
    </row>
    <row r="16" spans="1:4" s="27" customFormat="1" ht="12.75">
      <c r="A16" s="141"/>
      <c r="B16" s="612" t="s">
        <v>504</v>
      </c>
      <c r="C16" s="613">
        <f>SUM(C17:C18)</f>
        <v>173268</v>
      </c>
      <c r="D16" s="613">
        <f>SUM(D17:D19)</f>
        <v>330568</v>
      </c>
    </row>
    <row r="17" spans="1:4" ht="12.75">
      <c r="A17" s="53">
        <v>6135</v>
      </c>
      <c r="B17" s="508" t="s">
        <v>1116</v>
      </c>
      <c r="C17" s="602">
        <v>153268</v>
      </c>
      <c r="D17" s="602">
        <v>153268</v>
      </c>
    </row>
    <row r="18" spans="1:4" ht="12.75">
      <c r="A18" s="53">
        <v>6136</v>
      </c>
      <c r="B18" s="508" t="s">
        <v>1269</v>
      </c>
      <c r="C18" s="602">
        <v>20000</v>
      </c>
      <c r="D18" s="602">
        <v>20000</v>
      </c>
    </row>
    <row r="19" spans="1:4" ht="12.75">
      <c r="A19" s="1068">
        <v>6137</v>
      </c>
      <c r="B19" s="1069" t="s">
        <v>1364</v>
      </c>
      <c r="C19" s="1070"/>
      <c r="D19" s="1070">
        <f>200000-42700</f>
        <v>157300</v>
      </c>
    </row>
    <row r="20" spans="1:4" s="27" customFormat="1" ht="12.75">
      <c r="A20" s="1071">
        <v>6100</v>
      </c>
      <c r="B20" s="1072" t="s">
        <v>128</v>
      </c>
      <c r="C20" s="1072">
        <f>SUM(C15+C16+C12)</f>
        <v>206715</v>
      </c>
      <c r="D20" s="1072">
        <f>SUM(D15+D16+D12)</f>
        <v>365568</v>
      </c>
    </row>
    <row r="23" ht="12.75">
      <c r="A23" s="445"/>
    </row>
    <row r="24" ht="12.75">
      <c r="A24" s="445"/>
    </row>
  </sheetData>
  <mergeCells count="6">
    <mergeCell ref="D7:D9"/>
    <mergeCell ref="A3:C3"/>
    <mergeCell ref="A1:C1"/>
    <mergeCell ref="C7:C9"/>
    <mergeCell ref="B7:B9"/>
    <mergeCell ref="A7:A9"/>
  </mergeCells>
  <printOptions horizontalCentered="1"/>
  <pageMargins left="0.7874015748031497" right="0.7874015748031497" top="0.984251968503937" bottom="0.984251968503937" header="0.5118110236220472" footer="0.5118110236220472"/>
  <pageSetup firstPageNumber="38" useFirstPageNumber="1" horizontalDpi="600" verticalDpi="600" orientation="landscape" paperSize="9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7"/>
  <sheetViews>
    <sheetView workbookViewId="0" topLeftCell="A22">
      <selection activeCell="G19" sqref="G19"/>
    </sheetView>
  </sheetViews>
  <sheetFormatPr defaultColWidth="9.125" defaultRowHeight="12.75"/>
  <cols>
    <col min="1" max="1" width="9.125" style="994" customWidth="1"/>
    <col min="2" max="2" width="7.00390625" style="994" customWidth="1"/>
    <col min="3" max="3" width="23.375" style="994" customWidth="1"/>
    <col min="4" max="4" width="10.375" style="994" customWidth="1"/>
    <col min="5" max="5" width="10.875" style="994" customWidth="1"/>
    <col min="6" max="6" width="10.125" style="994" customWidth="1"/>
    <col min="7" max="7" width="10.875" style="994" customWidth="1"/>
    <col min="8" max="9" width="11.00390625" style="994" customWidth="1"/>
    <col min="10" max="12" width="10.625" style="656" customWidth="1"/>
    <col min="13" max="16384" width="9.125" style="656" customWidth="1"/>
  </cols>
  <sheetData>
    <row r="2" spans="2:12" ht="12.75">
      <c r="B2" s="1286" t="s">
        <v>540</v>
      </c>
      <c r="C2" s="1286"/>
      <c r="D2" s="1286"/>
      <c r="E2" s="1286"/>
      <c r="F2" s="1286"/>
      <c r="G2" s="1286"/>
      <c r="H2" s="1286"/>
      <c r="I2" s="1286"/>
      <c r="J2" s="1286"/>
      <c r="K2" s="1286"/>
      <c r="L2" s="1286"/>
    </row>
    <row r="3" spans="2:12" ht="12.75">
      <c r="B3" s="1042"/>
      <c r="C3" s="1043"/>
      <c r="D3" s="1043"/>
      <c r="E3" s="1043"/>
      <c r="F3" s="1043"/>
      <c r="G3" s="1043"/>
      <c r="H3" s="1043"/>
      <c r="I3" s="1043"/>
      <c r="J3" s="657"/>
      <c r="K3" s="657"/>
      <c r="L3" s="657"/>
    </row>
    <row r="4" spans="2:12" ht="12.75">
      <c r="B4" s="1286" t="s">
        <v>541</v>
      </c>
      <c r="C4" s="1287"/>
      <c r="D4" s="1287"/>
      <c r="E4" s="1287"/>
      <c r="F4" s="1287"/>
      <c r="G4" s="1287"/>
      <c r="H4" s="1287"/>
      <c r="I4" s="1287"/>
      <c r="J4" s="1287"/>
      <c r="K4" s="1287"/>
      <c r="L4" s="1287"/>
    </row>
    <row r="5" spans="5:10" ht="15.75">
      <c r="E5" s="1044"/>
      <c r="F5" s="1044"/>
      <c r="G5" s="1044"/>
      <c r="H5" s="1044"/>
      <c r="I5" s="1044"/>
      <c r="J5" s="658"/>
    </row>
    <row r="6" spans="2:10" ht="12.75">
      <c r="B6" s="1288" t="s">
        <v>542</v>
      </c>
      <c r="C6" s="1289"/>
      <c r="D6" s="1289"/>
      <c r="E6" s="1289"/>
      <c r="F6" s="1289"/>
      <c r="G6" s="1045"/>
      <c r="H6" s="1045"/>
      <c r="I6" s="1045"/>
      <c r="J6" s="659"/>
    </row>
    <row r="7" spans="2:12" ht="12.75">
      <c r="B7" s="1046"/>
      <c r="C7" s="1046"/>
      <c r="D7" s="1046"/>
      <c r="E7" s="1047" t="s">
        <v>524</v>
      </c>
      <c r="F7" s="1048"/>
      <c r="G7" s="1048"/>
      <c r="H7" s="1048"/>
      <c r="I7" s="1048"/>
      <c r="J7" s="660"/>
      <c r="K7" s="660"/>
      <c r="L7" s="660"/>
    </row>
    <row r="8" spans="2:12" ht="22.5" customHeight="1">
      <c r="B8" s="1290" t="s">
        <v>543</v>
      </c>
      <c r="C8" s="1290" t="s">
        <v>544</v>
      </c>
      <c r="D8" s="1290" t="s">
        <v>545</v>
      </c>
      <c r="E8" s="1292" t="s">
        <v>150</v>
      </c>
      <c r="F8" s="1293"/>
      <c r="G8" s="1293"/>
      <c r="H8" s="1293"/>
      <c r="I8" s="1293"/>
      <c r="J8" s="1295"/>
      <c r="K8" s="1295"/>
      <c r="L8" s="1295"/>
    </row>
    <row r="9" spans="2:12" ht="21.75" customHeight="1">
      <c r="B9" s="1290"/>
      <c r="C9" s="1290"/>
      <c r="D9" s="1290"/>
      <c r="E9" s="1290"/>
      <c r="F9" s="1293"/>
      <c r="G9" s="1293"/>
      <c r="H9" s="1293"/>
      <c r="I9" s="1293"/>
      <c r="J9" s="1295"/>
      <c r="K9" s="1295"/>
      <c r="L9" s="1295"/>
    </row>
    <row r="10" spans="2:12" ht="18" customHeight="1" thickBot="1">
      <c r="B10" s="1291"/>
      <c r="C10" s="1291"/>
      <c r="D10" s="1291"/>
      <c r="E10" s="1291"/>
      <c r="F10" s="1294"/>
      <c r="G10" s="1294"/>
      <c r="H10" s="1294"/>
      <c r="I10" s="1294"/>
      <c r="J10" s="1296"/>
      <c r="K10" s="1296"/>
      <c r="L10" s="1296"/>
    </row>
    <row r="11" spans="2:12" ht="13.5" thickTop="1">
      <c r="B11" s="1285" t="s">
        <v>548</v>
      </c>
      <c r="C11" s="1049" t="s">
        <v>546</v>
      </c>
      <c r="D11" s="662">
        <v>48000</v>
      </c>
      <c r="E11" s="1050">
        <f aca="true" t="shared" si="0" ref="E11:E15">SUM(D11)</f>
        <v>48000</v>
      </c>
      <c r="F11" s="1051"/>
      <c r="G11" s="1051"/>
      <c r="H11" s="1051"/>
      <c r="I11" s="1051"/>
      <c r="J11" s="661"/>
      <c r="K11" s="661"/>
      <c r="L11" s="661"/>
    </row>
    <row r="12" spans="2:12" ht="12.75">
      <c r="B12" s="1285"/>
      <c r="C12" s="1049" t="s">
        <v>547</v>
      </c>
      <c r="D12" s="662">
        <v>812</v>
      </c>
      <c r="E12" s="1050">
        <v>812</v>
      </c>
      <c r="F12" s="1051"/>
      <c r="G12" s="1051"/>
      <c r="H12" s="1051"/>
      <c r="I12" s="1051"/>
      <c r="J12" s="661"/>
      <c r="K12" s="661"/>
      <c r="L12" s="661"/>
    </row>
    <row r="13" spans="2:12" ht="12.75">
      <c r="B13" s="1281" t="s">
        <v>549</v>
      </c>
      <c r="C13" s="1049" t="s">
        <v>546</v>
      </c>
      <c r="D13" s="662">
        <v>48000</v>
      </c>
      <c r="E13" s="1050">
        <f t="shared" si="0"/>
        <v>48000</v>
      </c>
      <c r="F13" s="1051"/>
      <c r="G13" s="1051"/>
      <c r="H13" s="1051"/>
      <c r="I13" s="1051"/>
      <c r="J13" s="661"/>
      <c r="K13" s="661"/>
      <c r="L13" s="661"/>
    </row>
    <row r="14" spans="2:12" ht="12.75">
      <c r="B14" s="1282"/>
      <c r="C14" s="1049" t="s">
        <v>547</v>
      </c>
      <c r="D14" s="662">
        <v>552</v>
      </c>
      <c r="E14" s="1050">
        <v>552</v>
      </c>
      <c r="F14" s="1051"/>
      <c r="G14" s="1051"/>
      <c r="H14" s="1051"/>
      <c r="I14" s="1051"/>
      <c r="J14" s="661"/>
      <c r="K14" s="661"/>
      <c r="L14" s="661"/>
    </row>
    <row r="15" spans="2:12" ht="12.75">
      <c r="B15" s="1281" t="s">
        <v>550</v>
      </c>
      <c r="C15" s="1049" t="s">
        <v>546</v>
      </c>
      <c r="D15" s="662">
        <v>48000</v>
      </c>
      <c r="E15" s="1050">
        <f t="shared" si="0"/>
        <v>48000</v>
      </c>
      <c r="F15" s="1051"/>
      <c r="G15" s="1051"/>
      <c r="H15" s="1051"/>
      <c r="I15" s="1051"/>
      <c r="J15" s="661"/>
      <c r="K15" s="661"/>
      <c r="L15" s="661"/>
    </row>
    <row r="16" spans="2:12" ht="12.75">
      <c r="B16" s="1282"/>
      <c r="C16" s="1049" t="s">
        <v>547</v>
      </c>
      <c r="D16" s="662">
        <v>292</v>
      </c>
      <c r="E16" s="1050">
        <v>292</v>
      </c>
      <c r="F16" s="1051"/>
      <c r="G16" s="1051"/>
      <c r="H16" s="1051"/>
      <c r="I16" s="1051"/>
      <c r="J16" s="661"/>
      <c r="K16" s="661"/>
      <c r="L16" s="661"/>
    </row>
    <row r="17" spans="2:12" ht="12.75">
      <c r="B17" s="1052"/>
      <c r="C17" s="1052"/>
      <c r="D17" s="1051"/>
      <c r="E17" s="1051"/>
      <c r="F17" s="1051"/>
      <c r="G17" s="1051"/>
      <c r="H17" s="1051"/>
      <c r="I17" s="1051"/>
      <c r="J17" s="661"/>
      <c r="K17" s="661"/>
      <c r="L17" s="661"/>
    </row>
    <row r="18" spans="2:9" ht="13.5" customHeight="1">
      <c r="B18" s="1053" t="s">
        <v>551</v>
      </c>
      <c r="C18" s="1046"/>
      <c r="D18" s="1046"/>
      <c r="E18" s="1046"/>
      <c r="F18" s="1046"/>
      <c r="G18" s="1046"/>
      <c r="H18" s="1054" t="s">
        <v>524</v>
      </c>
      <c r="I18" s="1055"/>
    </row>
    <row r="19" spans="2:9" ht="12.75">
      <c r="B19" s="1283" t="s">
        <v>138</v>
      </c>
      <c r="C19" s="1284"/>
      <c r="D19" s="1056">
        <v>2022</v>
      </c>
      <c r="E19" s="1056">
        <v>2023</v>
      </c>
      <c r="F19" s="1056">
        <v>2024</v>
      </c>
      <c r="G19" s="1057">
        <v>2025</v>
      </c>
      <c r="H19" s="1057">
        <v>2026</v>
      </c>
      <c r="I19" s="1058"/>
    </row>
    <row r="20" spans="2:9" ht="12.75">
      <c r="B20" s="996" t="s">
        <v>552</v>
      </c>
      <c r="C20" s="1059"/>
      <c r="D20" s="1060">
        <v>12000</v>
      </c>
      <c r="E20" s="1061">
        <v>3000</v>
      </c>
      <c r="F20" s="1060"/>
      <c r="G20" s="1062"/>
      <c r="H20" s="1062"/>
      <c r="I20" s="1063"/>
    </row>
    <row r="21" spans="2:9" ht="12.75">
      <c r="B21" s="996" t="s">
        <v>553</v>
      </c>
      <c r="C21" s="1059"/>
      <c r="D21" s="1060">
        <v>2746</v>
      </c>
      <c r="E21" s="1060">
        <v>1150</v>
      </c>
      <c r="F21" s="1060"/>
      <c r="G21" s="1062"/>
      <c r="H21" s="1062"/>
      <c r="I21" s="1063"/>
    </row>
    <row r="22" spans="2:9" ht="12.75">
      <c r="B22" s="996" t="s">
        <v>1092</v>
      </c>
      <c r="C22" s="1059"/>
      <c r="D22" s="1060">
        <v>16764</v>
      </c>
      <c r="E22" s="1061">
        <v>979</v>
      </c>
      <c r="F22" s="1060"/>
      <c r="G22" s="1062"/>
      <c r="H22" s="1062"/>
      <c r="I22" s="1063"/>
    </row>
    <row r="23" spans="2:9" ht="12.75">
      <c r="B23" s="996" t="s">
        <v>1093</v>
      </c>
      <c r="C23" s="1059"/>
      <c r="D23" s="1060">
        <v>2744</v>
      </c>
      <c r="E23" s="1060">
        <v>2744</v>
      </c>
      <c r="F23" s="1060"/>
      <c r="G23" s="1062"/>
      <c r="H23" s="1062"/>
      <c r="I23" s="1063"/>
    </row>
    <row r="24" spans="2:9" ht="12.75">
      <c r="B24" s="996" t="s">
        <v>1094</v>
      </c>
      <c r="C24" s="1059"/>
      <c r="D24" s="1060">
        <v>1974</v>
      </c>
      <c r="E24" s="1060">
        <v>1974</v>
      </c>
      <c r="F24" s="1060"/>
      <c r="G24" s="1062"/>
      <c r="H24" s="1062"/>
      <c r="I24" s="1063"/>
    </row>
    <row r="25" spans="2:9" ht="12.75">
      <c r="B25" s="996" t="s">
        <v>554</v>
      </c>
      <c r="C25" s="1059"/>
      <c r="D25" s="1060">
        <v>2134</v>
      </c>
      <c r="E25" s="1060">
        <v>2400</v>
      </c>
      <c r="F25" s="1060"/>
      <c r="G25" s="1062"/>
      <c r="H25" s="1062"/>
      <c r="I25" s="1063"/>
    </row>
    <row r="26" spans="2:9" ht="12.75">
      <c r="B26" s="996" t="s">
        <v>555</v>
      </c>
      <c r="C26" s="1059"/>
      <c r="D26" s="1060">
        <v>1500</v>
      </c>
      <c r="E26" s="1061">
        <v>1500</v>
      </c>
      <c r="F26" s="1060">
        <v>1500</v>
      </c>
      <c r="G26" s="1062"/>
      <c r="H26" s="1062"/>
      <c r="I26" s="1063"/>
    </row>
    <row r="27" spans="2:9" ht="12.75">
      <c r="B27" s="996" t="s">
        <v>556</v>
      </c>
      <c r="C27" s="1059"/>
      <c r="D27" s="1060"/>
      <c r="E27" s="1061">
        <v>14000</v>
      </c>
      <c r="F27" s="1060"/>
      <c r="G27" s="1062"/>
      <c r="H27" s="1062"/>
      <c r="I27" s="1063"/>
    </row>
    <row r="28" spans="2:9" ht="12.75">
      <c r="B28" s="1279" t="s">
        <v>557</v>
      </c>
      <c r="C28" s="1280"/>
      <c r="D28" s="662">
        <v>8000</v>
      </c>
      <c r="E28" s="663">
        <v>4000</v>
      </c>
      <c r="F28" s="1060"/>
      <c r="G28" s="1062"/>
      <c r="H28" s="1062"/>
      <c r="I28" s="1063"/>
    </row>
    <row r="29" spans="2:9" ht="12.75">
      <c r="B29" s="996" t="s">
        <v>558</v>
      </c>
      <c r="C29" s="997"/>
      <c r="D29" s="662">
        <v>2500</v>
      </c>
      <c r="E29" s="663">
        <v>500</v>
      </c>
      <c r="F29" s="1060"/>
      <c r="G29" s="1062"/>
      <c r="H29" s="1062"/>
      <c r="I29" s="1063"/>
    </row>
    <row r="30" spans="2:9" ht="12.75">
      <c r="B30" s="996" t="s">
        <v>559</v>
      </c>
      <c r="C30" s="997"/>
      <c r="D30" s="662">
        <v>2800</v>
      </c>
      <c r="E30" s="663">
        <v>1700</v>
      </c>
      <c r="F30" s="1060"/>
      <c r="G30" s="1062"/>
      <c r="H30" s="1062"/>
      <c r="I30" s="1063"/>
    </row>
    <row r="31" spans="2:9" ht="12.75">
      <c r="B31" s="996" t="s">
        <v>560</v>
      </c>
      <c r="C31" s="997"/>
      <c r="D31" s="662"/>
      <c r="E31" s="663">
        <v>6350</v>
      </c>
      <c r="F31" s="1060">
        <v>6350</v>
      </c>
      <c r="G31" s="1062"/>
      <c r="H31" s="1062"/>
      <c r="I31" s="1063"/>
    </row>
    <row r="32" spans="2:9" ht="12.75">
      <c r="B32" s="996" t="s">
        <v>561</v>
      </c>
      <c r="C32" s="997"/>
      <c r="D32" s="662">
        <v>5542</v>
      </c>
      <c r="E32" s="663">
        <v>3960</v>
      </c>
      <c r="F32" s="1060"/>
      <c r="G32" s="1062"/>
      <c r="H32" s="1062"/>
      <c r="I32" s="1064"/>
    </row>
    <row r="33" spans="2:9" ht="12.75">
      <c r="B33" s="996" t="s">
        <v>562</v>
      </c>
      <c r="C33" s="997"/>
      <c r="D33" s="662">
        <v>2000</v>
      </c>
      <c r="E33" s="663">
        <v>2000</v>
      </c>
      <c r="F33" s="1060"/>
      <c r="G33" s="1062"/>
      <c r="H33" s="1062"/>
      <c r="I33" s="1064"/>
    </row>
    <row r="34" spans="2:9" ht="12.75">
      <c r="B34" s="996" t="s">
        <v>563</v>
      </c>
      <c r="C34" s="997"/>
      <c r="D34" s="662">
        <v>4167</v>
      </c>
      <c r="E34" s="663">
        <v>833</v>
      </c>
      <c r="F34" s="1060"/>
      <c r="G34" s="1062"/>
      <c r="H34" s="1062"/>
      <c r="I34" s="1064"/>
    </row>
    <row r="35" spans="2:9" ht="12.75">
      <c r="B35" s="996" t="s">
        <v>564</v>
      </c>
      <c r="C35" s="997"/>
      <c r="D35" s="662">
        <v>500</v>
      </c>
      <c r="E35" s="663">
        <v>500</v>
      </c>
      <c r="F35" s="1060"/>
      <c r="G35" s="1062"/>
      <c r="H35" s="1062"/>
      <c r="I35" s="1064"/>
    </row>
    <row r="36" spans="2:9" ht="12.75">
      <c r="B36" s="996" t="s">
        <v>565</v>
      </c>
      <c r="C36" s="997"/>
      <c r="D36" s="662">
        <v>1500</v>
      </c>
      <c r="E36" s="663">
        <v>500</v>
      </c>
      <c r="F36" s="1060"/>
      <c r="G36" s="1062"/>
      <c r="H36" s="1062"/>
      <c r="I36" s="1064"/>
    </row>
    <row r="37" spans="2:9" ht="12.75">
      <c r="B37" s="996" t="s">
        <v>566</v>
      </c>
      <c r="C37" s="997"/>
      <c r="D37" s="662">
        <v>10589</v>
      </c>
      <c r="E37" s="663">
        <v>4412</v>
      </c>
      <c r="F37" s="1060"/>
      <c r="G37" s="1062"/>
      <c r="H37" s="1062"/>
      <c r="I37" s="1064"/>
    </row>
    <row r="38" spans="2:9" ht="12.75">
      <c r="B38" s="996" t="s">
        <v>567</v>
      </c>
      <c r="C38" s="997"/>
      <c r="D38" s="662">
        <v>5000</v>
      </c>
      <c r="E38" s="663">
        <v>5000</v>
      </c>
      <c r="F38" s="1060"/>
      <c r="G38" s="1062"/>
      <c r="H38" s="1062"/>
      <c r="I38" s="1064"/>
    </row>
    <row r="39" spans="2:9" ht="12.75">
      <c r="B39" s="996" t="s">
        <v>568</v>
      </c>
      <c r="C39" s="997"/>
      <c r="D39" s="662">
        <v>546</v>
      </c>
      <c r="E39" s="663">
        <v>546</v>
      </c>
      <c r="F39" s="1060"/>
      <c r="G39" s="1062"/>
      <c r="H39" s="1062"/>
      <c r="I39" s="1064"/>
    </row>
    <row r="40" spans="2:9" ht="12.75">
      <c r="B40" s="996" t="s">
        <v>569</v>
      </c>
      <c r="C40" s="997"/>
      <c r="D40" s="662"/>
      <c r="E40" s="663">
        <v>14000</v>
      </c>
      <c r="F40" s="1060">
        <v>14000</v>
      </c>
      <c r="G40" s="1062"/>
      <c r="H40" s="1062"/>
      <c r="I40" s="1064"/>
    </row>
    <row r="41" spans="2:9" ht="12.75">
      <c r="B41" s="996" t="s">
        <v>570</v>
      </c>
      <c r="C41" s="997"/>
      <c r="D41" s="662">
        <v>2200</v>
      </c>
      <c r="E41" s="663">
        <v>1000</v>
      </c>
      <c r="F41" s="1060"/>
      <c r="G41" s="1062"/>
      <c r="H41" s="1062"/>
      <c r="I41" s="1064"/>
    </row>
    <row r="42" spans="2:9" ht="12.75">
      <c r="B42" s="996" t="s">
        <v>571</v>
      </c>
      <c r="C42" s="997"/>
      <c r="D42" s="662"/>
      <c r="E42" s="663">
        <v>8500</v>
      </c>
      <c r="F42" s="1060"/>
      <c r="G42" s="1062"/>
      <c r="H42" s="1062"/>
      <c r="I42" s="1064"/>
    </row>
    <row r="43" spans="2:9" ht="12.75">
      <c r="B43" s="996" t="s">
        <v>572</v>
      </c>
      <c r="C43" s="997"/>
      <c r="D43" s="662">
        <v>2100</v>
      </c>
      <c r="E43" s="663">
        <v>4200</v>
      </c>
      <c r="F43" s="1060">
        <v>1750</v>
      </c>
      <c r="G43" s="1062"/>
      <c r="H43" s="1062"/>
      <c r="I43" s="1064"/>
    </row>
    <row r="44" spans="2:9" ht="12.75">
      <c r="B44" s="996" t="s">
        <v>573</v>
      </c>
      <c r="C44" s="997"/>
      <c r="D44" s="662">
        <v>2450</v>
      </c>
      <c r="E44" s="663">
        <v>4560</v>
      </c>
      <c r="F44" s="1060">
        <v>2280</v>
      </c>
      <c r="G44" s="1062"/>
      <c r="H44" s="1062"/>
      <c r="I44" s="1064"/>
    </row>
    <row r="45" spans="2:9" ht="12.75">
      <c r="B45" s="996" t="s">
        <v>574</v>
      </c>
      <c r="C45" s="997"/>
      <c r="D45" s="662">
        <v>4560</v>
      </c>
      <c r="E45" s="663">
        <v>2280</v>
      </c>
      <c r="F45" s="1060"/>
      <c r="G45" s="1062"/>
      <c r="H45" s="1062"/>
      <c r="I45" s="1064"/>
    </row>
    <row r="46" spans="2:9" ht="12.75">
      <c r="B46" s="996" t="s">
        <v>575</v>
      </c>
      <c r="C46" s="997"/>
      <c r="D46" s="662">
        <v>694</v>
      </c>
      <c r="E46" s="663">
        <v>694</v>
      </c>
      <c r="F46" s="662"/>
      <c r="G46" s="662"/>
      <c r="H46" s="662"/>
      <c r="I46" s="1064"/>
    </row>
    <row r="47" spans="2:9" ht="12.75">
      <c r="B47" s="996" t="s">
        <v>576</v>
      </c>
      <c r="C47" s="997"/>
      <c r="D47" s="662">
        <v>108</v>
      </c>
      <c r="E47" s="663">
        <v>108</v>
      </c>
      <c r="F47" s="662"/>
      <c r="G47" s="662"/>
      <c r="H47" s="662"/>
      <c r="I47" s="1065"/>
    </row>
    <row r="48" spans="2:9" ht="12.75">
      <c r="B48" s="1279" t="s">
        <v>120</v>
      </c>
      <c r="C48" s="1280"/>
      <c r="D48" s="662">
        <v>24000</v>
      </c>
      <c r="E48" s="663">
        <v>11250</v>
      </c>
      <c r="F48" s="662"/>
      <c r="G48" s="662"/>
      <c r="H48" s="662"/>
      <c r="I48" s="1064"/>
    </row>
    <row r="49" spans="2:9" ht="12.75">
      <c r="B49" s="996" t="s">
        <v>412</v>
      </c>
      <c r="C49" s="997"/>
      <c r="D49" s="662">
        <v>5000</v>
      </c>
      <c r="E49" s="663">
        <v>2333</v>
      </c>
      <c r="F49" s="662"/>
      <c r="G49" s="662"/>
      <c r="H49" s="662"/>
      <c r="I49" s="1064"/>
    </row>
    <row r="50" spans="2:9" ht="12.75">
      <c r="B50" s="996" t="s">
        <v>577</v>
      </c>
      <c r="C50" s="997"/>
      <c r="D50" s="662">
        <v>24000</v>
      </c>
      <c r="E50" s="663">
        <v>14000</v>
      </c>
      <c r="F50" s="662"/>
      <c r="G50" s="662"/>
      <c r="H50" s="662"/>
      <c r="I50" s="1064"/>
    </row>
    <row r="51" spans="2:9" ht="12.75" customHeight="1">
      <c r="B51" s="1066" t="s">
        <v>578</v>
      </c>
      <c r="C51" s="1067"/>
      <c r="D51" s="662">
        <v>600</v>
      </c>
      <c r="E51" s="663">
        <v>600</v>
      </c>
      <c r="F51" s="662"/>
      <c r="G51" s="662"/>
      <c r="H51" s="662"/>
      <c r="I51" s="1064"/>
    </row>
    <row r="52" spans="2:9" ht="12.75" customHeight="1">
      <c r="B52" s="1066" t="s">
        <v>579</v>
      </c>
      <c r="C52" s="1067"/>
      <c r="D52" s="662">
        <v>30000</v>
      </c>
      <c r="E52" s="663">
        <v>15000</v>
      </c>
      <c r="F52" s="662"/>
      <c r="G52" s="662"/>
      <c r="H52" s="662"/>
      <c r="I52" s="1064"/>
    </row>
    <row r="53" spans="2:9" ht="12.75" customHeight="1">
      <c r="B53" s="1066" t="s">
        <v>580</v>
      </c>
      <c r="C53" s="1067"/>
      <c r="D53" s="662">
        <v>75000</v>
      </c>
      <c r="E53" s="663">
        <v>89154</v>
      </c>
      <c r="F53" s="662">
        <v>52007</v>
      </c>
      <c r="G53" s="662"/>
      <c r="H53" s="662"/>
      <c r="I53" s="1064"/>
    </row>
    <row r="54" spans="2:9" ht="12.75">
      <c r="B54" s="1279" t="s">
        <v>581</v>
      </c>
      <c r="C54" s="1280"/>
      <c r="D54" s="662">
        <v>350000</v>
      </c>
      <c r="E54" s="663">
        <v>350000</v>
      </c>
      <c r="F54" s="662">
        <v>350000</v>
      </c>
      <c r="G54" s="662">
        <v>171500</v>
      </c>
      <c r="H54" s="662"/>
      <c r="I54" s="1064"/>
    </row>
    <row r="55" spans="2:9" ht="12.75">
      <c r="B55" s="1279" t="s">
        <v>1162</v>
      </c>
      <c r="C55" s="1280"/>
      <c r="D55" s="662">
        <v>2423334</v>
      </c>
      <c r="E55" s="663">
        <v>2748397</v>
      </c>
      <c r="F55" s="662"/>
      <c r="G55" s="662"/>
      <c r="H55" s="662"/>
      <c r="I55" s="1048"/>
    </row>
    <row r="56" spans="2:9" ht="12.75">
      <c r="B56" s="1279" t="s">
        <v>1366</v>
      </c>
      <c r="C56" s="1280"/>
      <c r="D56" s="662">
        <f>465000-150000</f>
        <v>315000</v>
      </c>
      <c r="E56" s="663">
        <f>663000+150000</f>
        <v>813000</v>
      </c>
      <c r="F56" s="662"/>
      <c r="G56" s="662"/>
      <c r="H56" s="662"/>
      <c r="I56" s="1048"/>
    </row>
    <row r="57" spans="2:8" ht="12.75">
      <c r="B57" s="1279" t="s">
        <v>1367</v>
      </c>
      <c r="C57" s="1280"/>
      <c r="D57" s="662">
        <v>915936</v>
      </c>
      <c r="E57" s="663">
        <v>425552</v>
      </c>
      <c r="F57" s="662"/>
      <c r="G57" s="662"/>
      <c r="H57" s="662"/>
    </row>
  </sheetData>
  <mergeCells count="24">
    <mergeCell ref="B2:L2"/>
    <mergeCell ref="B4:L4"/>
    <mergeCell ref="B6:F6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B13:B14"/>
    <mergeCell ref="B15:B16"/>
    <mergeCell ref="B19:C19"/>
    <mergeCell ref="B28:C28"/>
    <mergeCell ref="B11:B12"/>
    <mergeCell ref="B56:C56"/>
    <mergeCell ref="B57:C57"/>
    <mergeCell ref="B55:C55"/>
    <mergeCell ref="B48:C48"/>
    <mergeCell ref="B54:C54"/>
  </mergeCells>
  <printOptions/>
  <pageMargins left="0.1968503937007874" right="0.1968503937007874" top="0" bottom="0" header="0" footer="0"/>
  <pageSetup firstPageNumber="39" useFirstPageNumber="1" horizontalDpi="200" verticalDpi="200" orientation="landscape" paperSize="9" scale="97" r:id="rId1"/>
  <headerFooter alignWithMargins="0">
    <oddFooter>&amp;C&amp;P.oldal</oddFooter>
  </headerFooter>
  <rowBreaks count="1" manualBreakCount="1">
    <brk id="1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 topLeftCell="A7">
      <selection activeCell="J28" sqref="J28"/>
    </sheetView>
  </sheetViews>
  <sheetFormatPr defaultColWidth="9.125" defaultRowHeight="12.75"/>
  <cols>
    <col min="1" max="1" width="6.875" style="664" customWidth="1"/>
    <col min="2" max="2" width="10.125" style="664" customWidth="1"/>
    <col min="3" max="3" width="24.875" style="664" customWidth="1"/>
    <col min="4" max="4" width="10.625" style="664" customWidth="1"/>
    <col min="5" max="7" width="9.125" style="664" customWidth="1"/>
    <col min="8" max="8" width="18.875" style="664" customWidth="1"/>
    <col min="9" max="10" width="14.75390625" style="664" customWidth="1"/>
    <col min="11" max="16384" width="9.125" style="664" customWidth="1"/>
  </cols>
  <sheetData>
    <row r="1" spans="1:9" ht="12.75">
      <c r="A1" s="1324" t="s">
        <v>582</v>
      </c>
      <c r="B1" s="1324"/>
      <c r="C1" s="1324"/>
      <c r="D1" s="1324"/>
      <c r="E1" s="1324"/>
      <c r="F1" s="1324"/>
      <c r="G1" s="1324"/>
      <c r="H1" s="1324"/>
      <c r="I1" s="1324"/>
    </row>
    <row r="2" ht="16.5" customHeight="1"/>
    <row r="3" spans="1:9" ht="14.25" customHeight="1">
      <c r="A3" s="1325" t="s">
        <v>1194</v>
      </c>
      <c r="B3" s="1325"/>
      <c r="C3" s="1325"/>
      <c r="D3" s="1325"/>
      <c r="E3" s="1325"/>
      <c r="F3" s="1325"/>
      <c r="G3" s="1325"/>
      <c r="H3" s="1325"/>
      <c r="I3" s="1325"/>
    </row>
    <row r="4" spans="1:8" ht="14.25">
      <c r="A4" s="665"/>
      <c r="B4" s="665"/>
      <c r="C4" s="665"/>
      <c r="D4" s="665"/>
      <c r="E4" s="665"/>
      <c r="F4" s="665"/>
      <c r="G4" s="665"/>
      <c r="H4" s="665"/>
    </row>
    <row r="5" spans="1:8" ht="9.75" customHeight="1">
      <c r="A5" s="665"/>
      <c r="B5" s="665"/>
      <c r="C5" s="665"/>
      <c r="D5" s="665"/>
      <c r="E5" s="665"/>
      <c r="F5" s="665"/>
      <c r="G5" s="665"/>
      <c r="H5" s="665"/>
    </row>
    <row r="6" spans="4:10" ht="12.75">
      <c r="D6" s="666"/>
      <c r="E6" s="666"/>
      <c r="F6" s="666"/>
      <c r="G6" s="666"/>
      <c r="H6" s="666"/>
      <c r="I6" s="667"/>
      <c r="J6" s="667" t="s">
        <v>154</v>
      </c>
    </row>
    <row r="7" spans="1:10" ht="24.75" customHeight="1">
      <c r="A7" s="1326" t="s">
        <v>247</v>
      </c>
      <c r="B7" s="1328" t="s">
        <v>138</v>
      </c>
      <c r="C7" s="1329"/>
      <c r="D7" s="1328" t="s">
        <v>583</v>
      </c>
      <c r="E7" s="1332"/>
      <c r="F7" s="1332"/>
      <c r="G7" s="1332"/>
      <c r="H7" s="1329"/>
      <c r="I7" s="1322" t="s">
        <v>1321</v>
      </c>
      <c r="J7" s="1322" t="s">
        <v>1342</v>
      </c>
    </row>
    <row r="8" spans="1:10" ht="25.5" customHeight="1" thickBot="1">
      <c r="A8" s="1327"/>
      <c r="B8" s="1330"/>
      <c r="C8" s="1331"/>
      <c r="D8" s="1333"/>
      <c r="E8" s="1334"/>
      <c r="F8" s="1334"/>
      <c r="G8" s="1334"/>
      <c r="H8" s="1335"/>
      <c r="I8" s="1323"/>
      <c r="J8" s="1323"/>
    </row>
    <row r="9" spans="1:10" ht="15.75" customHeight="1">
      <c r="A9" s="1297" t="s">
        <v>139</v>
      </c>
      <c r="B9" s="1313" t="s">
        <v>1095</v>
      </c>
      <c r="C9" s="1314"/>
      <c r="D9" s="1311" t="s">
        <v>264</v>
      </c>
      <c r="E9" s="668" t="s">
        <v>584</v>
      </c>
      <c r="F9" s="669"/>
      <c r="G9" s="669"/>
      <c r="H9" s="670"/>
      <c r="I9" s="671">
        <v>2450</v>
      </c>
      <c r="J9" s="671">
        <v>2450</v>
      </c>
    </row>
    <row r="10" spans="1:10" ht="15.75" customHeight="1">
      <c r="A10" s="1299"/>
      <c r="B10" s="1315"/>
      <c r="C10" s="1316"/>
      <c r="D10" s="1311"/>
      <c r="E10" s="668" t="s">
        <v>585</v>
      </c>
      <c r="F10" s="669"/>
      <c r="G10" s="669"/>
      <c r="H10" s="670"/>
      <c r="I10" s="672"/>
      <c r="J10" s="672"/>
    </row>
    <row r="11" spans="1:10" ht="15.75" customHeight="1">
      <c r="A11" s="1299"/>
      <c r="B11" s="1317"/>
      <c r="C11" s="1318"/>
      <c r="D11" s="1321" t="s">
        <v>265</v>
      </c>
      <c r="E11" s="673" t="s">
        <v>266</v>
      </c>
      <c r="F11" s="674"/>
      <c r="G11" s="674"/>
      <c r="H11" s="675"/>
      <c r="I11" s="676">
        <v>99</v>
      </c>
      <c r="J11" s="676">
        <v>99</v>
      </c>
    </row>
    <row r="12" spans="1:10" ht="15.75" customHeight="1">
      <c r="A12" s="1299"/>
      <c r="B12" s="1317"/>
      <c r="C12" s="1318"/>
      <c r="D12" s="1311"/>
      <c r="E12" s="668" t="s">
        <v>586</v>
      </c>
      <c r="F12" s="669"/>
      <c r="G12" s="669"/>
      <c r="H12" s="670"/>
      <c r="I12" s="672">
        <v>15</v>
      </c>
      <c r="J12" s="672">
        <v>15</v>
      </c>
    </row>
    <row r="13" spans="1:10" ht="15.75" customHeight="1">
      <c r="A13" s="1299"/>
      <c r="B13" s="1317"/>
      <c r="C13" s="1318"/>
      <c r="D13" s="1311"/>
      <c r="E13" s="668" t="s">
        <v>267</v>
      </c>
      <c r="F13" s="669"/>
      <c r="G13" s="669"/>
      <c r="H13" s="670"/>
      <c r="I13" s="672">
        <v>100</v>
      </c>
      <c r="J13" s="672">
        <v>100</v>
      </c>
    </row>
    <row r="14" spans="1:10" ht="15.75" customHeight="1">
      <c r="A14" s="1299"/>
      <c r="B14" s="1317"/>
      <c r="C14" s="1318"/>
      <c r="D14" s="1311"/>
      <c r="E14" s="668" t="s">
        <v>83</v>
      </c>
      <c r="F14" s="669"/>
      <c r="G14" s="669"/>
      <c r="H14" s="670"/>
      <c r="I14" s="672"/>
      <c r="J14" s="672"/>
    </row>
    <row r="15" spans="1:10" ht="15.75" customHeight="1">
      <c r="A15" s="1299"/>
      <c r="B15" s="1317"/>
      <c r="C15" s="1318"/>
      <c r="D15" s="1311"/>
      <c r="E15" s="668" t="s">
        <v>432</v>
      </c>
      <c r="F15" s="669"/>
      <c r="G15" s="669"/>
      <c r="H15" s="670"/>
      <c r="I15" s="672"/>
      <c r="J15" s="672"/>
    </row>
    <row r="16" spans="1:10" ht="15.75" customHeight="1">
      <c r="A16" s="1299"/>
      <c r="B16" s="1317"/>
      <c r="C16" s="1318"/>
      <c r="D16" s="1311"/>
      <c r="E16" s="668" t="s">
        <v>433</v>
      </c>
      <c r="F16" s="669"/>
      <c r="G16" s="669"/>
      <c r="H16" s="670"/>
      <c r="I16" s="672"/>
      <c r="J16" s="672"/>
    </row>
    <row r="17" spans="1:10" ht="15.75" customHeight="1" thickBot="1">
      <c r="A17" s="1312"/>
      <c r="B17" s="1319"/>
      <c r="C17" s="1320"/>
      <c r="D17" s="1276"/>
      <c r="E17" s="677" t="s">
        <v>587</v>
      </c>
      <c r="F17" s="678"/>
      <c r="G17" s="678"/>
      <c r="H17" s="679"/>
      <c r="I17" s="680"/>
      <c r="J17" s="680"/>
    </row>
    <row r="18" spans="1:10" ht="15.75" customHeight="1">
      <c r="A18" s="1297" t="s">
        <v>140</v>
      </c>
      <c r="B18" s="1313" t="s">
        <v>1355</v>
      </c>
      <c r="C18" s="1314"/>
      <c r="D18" s="1311" t="s">
        <v>264</v>
      </c>
      <c r="E18" s="668" t="s">
        <v>584</v>
      </c>
      <c r="F18" s="669"/>
      <c r="G18" s="669"/>
      <c r="H18" s="670"/>
      <c r="I18" s="671">
        <v>15865</v>
      </c>
      <c r="J18" s="671">
        <v>15865</v>
      </c>
    </row>
    <row r="19" spans="1:10" ht="15.75" customHeight="1">
      <c r="A19" s="1299"/>
      <c r="B19" s="1315"/>
      <c r="C19" s="1316"/>
      <c r="D19" s="1311"/>
      <c r="E19" s="668" t="s">
        <v>585</v>
      </c>
      <c r="F19" s="669"/>
      <c r="G19" s="669"/>
      <c r="H19" s="670"/>
      <c r="I19" s="672"/>
      <c r="J19" s="672"/>
    </row>
    <row r="20" spans="1:10" ht="15.75" customHeight="1">
      <c r="A20" s="1299"/>
      <c r="B20" s="1317"/>
      <c r="C20" s="1318"/>
      <c r="D20" s="1321" t="s">
        <v>265</v>
      </c>
      <c r="E20" s="673" t="s">
        <v>266</v>
      </c>
      <c r="F20" s="674"/>
      <c r="G20" s="674"/>
      <c r="H20" s="675"/>
      <c r="I20" s="676">
        <v>15000</v>
      </c>
      <c r="J20" s="676">
        <v>15000</v>
      </c>
    </row>
    <row r="21" spans="1:10" ht="15.75" customHeight="1">
      <c r="A21" s="1299"/>
      <c r="B21" s="1317"/>
      <c r="C21" s="1318"/>
      <c r="D21" s="1311"/>
      <c r="E21" s="668" t="s">
        <v>586</v>
      </c>
      <c r="F21" s="669"/>
      <c r="G21" s="669"/>
      <c r="H21" s="670"/>
      <c r="I21" s="672">
        <v>1950</v>
      </c>
      <c r="J21" s="672">
        <v>1950</v>
      </c>
    </row>
    <row r="22" spans="1:10" ht="15.75" customHeight="1">
      <c r="A22" s="1299"/>
      <c r="B22" s="1317"/>
      <c r="C22" s="1318"/>
      <c r="D22" s="1311"/>
      <c r="E22" s="668" t="s">
        <v>267</v>
      </c>
      <c r="F22" s="669"/>
      <c r="G22" s="669"/>
      <c r="H22" s="670"/>
      <c r="I22" s="672">
        <v>3242</v>
      </c>
      <c r="J22" s="672">
        <v>3242</v>
      </c>
    </row>
    <row r="23" spans="1:10" ht="15.75" customHeight="1">
      <c r="A23" s="1299"/>
      <c r="B23" s="1317"/>
      <c r="C23" s="1318"/>
      <c r="D23" s="1311"/>
      <c r="E23" s="668" t="s">
        <v>83</v>
      </c>
      <c r="F23" s="669"/>
      <c r="G23" s="669"/>
      <c r="H23" s="670"/>
      <c r="I23" s="672"/>
      <c r="J23" s="672"/>
    </row>
    <row r="24" spans="1:10" ht="15.75" customHeight="1">
      <c r="A24" s="1299"/>
      <c r="B24" s="1317"/>
      <c r="C24" s="1318"/>
      <c r="D24" s="1311"/>
      <c r="E24" s="668" t="s">
        <v>432</v>
      </c>
      <c r="F24" s="669"/>
      <c r="G24" s="669"/>
      <c r="H24" s="670"/>
      <c r="I24" s="672"/>
      <c r="J24" s="672"/>
    </row>
    <row r="25" spans="1:10" ht="15.75" customHeight="1">
      <c r="A25" s="1299"/>
      <c r="B25" s="1317"/>
      <c r="C25" s="1318"/>
      <c r="D25" s="1311"/>
      <c r="E25" s="668" t="s">
        <v>433</v>
      </c>
      <c r="F25" s="669"/>
      <c r="G25" s="669"/>
      <c r="H25" s="670"/>
      <c r="I25" s="672"/>
      <c r="J25" s="672"/>
    </row>
    <row r="26" spans="1:10" ht="15.75" customHeight="1" thickBot="1">
      <c r="A26" s="1312"/>
      <c r="B26" s="1319"/>
      <c r="C26" s="1320"/>
      <c r="D26" s="1276"/>
      <c r="E26" s="677" t="s">
        <v>587</v>
      </c>
      <c r="F26" s="678"/>
      <c r="G26" s="678"/>
      <c r="H26" s="679"/>
      <c r="I26" s="680"/>
      <c r="J26" s="680"/>
    </row>
    <row r="27" spans="1:10" ht="15.75" customHeight="1">
      <c r="A27" s="1297" t="s">
        <v>140</v>
      </c>
      <c r="B27" s="1313" t="s">
        <v>1195</v>
      </c>
      <c r="C27" s="1314"/>
      <c r="D27" s="1311" t="s">
        <v>264</v>
      </c>
      <c r="E27" s="668" t="s">
        <v>584</v>
      </c>
      <c r="F27" s="669"/>
      <c r="G27" s="669"/>
      <c r="H27" s="670"/>
      <c r="I27" s="671">
        <v>5233</v>
      </c>
      <c r="J27" s="671">
        <v>5233</v>
      </c>
    </row>
    <row r="28" spans="1:10" ht="15.75" customHeight="1">
      <c r="A28" s="1299"/>
      <c r="B28" s="1315"/>
      <c r="C28" s="1316"/>
      <c r="D28" s="1311"/>
      <c r="E28" s="668" t="s">
        <v>585</v>
      </c>
      <c r="F28" s="669"/>
      <c r="G28" s="669"/>
      <c r="H28" s="670"/>
      <c r="I28" s="672"/>
      <c r="J28" s="672"/>
    </row>
    <row r="29" spans="1:10" ht="15.75" customHeight="1">
      <c r="A29" s="1299"/>
      <c r="B29" s="1317"/>
      <c r="C29" s="1318"/>
      <c r="D29" s="1321" t="s">
        <v>265</v>
      </c>
      <c r="E29" s="673" t="s">
        <v>266</v>
      </c>
      <c r="F29" s="674"/>
      <c r="G29" s="674"/>
      <c r="H29" s="675"/>
      <c r="I29" s="676">
        <v>7400</v>
      </c>
      <c r="J29" s="676">
        <v>7400</v>
      </c>
    </row>
    <row r="30" spans="1:10" ht="15.75" customHeight="1">
      <c r="A30" s="1299"/>
      <c r="B30" s="1317"/>
      <c r="C30" s="1318"/>
      <c r="D30" s="1311"/>
      <c r="E30" s="668" t="s">
        <v>586</v>
      </c>
      <c r="F30" s="669"/>
      <c r="G30" s="669"/>
      <c r="H30" s="670"/>
      <c r="I30" s="672">
        <v>962</v>
      </c>
      <c r="J30" s="672">
        <v>962</v>
      </c>
    </row>
    <row r="31" spans="1:10" ht="15.75" customHeight="1">
      <c r="A31" s="1299"/>
      <c r="B31" s="1317"/>
      <c r="C31" s="1318"/>
      <c r="D31" s="1311"/>
      <c r="E31" s="668" t="s">
        <v>267</v>
      </c>
      <c r="F31" s="669"/>
      <c r="G31" s="669"/>
      <c r="H31" s="670"/>
      <c r="I31" s="672">
        <v>302</v>
      </c>
      <c r="J31" s="672">
        <v>302</v>
      </c>
    </row>
    <row r="32" spans="1:10" ht="15.75" customHeight="1">
      <c r="A32" s="1299"/>
      <c r="B32" s="1317"/>
      <c r="C32" s="1318"/>
      <c r="D32" s="1311"/>
      <c r="E32" s="668" t="s">
        <v>83</v>
      </c>
      <c r="F32" s="669"/>
      <c r="G32" s="669"/>
      <c r="H32" s="670"/>
      <c r="I32" s="672"/>
      <c r="J32" s="672"/>
    </row>
    <row r="33" spans="1:10" ht="15.75" customHeight="1">
      <c r="A33" s="1299"/>
      <c r="B33" s="1317"/>
      <c r="C33" s="1318"/>
      <c r="D33" s="1311"/>
      <c r="E33" s="668" t="s">
        <v>432</v>
      </c>
      <c r="F33" s="669"/>
      <c r="G33" s="669"/>
      <c r="H33" s="670"/>
      <c r="I33" s="672"/>
      <c r="J33" s="672"/>
    </row>
    <row r="34" spans="1:10" ht="15.75" customHeight="1">
      <c r="A34" s="1299"/>
      <c r="B34" s="1317"/>
      <c r="C34" s="1318"/>
      <c r="D34" s="1311"/>
      <c r="E34" s="668" t="s">
        <v>433</v>
      </c>
      <c r="F34" s="669"/>
      <c r="G34" s="669"/>
      <c r="H34" s="670"/>
      <c r="I34" s="672"/>
      <c r="J34" s="672"/>
    </row>
    <row r="35" spans="1:10" ht="15.75" customHeight="1" thickBot="1">
      <c r="A35" s="1312"/>
      <c r="B35" s="1319"/>
      <c r="C35" s="1320"/>
      <c r="D35" s="1276"/>
      <c r="E35" s="677" t="s">
        <v>587</v>
      </c>
      <c r="F35" s="678"/>
      <c r="G35" s="678"/>
      <c r="H35" s="679"/>
      <c r="I35" s="680"/>
      <c r="J35" s="680"/>
    </row>
    <row r="36" spans="1:10" ht="13.7" customHeight="1">
      <c r="A36" s="1297"/>
      <c r="B36" s="1301" t="s">
        <v>150</v>
      </c>
      <c r="C36" s="1302"/>
      <c r="D36" s="1309" t="s">
        <v>264</v>
      </c>
      <c r="E36" s="681" t="s">
        <v>584</v>
      </c>
      <c r="F36" s="682"/>
      <c r="G36" s="682"/>
      <c r="H36" s="683"/>
      <c r="I36" s="684">
        <f>I9+I18+I27</f>
        <v>23548</v>
      </c>
      <c r="J36" s="684">
        <f>J9+J18+J27</f>
        <v>23548</v>
      </c>
    </row>
    <row r="37" spans="1:10" ht="13.7" customHeight="1" thickBot="1">
      <c r="A37" s="1298"/>
      <c r="B37" s="1303"/>
      <c r="C37" s="1304"/>
      <c r="D37" s="1310"/>
      <c r="E37" s="685" t="s">
        <v>585</v>
      </c>
      <c r="F37" s="678"/>
      <c r="G37" s="678"/>
      <c r="H37" s="679"/>
      <c r="I37" s="686"/>
      <c r="J37" s="686"/>
    </row>
    <row r="38" spans="1:10" ht="13.7" customHeight="1">
      <c r="A38" s="1299"/>
      <c r="B38" s="1305"/>
      <c r="C38" s="1306"/>
      <c r="D38" s="1311" t="s">
        <v>265</v>
      </c>
      <c r="E38" s="668" t="s">
        <v>266</v>
      </c>
      <c r="F38" s="669"/>
      <c r="G38" s="669"/>
      <c r="H38" s="670"/>
      <c r="I38" s="687">
        <f>I11+I20+I29</f>
        <v>22499</v>
      </c>
      <c r="J38" s="687">
        <f>J11+J20+J29</f>
        <v>22499</v>
      </c>
    </row>
    <row r="39" spans="1:10" ht="13.7" customHeight="1">
      <c r="A39" s="1299"/>
      <c r="B39" s="1305"/>
      <c r="C39" s="1306"/>
      <c r="D39" s="1311"/>
      <c r="E39" s="668" t="s">
        <v>586</v>
      </c>
      <c r="F39" s="669"/>
      <c r="G39" s="669"/>
      <c r="H39" s="670"/>
      <c r="I39" s="687">
        <f aca="true" t="shared" si="0" ref="I39:J40">I12+I21+I30</f>
        <v>2927</v>
      </c>
      <c r="J39" s="687">
        <f t="shared" si="0"/>
        <v>2927</v>
      </c>
    </row>
    <row r="40" spans="1:10" ht="13.7" customHeight="1">
      <c r="A40" s="1299"/>
      <c r="B40" s="1305"/>
      <c r="C40" s="1306"/>
      <c r="D40" s="1311"/>
      <c r="E40" s="668" t="s">
        <v>267</v>
      </c>
      <c r="F40" s="669"/>
      <c r="G40" s="669"/>
      <c r="H40" s="670"/>
      <c r="I40" s="687">
        <f t="shared" si="0"/>
        <v>3644</v>
      </c>
      <c r="J40" s="687">
        <f t="shared" si="0"/>
        <v>3644</v>
      </c>
    </row>
    <row r="41" spans="1:10" ht="13.7" customHeight="1">
      <c r="A41" s="1299"/>
      <c r="B41" s="1305"/>
      <c r="C41" s="1306"/>
      <c r="D41" s="1311"/>
      <c r="E41" s="668" t="s">
        <v>83</v>
      </c>
      <c r="F41" s="669"/>
      <c r="G41" s="669"/>
      <c r="H41" s="670"/>
      <c r="I41" s="688">
        <v>0</v>
      </c>
      <c r="J41" s="688">
        <v>0</v>
      </c>
    </row>
    <row r="42" spans="1:10" ht="13.7" customHeight="1">
      <c r="A42" s="1299"/>
      <c r="B42" s="1305"/>
      <c r="C42" s="1306"/>
      <c r="D42" s="1311"/>
      <c r="E42" s="668" t="s">
        <v>84</v>
      </c>
      <c r="F42" s="669"/>
      <c r="G42" s="669"/>
      <c r="H42" s="670"/>
      <c r="I42" s="672">
        <v>0</v>
      </c>
      <c r="J42" s="672">
        <v>0</v>
      </c>
    </row>
    <row r="43" spans="1:10" ht="13.7" customHeight="1">
      <c r="A43" s="1299"/>
      <c r="B43" s="1305"/>
      <c r="C43" s="1306"/>
      <c r="D43" s="1311"/>
      <c r="E43" s="668" t="s">
        <v>433</v>
      </c>
      <c r="F43" s="669"/>
      <c r="G43" s="669"/>
      <c r="H43" s="670"/>
      <c r="I43" s="688">
        <v>0</v>
      </c>
      <c r="J43" s="688">
        <v>0</v>
      </c>
    </row>
    <row r="44" spans="1:10" ht="13.7" customHeight="1">
      <c r="A44" s="1299"/>
      <c r="B44" s="1305"/>
      <c r="C44" s="1306"/>
      <c r="D44" s="1311"/>
      <c r="E44" s="689" t="s">
        <v>587</v>
      </c>
      <c r="F44" s="669"/>
      <c r="G44" s="669"/>
      <c r="H44" s="670"/>
      <c r="I44" s="690">
        <v>0</v>
      </c>
      <c r="J44" s="690">
        <v>0</v>
      </c>
    </row>
    <row r="45" spans="1:10" ht="13.7" customHeight="1">
      <c r="A45" s="1299"/>
      <c r="B45" s="1305"/>
      <c r="C45" s="1306"/>
      <c r="D45" s="1311"/>
      <c r="E45" s="668" t="s">
        <v>432</v>
      </c>
      <c r="F45" s="669"/>
      <c r="G45" s="669"/>
      <c r="H45" s="670"/>
      <c r="I45" s="688"/>
      <c r="J45" s="688"/>
    </row>
    <row r="46" spans="1:10" ht="13.7" customHeight="1" thickBot="1">
      <c r="A46" s="1300"/>
      <c r="B46" s="1307"/>
      <c r="C46" s="1308"/>
      <c r="D46" s="1310"/>
      <c r="E46" s="677" t="s">
        <v>587</v>
      </c>
      <c r="F46" s="678"/>
      <c r="G46" s="678"/>
      <c r="H46" s="679"/>
      <c r="I46" s="680"/>
      <c r="J46" s="680"/>
    </row>
    <row r="47" spans="1:8" ht="13.7" customHeight="1">
      <c r="A47" s="691"/>
      <c r="B47" s="692"/>
      <c r="C47" s="692"/>
      <c r="D47" s="693"/>
      <c r="E47" s="669"/>
      <c r="F47" s="669"/>
      <c r="G47" s="669"/>
      <c r="H47" s="669"/>
    </row>
  </sheetData>
  <mergeCells count="23">
    <mergeCell ref="J7:J8"/>
    <mergeCell ref="A1:I1"/>
    <mergeCell ref="A3:I3"/>
    <mergeCell ref="A7:A8"/>
    <mergeCell ref="B7:C8"/>
    <mergeCell ref="D7:H8"/>
    <mergeCell ref="I7:I8"/>
    <mergeCell ref="A9:A17"/>
    <mergeCell ref="B9:C17"/>
    <mergeCell ref="D9:D10"/>
    <mergeCell ref="D11:D17"/>
    <mergeCell ref="D20:D26"/>
    <mergeCell ref="A18:A26"/>
    <mergeCell ref="B18:C26"/>
    <mergeCell ref="D18:D19"/>
    <mergeCell ref="A36:A46"/>
    <mergeCell ref="B36:C46"/>
    <mergeCell ref="D36:D37"/>
    <mergeCell ref="D38:D46"/>
    <mergeCell ref="A27:A35"/>
    <mergeCell ref="B27:C35"/>
    <mergeCell ref="D27:D28"/>
    <mergeCell ref="D29:D35"/>
  </mergeCells>
  <printOptions/>
  <pageMargins left="1.3779527559055118" right="1.3779527559055118" top="0.31496062992125984" bottom="0" header="0.5118110236220472" footer="0.11811023622047245"/>
  <pageSetup firstPageNumber="41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4"/>
  <sheetViews>
    <sheetView workbookViewId="0" topLeftCell="A19">
      <selection activeCell="E12" sqref="E12:E13"/>
    </sheetView>
  </sheetViews>
  <sheetFormatPr defaultColWidth="9.125" defaultRowHeight="12.75"/>
  <cols>
    <col min="1" max="1" width="4.875" style="694" customWidth="1"/>
    <col min="2" max="2" width="14.125" style="694" customWidth="1"/>
    <col min="3" max="3" width="13.875" style="694" customWidth="1"/>
    <col min="4" max="4" width="14.125" style="694" customWidth="1"/>
    <col min="5" max="5" width="13.125" style="694" customWidth="1"/>
    <col min="6" max="10" width="12.125" style="694" customWidth="1"/>
    <col min="11" max="16384" width="9.125" style="694" customWidth="1"/>
  </cols>
  <sheetData>
    <row r="2" spans="2:10" ht="12.75">
      <c r="B2" s="1373" t="s">
        <v>588</v>
      </c>
      <c r="C2" s="1373"/>
      <c r="D2" s="1373"/>
      <c r="E2" s="1373"/>
      <c r="F2" s="1373"/>
      <c r="G2" s="1373"/>
      <c r="H2" s="1373"/>
      <c r="I2" s="1373"/>
      <c r="J2" s="1373"/>
    </row>
    <row r="4" spans="2:10" ht="12.75">
      <c r="B4" s="1374" t="s">
        <v>1196</v>
      </c>
      <c r="C4" s="1375"/>
      <c r="D4" s="1375"/>
      <c r="E4" s="1375"/>
      <c r="F4" s="1375"/>
      <c r="G4" s="1375"/>
      <c r="H4" s="1375"/>
      <c r="I4" s="1375"/>
      <c r="J4" s="1375"/>
    </row>
    <row r="5" spans="2:10" ht="12.75">
      <c r="B5" s="695"/>
      <c r="C5" s="696"/>
      <c r="D5" s="696"/>
      <c r="E5" s="696"/>
      <c r="F5" s="696"/>
      <c r="G5" s="696"/>
      <c r="H5" s="696"/>
      <c r="I5" s="696"/>
      <c r="J5" s="696"/>
    </row>
    <row r="6" spans="2:10" ht="12.75">
      <c r="B6" s="695"/>
      <c r="C6" s="696"/>
      <c r="D6" s="696"/>
      <c r="E6" s="696"/>
      <c r="F6" s="696"/>
      <c r="G6" s="696"/>
      <c r="H6" s="696"/>
      <c r="I6" s="696"/>
      <c r="J6" s="696"/>
    </row>
    <row r="7" spans="1:10" ht="12.75">
      <c r="A7" s="697"/>
      <c r="J7" s="698"/>
    </row>
    <row r="8" spans="1:10" ht="12.75" customHeight="1">
      <c r="A8" s="1376" t="s">
        <v>589</v>
      </c>
      <c r="B8" s="1379" t="s">
        <v>590</v>
      </c>
      <c r="C8" s="1380"/>
      <c r="D8" s="1381"/>
      <c r="E8" s="1385" t="s">
        <v>1368</v>
      </c>
      <c r="F8" s="1388" t="s">
        <v>591</v>
      </c>
      <c r="G8" s="1389"/>
      <c r="H8" s="1390"/>
      <c r="I8" s="1390"/>
      <c r="J8" s="699"/>
    </row>
    <row r="9" spans="1:10" ht="12.75" customHeight="1">
      <c r="A9" s="1377"/>
      <c r="B9" s="1382"/>
      <c r="C9" s="1383"/>
      <c r="D9" s="1384"/>
      <c r="E9" s="1386"/>
      <c r="F9" s="1388" t="s">
        <v>592</v>
      </c>
      <c r="G9" s="1389"/>
      <c r="H9" s="1388" t="s">
        <v>593</v>
      </c>
      <c r="I9" s="1391"/>
      <c r="J9" s="1392" t="s">
        <v>594</v>
      </c>
    </row>
    <row r="10" spans="1:10" ht="12.75" customHeight="1">
      <c r="A10" s="1377"/>
      <c r="B10" s="1382"/>
      <c r="C10" s="1383"/>
      <c r="D10" s="1384"/>
      <c r="E10" s="1386"/>
      <c r="F10" s="1392" t="s">
        <v>595</v>
      </c>
      <c r="G10" s="1395" t="s">
        <v>596</v>
      </c>
      <c r="H10" s="1392" t="s">
        <v>597</v>
      </c>
      <c r="I10" s="1392" t="s">
        <v>598</v>
      </c>
      <c r="J10" s="1393"/>
    </row>
    <row r="11" spans="1:10" ht="37.5" customHeight="1">
      <c r="A11" s="1378"/>
      <c r="B11" s="1370"/>
      <c r="C11" s="1371"/>
      <c r="D11" s="1372"/>
      <c r="E11" s="1387"/>
      <c r="F11" s="1394"/>
      <c r="G11" s="1396"/>
      <c r="H11" s="1394"/>
      <c r="I11" s="1394"/>
      <c r="J11" s="1394"/>
    </row>
    <row r="12" spans="1:10" ht="12.75">
      <c r="A12" s="1338"/>
      <c r="B12" s="1361" t="s">
        <v>599</v>
      </c>
      <c r="C12" s="1362"/>
      <c r="D12" s="1363"/>
      <c r="E12" s="1353"/>
      <c r="F12" s="1353"/>
      <c r="G12" s="1353"/>
      <c r="H12" s="1353"/>
      <c r="I12" s="1353"/>
      <c r="J12" s="1353"/>
    </row>
    <row r="13" spans="1:10" ht="12.75">
      <c r="A13" s="1339"/>
      <c r="B13" s="1364"/>
      <c r="C13" s="1365"/>
      <c r="D13" s="1366"/>
      <c r="E13" s="1354"/>
      <c r="F13" s="1354"/>
      <c r="G13" s="1354"/>
      <c r="H13" s="1354"/>
      <c r="I13" s="1354"/>
      <c r="J13" s="1354"/>
    </row>
    <row r="14" spans="1:10" ht="12.75">
      <c r="A14" s="1346" t="s">
        <v>139</v>
      </c>
      <c r="B14" s="1347" t="s">
        <v>600</v>
      </c>
      <c r="C14" s="1348"/>
      <c r="D14" s="1349"/>
      <c r="E14" s="1353">
        <f>SUM(F14+G14+H14+I14)</f>
        <v>17</v>
      </c>
      <c r="F14" s="1353">
        <v>12</v>
      </c>
      <c r="G14" s="1353">
        <v>3</v>
      </c>
      <c r="H14" s="1353">
        <v>1</v>
      </c>
      <c r="I14" s="1353">
        <v>1</v>
      </c>
      <c r="J14" s="1353"/>
    </row>
    <row r="15" spans="1:10" ht="12.75">
      <c r="A15" s="1339"/>
      <c r="B15" s="1350"/>
      <c r="C15" s="1351"/>
      <c r="D15" s="1352"/>
      <c r="E15" s="1354"/>
      <c r="F15" s="1354"/>
      <c r="G15" s="1354"/>
      <c r="H15" s="1354"/>
      <c r="I15" s="1354"/>
      <c r="J15" s="1354"/>
    </row>
    <row r="16" spans="1:10" ht="12.75">
      <c r="A16" s="1338" t="s">
        <v>140</v>
      </c>
      <c r="B16" s="1347" t="s">
        <v>601</v>
      </c>
      <c r="C16" s="1348"/>
      <c r="D16" s="1349"/>
      <c r="E16" s="1353">
        <f>SUM(F16+G16+H16+I16)</f>
        <v>3</v>
      </c>
      <c r="F16" s="1353">
        <v>3</v>
      </c>
      <c r="G16" s="1353"/>
      <c r="H16" s="1353"/>
      <c r="I16" s="1353"/>
      <c r="J16" s="1353"/>
    </row>
    <row r="17" spans="1:10" ht="12.75">
      <c r="A17" s="1339"/>
      <c r="B17" s="1350"/>
      <c r="C17" s="1351"/>
      <c r="D17" s="1352"/>
      <c r="E17" s="1354"/>
      <c r="F17" s="1354"/>
      <c r="G17" s="1354"/>
      <c r="H17" s="1354"/>
      <c r="I17" s="1354"/>
      <c r="J17" s="1354"/>
    </row>
    <row r="18" spans="1:10" ht="12.75">
      <c r="A18" s="1338" t="s">
        <v>141</v>
      </c>
      <c r="B18" s="1347" t="s">
        <v>1155</v>
      </c>
      <c r="C18" s="1348"/>
      <c r="D18" s="1349"/>
      <c r="E18" s="1353">
        <f>SUM(F18+G18+H18+I18)</f>
        <v>4</v>
      </c>
      <c r="F18" s="1353">
        <v>4</v>
      </c>
      <c r="G18" s="1353"/>
      <c r="H18" s="1353"/>
      <c r="I18" s="1353"/>
      <c r="J18" s="1353"/>
    </row>
    <row r="19" spans="1:10" ht="12.75">
      <c r="A19" s="1339"/>
      <c r="B19" s="1350"/>
      <c r="C19" s="1351"/>
      <c r="D19" s="1352"/>
      <c r="E19" s="1354"/>
      <c r="F19" s="1354"/>
      <c r="G19" s="1354"/>
      <c r="H19" s="1354"/>
      <c r="I19" s="1354"/>
      <c r="J19" s="1354"/>
    </row>
    <row r="20" spans="1:10" ht="12.75">
      <c r="A20" s="1338" t="s">
        <v>522</v>
      </c>
      <c r="B20" s="1347" t="s">
        <v>602</v>
      </c>
      <c r="C20" s="1348"/>
      <c r="D20" s="1349"/>
      <c r="E20" s="1353">
        <f>SUM(F20+G20+H20+I20)</f>
        <v>17</v>
      </c>
      <c r="F20" s="1353">
        <v>16</v>
      </c>
      <c r="G20" s="1353">
        <v>1</v>
      </c>
      <c r="H20" s="1353"/>
      <c r="I20" s="1353"/>
      <c r="J20" s="1353"/>
    </row>
    <row r="21" spans="1:10" ht="12.75">
      <c r="A21" s="1339"/>
      <c r="B21" s="1350"/>
      <c r="C21" s="1351"/>
      <c r="D21" s="1352"/>
      <c r="E21" s="1354"/>
      <c r="F21" s="1354"/>
      <c r="G21" s="1354"/>
      <c r="H21" s="1354"/>
      <c r="I21" s="1354"/>
      <c r="J21" s="1354"/>
    </row>
    <row r="22" spans="1:10" ht="12.75">
      <c r="A22" s="1346" t="s">
        <v>523</v>
      </c>
      <c r="B22" s="1347" t="s">
        <v>603</v>
      </c>
      <c r="C22" s="1348"/>
      <c r="D22" s="1349"/>
      <c r="E22" s="1353">
        <f>SUM(F22+G22+H22+I22)</f>
        <v>31</v>
      </c>
      <c r="F22" s="1353">
        <v>29</v>
      </c>
      <c r="G22" s="1353"/>
      <c r="H22" s="1353">
        <v>2</v>
      </c>
      <c r="I22" s="1353"/>
      <c r="J22" s="1353"/>
    </row>
    <row r="23" spans="1:10" ht="12.75">
      <c r="A23" s="1339"/>
      <c r="B23" s="1350"/>
      <c r="C23" s="1351"/>
      <c r="D23" s="1352"/>
      <c r="E23" s="1354"/>
      <c r="F23" s="1354"/>
      <c r="G23" s="1354"/>
      <c r="H23" s="1354"/>
      <c r="I23" s="1354"/>
      <c r="J23" s="1354"/>
    </row>
    <row r="24" spans="1:10" ht="12.75">
      <c r="A24" s="1338" t="s">
        <v>539</v>
      </c>
      <c r="B24" s="1347" t="s">
        <v>604</v>
      </c>
      <c r="C24" s="1348"/>
      <c r="D24" s="1349"/>
      <c r="E24" s="1353">
        <f>SUM(F24+G24+H24+I24)</f>
        <v>23</v>
      </c>
      <c r="F24" s="1353">
        <v>18</v>
      </c>
      <c r="G24" s="1353"/>
      <c r="H24" s="1353">
        <v>5</v>
      </c>
      <c r="I24" s="1353"/>
      <c r="J24" s="1353"/>
    </row>
    <row r="25" spans="1:10" ht="12.75">
      <c r="A25" s="1339"/>
      <c r="B25" s="1350"/>
      <c r="C25" s="1351"/>
      <c r="D25" s="1352"/>
      <c r="E25" s="1354"/>
      <c r="F25" s="1354"/>
      <c r="G25" s="1354"/>
      <c r="H25" s="1354"/>
      <c r="I25" s="1354"/>
      <c r="J25" s="1354"/>
    </row>
    <row r="26" spans="1:10" ht="12.75">
      <c r="A26" s="1346" t="s">
        <v>605</v>
      </c>
      <c r="B26" s="1347" t="s">
        <v>1152</v>
      </c>
      <c r="C26" s="1348"/>
      <c r="D26" s="1349"/>
      <c r="E26" s="1353">
        <f>SUM(F26+G26+H26+I26)</f>
        <v>35</v>
      </c>
      <c r="F26" s="1353">
        <v>35</v>
      </c>
      <c r="G26" s="1353"/>
      <c r="H26" s="1353"/>
      <c r="I26" s="1353"/>
      <c r="J26" s="1353"/>
    </row>
    <row r="27" spans="1:10" ht="12.75">
      <c r="A27" s="1339"/>
      <c r="B27" s="1350"/>
      <c r="C27" s="1351"/>
      <c r="D27" s="1352"/>
      <c r="E27" s="1354"/>
      <c r="F27" s="1354"/>
      <c r="G27" s="1354"/>
      <c r="H27" s="1354"/>
      <c r="I27" s="1354"/>
      <c r="J27" s="1354"/>
    </row>
    <row r="28" spans="1:10" ht="12.75">
      <c r="A28" s="1338" t="s">
        <v>434</v>
      </c>
      <c r="B28" s="1347" t="s">
        <v>606</v>
      </c>
      <c r="C28" s="1348"/>
      <c r="D28" s="1349"/>
      <c r="E28" s="1353">
        <f>SUM(F28+G28+H28+I28)</f>
        <v>25</v>
      </c>
      <c r="F28" s="1353">
        <v>25</v>
      </c>
      <c r="G28" s="1353"/>
      <c r="H28" s="1353"/>
      <c r="I28" s="1353"/>
      <c r="J28" s="1353"/>
    </row>
    <row r="29" spans="1:10" ht="12.75">
      <c r="A29" s="1339"/>
      <c r="B29" s="1350"/>
      <c r="C29" s="1351"/>
      <c r="D29" s="1352"/>
      <c r="E29" s="1354"/>
      <c r="F29" s="1354"/>
      <c r="G29" s="1354"/>
      <c r="H29" s="1354"/>
      <c r="I29" s="1354"/>
      <c r="J29" s="1354"/>
    </row>
    <row r="30" spans="1:10" ht="12.75">
      <c r="A30" s="1338" t="s">
        <v>435</v>
      </c>
      <c r="B30" s="1367" t="s">
        <v>1153</v>
      </c>
      <c r="C30" s="1368"/>
      <c r="D30" s="1369"/>
      <c r="E30" s="1353">
        <f>SUM(F30+G30+H30+I30)</f>
        <v>15</v>
      </c>
      <c r="F30" s="1353">
        <v>15</v>
      </c>
      <c r="G30" s="1353"/>
      <c r="H30" s="1353"/>
      <c r="I30" s="1353"/>
      <c r="J30" s="1353"/>
    </row>
    <row r="31" spans="1:10" ht="24" customHeight="1">
      <c r="A31" s="1339"/>
      <c r="B31" s="1370"/>
      <c r="C31" s="1371"/>
      <c r="D31" s="1372"/>
      <c r="E31" s="1354"/>
      <c r="F31" s="1354"/>
      <c r="G31" s="1354"/>
      <c r="H31" s="1354"/>
      <c r="I31" s="1354"/>
      <c r="J31" s="1354"/>
    </row>
    <row r="32" spans="1:10" ht="12.75">
      <c r="A32" s="1346" t="s">
        <v>609</v>
      </c>
      <c r="B32" s="1347" t="s">
        <v>608</v>
      </c>
      <c r="C32" s="1348"/>
      <c r="D32" s="1349"/>
      <c r="E32" s="1353">
        <f>SUM(F32+G32+H32+I32)</f>
        <v>36</v>
      </c>
      <c r="F32" s="1353">
        <v>24</v>
      </c>
      <c r="G32" s="1353"/>
      <c r="H32" s="1353">
        <v>12</v>
      </c>
      <c r="I32" s="1353"/>
      <c r="J32" s="1353"/>
    </row>
    <row r="33" spans="1:10" ht="12.75">
      <c r="A33" s="1339"/>
      <c r="B33" s="1350"/>
      <c r="C33" s="1351"/>
      <c r="D33" s="1352"/>
      <c r="E33" s="1354"/>
      <c r="F33" s="1354"/>
      <c r="G33" s="1354"/>
      <c r="H33" s="1354"/>
      <c r="I33" s="1354"/>
      <c r="J33" s="1354"/>
    </row>
    <row r="34" spans="1:10" ht="12.75">
      <c r="A34" s="1346" t="s">
        <v>611</v>
      </c>
      <c r="B34" s="1347" t="s">
        <v>610</v>
      </c>
      <c r="C34" s="1348"/>
      <c r="D34" s="1349"/>
      <c r="E34" s="1353">
        <f>SUM(F34+G34+H34+I34)</f>
        <v>20</v>
      </c>
      <c r="F34" s="1353">
        <v>19</v>
      </c>
      <c r="G34" s="1353"/>
      <c r="H34" s="1353">
        <v>1</v>
      </c>
      <c r="I34" s="1353"/>
      <c r="J34" s="1353"/>
    </row>
    <row r="35" spans="1:10" ht="12.75">
      <c r="A35" s="1339"/>
      <c r="B35" s="1350"/>
      <c r="C35" s="1351"/>
      <c r="D35" s="1352"/>
      <c r="E35" s="1354"/>
      <c r="F35" s="1354"/>
      <c r="G35" s="1354"/>
      <c r="H35" s="1354"/>
      <c r="I35" s="1354"/>
      <c r="J35" s="1354"/>
    </row>
    <row r="36" spans="1:10" ht="12.75">
      <c r="A36" s="1346" t="s">
        <v>612</v>
      </c>
      <c r="B36" s="1347" t="s">
        <v>1154</v>
      </c>
      <c r="C36" s="1348"/>
      <c r="D36" s="1349"/>
      <c r="E36" s="1353">
        <f>SUM(F36+G36+H36+I36)</f>
        <v>18</v>
      </c>
      <c r="F36" s="1353">
        <v>17</v>
      </c>
      <c r="G36" s="1353"/>
      <c r="H36" s="1353">
        <v>1</v>
      </c>
      <c r="I36" s="1353"/>
      <c r="J36" s="1353"/>
    </row>
    <row r="37" spans="1:10" ht="12.75">
      <c r="A37" s="1339"/>
      <c r="B37" s="1350"/>
      <c r="C37" s="1351"/>
      <c r="D37" s="1352"/>
      <c r="E37" s="1354"/>
      <c r="F37" s="1354"/>
      <c r="G37" s="1354"/>
      <c r="H37" s="1354"/>
      <c r="I37" s="1354"/>
      <c r="J37" s="1354"/>
    </row>
    <row r="38" spans="1:10" ht="12.75">
      <c r="A38" s="1346" t="s">
        <v>738</v>
      </c>
      <c r="B38" s="1347" t="s">
        <v>1146</v>
      </c>
      <c r="C38" s="1348"/>
      <c r="D38" s="1349"/>
      <c r="E38" s="1353">
        <f>SUM(F38+G38+H38+I38)</f>
        <v>55</v>
      </c>
      <c r="F38" s="1353">
        <v>41</v>
      </c>
      <c r="G38" s="706"/>
      <c r="H38" s="1353">
        <v>14</v>
      </c>
      <c r="I38" s="706"/>
      <c r="J38" s="706"/>
    </row>
    <row r="39" spans="1:10" ht="12.75">
      <c r="A39" s="1339"/>
      <c r="B39" s="1350"/>
      <c r="C39" s="1351"/>
      <c r="D39" s="1352"/>
      <c r="E39" s="1354"/>
      <c r="F39" s="1354"/>
      <c r="G39" s="706"/>
      <c r="H39" s="1354"/>
      <c r="I39" s="706"/>
      <c r="J39" s="706"/>
    </row>
    <row r="40" spans="1:10" ht="12.6" customHeight="1">
      <c r="A40" s="1346"/>
      <c r="B40" s="1361" t="s">
        <v>128</v>
      </c>
      <c r="C40" s="1362"/>
      <c r="D40" s="1363"/>
      <c r="E40" s="1336">
        <f>SUM(E14:E39)</f>
        <v>299</v>
      </c>
      <c r="F40" s="1336">
        <f>SUM(F14:F39)</f>
        <v>258</v>
      </c>
      <c r="G40" s="1336">
        <f>SUM(G14:G39)</f>
        <v>4</v>
      </c>
      <c r="H40" s="1336">
        <f>SUM(H14:H39)</f>
        <v>36</v>
      </c>
      <c r="I40" s="1336">
        <f>SUM(I14:I39)</f>
        <v>1</v>
      </c>
      <c r="J40" s="1336"/>
    </row>
    <row r="41" spans="1:10" ht="12.6" customHeight="1">
      <c r="A41" s="1339"/>
      <c r="B41" s="1364"/>
      <c r="C41" s="1365"/>
      <c r="D41" s="1366"/>
      <c r="E41" s="1337"/>
      <c r="F41" s="1337"/>
      <c r="G41" s="1337"/>
      <c r="H41" s="1337"/>
      <c r="I41" s="1337"/>
      <c r="J41" s="1337"/>
    </row>
    <row r="42" spans="1:10" ht="12.75">
      <c r="A42" s="700"/>
      <c r="B42" s="701"/>
      <c r="C42" s="701"/>
      <c r="D42" s="701"/>
      <c r="E42" s="702"/>
      <c r="F42" s="702"/>
      <c r="G42" s="702"/>
      <c r="H42" s="702"/>
      <c r="I42" s="702"/>
      <c r="J42" s="702"/>
    </row>
    <row r="43" spans="1:10" ht="12.75">
      <c r="A43" s="703"/>
      <c r="B43" s="704"/>
      <c r="C43" s="704"/>
      <c r="D43" s="704"/>
      <c r="E43" s="705"/>
      <c r="F43" s="705"/>
      <c r="G43" s="705"/>
      <c r="H43" s="705"/>
      <c r="I43" s="705"/>
      <c r="J43" s="705"/>
    </row>
    <row r="44" spans="1:10" ht="12.75">
      <c r="A44" s="703"/>
      <c r="B44" s="704"/>
      <c r="C44" s="704"/>
      <c r="D44" s="704"/>
      <c r="E44" s="705"/>
      <c r="F44" s="705"/>
      <c r="G44" s="705"/>
      <c r="H44" s="705"/>
      <c r="I44" s="705"/>
      <c r="J44" s="705"/>
    </row>
    <row r="45" spans="1:10" ht="12.75">
      <c r="A45" s="703"/>
      <c r="B45" s="704"/>
      <c r="C45" s="704"/>
      <c r="D45" s="704"/>
      <c r="E45" s="705"/>
      <c r="F45" s="705"/>
      <c r="G45" s="705"/>
      <c r="H45" s="705"/>
      <c r="I45" s="705"/>
      <c r="J45" s="705"/>
    </row>
    <row r="46" spans="1:10" ht="12.75">
      <c r="A46" s="703"/>
      <c r="B46" s="704"/>
      <c r="C46" s="704"/>
      <c r="D46" s="704"/>
      <c r="E46" s="705"/>
      <c r="F46" s="705"/>
      <c r="G46" s="705"/>
      <c r="H46" s="705"/>
      <c r="I46" s="705"/>
      <c r="J46" s="705"/>
    </row>
    <row r="47" spans="1:10" ht="12.75">
      <c r="A47" s="703"/>
      <c r="B47" s="704"/>
      <c r="C47" s="704"/>
      <c r="D47" s="704"/>
      <c r="E47" s="705"/>
      <c r="F47" s="705"/>
      <c r="G47" s="705"/>
      <c r="H47" s="705"/>
      <c r="I47" s="705"/>
      <c r="J47" s="705"/>
    </row>
    <row r="48" spans="1:10" ht="12.75">
      <c r="A48" s="703"/>
      <c r="B48" s="704"/>
      <c r="C48" s="704"/>
      <c r="D48" s="704"/>
      <c r="E48" s="705"/>
      <c r="F48" s="705"/>
      <c r="G48" s="705"/>
      <c r="H48" s="705"/>
      <c r="I48" s="705"/>
      <c r="J48" s="705"/>
    </row>
    <row r="49" spans="1:10" ht="12.75">
      <c r="A49" s="1338" t="s">
        <v>613</v>
      </c>
      <c r="B49" s="1347" t="s">
        <v>614</v>
      </c>
      <c r="C49" s="1348"/>
      <c r="D49" s="1349"/>
      <c r="E49" s="1353">
        <f>SUM(F49+G49+H49+I49)</f>
        <v>32</v>
      </c>
      <c r="F49" s="1353">
        <v>29</v>
      </c>
      <c r="G49" s="1353"/>
      <c r="H49" s="1353">
        <v>3</v>
      </c>
      <c r="I49" s="1353"/>
      <c r="J49" s="1353"/>
    </row>
    <row r="50" spans="1:10" ht="12.75">
      <c r="A50" s="1339"/>
      <c r="B50" s="1350"/>
      <c r="C50" s="1351"/>
      <c r="D50" s="1352"/>
      <c r="E50" s="1354"/>
      <c r="F50" s="1354"/>
      <c r="G50" s="1354"/>
      <c r="H50" s="1354"/>
      <c r="I50" s="1354"/>
      <c r="J50" s="1354"/>
    </row>
    <row r="51" spans="1:10" ht="12.75">
      <c r="A51" s="1346" t="s">
        <v>615</v>
      </c>
      <c r="B51" s="1347" t="s">
        <v>616</v>
      </c>
      <c r="C51" s="1348"/>
      <c r="D51" s="1349"/>
      <c r="E51" s="1353">
        <f>SUM(F51+G51+H51+I51)</f>
        <v>31</v>
      </c>
      <c r="F51" s="1353">
        <v>29</v>
      </c>
      <c r="G51" s="1353"/>
      <c r="H51" s="1353">
        <v>2</v>
      </c>
      <c r="I51" s="1353"/>
      <c r="J51" s="1353"/>
    </row>
    <row r="52" spans="1:10" ht="12.75">
      <c r="A52" s="1339"/>
      <c r="B52" s="1350"/>
      <c r="C52" s="1351"/>
      <c r="D52" s="1352"/>
      <c r="E52" s="1354"/>
      <c r="F52" s="1354"/>
      <c r="G52" s="1354"/>
      <c r="H52" s="1354"/>
      <c r="I52" s="1354"/>
      <c r="J52" s="1354"/>
    </row>
    <row r="53" spans="1:10" ht="12.75">
      <c r="A53" s="1346" t="s">
        <v>617</v>
      </c>
      <c r="B53" s="1347" t="s">
        <v>618</v>
      </c>
      <c r="C53" s="1348"/>
      <c r="D53" s="1349"/>
      <c r="E53" s="1353">
        <f>SUM(F53+G53+H53+I53)</f>
        <v>16</v>
      </c>
      <c r="F53" s="1353">
        <v>14</v>
      </c>
      <c r="G53" s="1353"/>
      <c r="H53" s="1353">
        <v>2</v>
      </c>
      <c r="I53" s="1353"/>
      <c r="J53" s="1353"/>
    </row>
    <row r="54" spans="1:10" ht="12.75">
      <c r="A54" s="1339"/>
      <c r="B54" s="1350"/>
      <c r="C54" s="1351"/>
      <c r="D54" s="1352"/>
      <c r="E54" s="1354"/>
      <c r="F54" s="1354"/>
      <c r="G54" s="1354"/>
      <c r="H54" s="1354"/>
      <c r="I54" s="1354"/>
      <c r="J54" s="1354"/>
    </row>
    <row r="55" spans="1:10" ht="12.75">
      <c r="A55" s="1338" t="s">
        <v>619</v>
      </c>
      <c r="B55" s="1347" t="s">
        <v>620</v>
      </c>
      <c r="C55" s="1348"/>
      <c r="D55" s="1349"/>
      <c r="E55" s="1353">
        <f>SUM(F55+G55+H55+I55)</f>
        <v>61</v>
      </c>
      <c r="F55" s="1353">
        <v>57</v>
      </c>
      <c r="G55" s="1353"/>
      <c r="H55" s="1353">
        <v>4</v>
      </c>
      <c r="I55" s="1353"/>
      <c r="J55" s="1353"/>
    </row>
    <row r="56" spans="1:10" ht="12.75">
      <c r="A56" s="1339"/>
      <c r="B56" s="1350"/>
      <c r="C56" s="1351"/>
      <c r="D56" s="1352"/>
      <c r="E56" s="1354"/>
      <c r="F56" s="1354"/>
      <c r="G56" s="1354"/>
      <c r="H56" s="1354"/>
      <c r="I56" s="1354"/>
      <c r="J56" s="1354"/>
    </row>
    <row r="57" spans="1:10" ht="12.75">
      <c r="A57" s="1346" t="s">
        <v>621</v>
      </c>
      <c r="B57" s="1347" t="s">
        <v>622</v>
      </c>
      <c r="C57" s="1348"/>
      <c r="D57" s="1349"/>
      <c r="E57" s="1353">
        <f>SUM(F57+G57+H57+I57)</f>
        <v>32</v>
      </c>
      <c r="F57" s="1353">
        <v>31</v>
      </c>
      <c r="G57" s="1353"/>
      <c r="H57" s="1353">
        <v>1</v>
      </c>
      <c r="I57" s="1353"/>
      <c r="J57" s="1353"/>
    </row>
    <row r="58" spans="1:10" ht="12.75">
      <c r="A58" s="1339"/>
      <c r="B58" s="1350"/>
      <c r="C58" s="1351"/>
      <c r="D58" s="1352"/>
      <c r="E58" s="1354"/>
      <c r="F58" s="1354"/>
      <c r="G58" s="1354"/>
      <c r="H58" s="1354"/>
      <c r="I58" s="1354"/>
      <c r="J58" s="1354"/>
    </row>
    <row r="59" spans="1:10" ht="12.75">
      <c r="A59" s="1346" t="s">
        <v>623</v>
      </c>
      <c r="B59" s="1347" t="s">
        <v>624</v>
      </c>
      <c r="C59" s="1348"/>
      <c r="D59" s="1349"/>
      <c r="E59" s="1353">
        <f>SUM(F59+G59+H59+I59)</f>
        <v>25</v>
      </c>
      <c r="F59" s="1353">
        <v>23</v>
      </c>
      <c r="G59" s="1353"/>
      <c r="H59" s="1353">
        <v>2</v>
      </c>
      <c r="I59" s="1353"/>
      <c r="J59" s="1353"/>
    </row>
    <row r="60" spans="1:10" ht="12.75">
      <c r="A60" s="1339"/>
      <c r="B60" s="1350"/>
      <c r="C60" s="1351"/>
      <c r="D60" s="1352"/>
      <c r="E60" s="1354"/>
      <c r="F60" s="1354"/>
      <c r="G60" s="1354"/>
      <c r="H60" s="1354"/>
      <c r="I60" s="1354"/>
      <c r="J60" s="1354"/>
    </row>
    <row r="61" spans="1:10" ht="12.75">
      <c r="A61" s="1346" t="s">
        <v>625</v>
      </c>
      <c r="B61" s="1347" t="s">
        <v>626</v>
      </c>
      <c r="C61" s="1348"/>
      <c r="D61" s="1349"/>
      <c r="E61" s="1353">
        <f>SUM(F61+G61+H61+I61)</f>
        <v>16</v>
      </c>
      <c r="F61" s="1353">
        <v>15</v>
      </c>
      <c r="G61" s="1353"/>
      <c r="H61" s="1353">
        <v>1</v>
      </c>
      <c r="I61" s="1353"/>
      <c r="J61" s="1353"/>
    </row>
    <row r="62" spans="1:10" ht="12.75">
      <c r="A62" s="1339"/>
      <c r="B62" s="1350"/>
      <c r="C62" s="1351"/>
      <c r="D62" s="1352"/>
      <c r="E62" s="1354"/>
      <c r="F62" s="1354"/>
      <c r="G62" s="1354"/>
      <c r="H62" s="1354"/>
      <c r="I62" s="1354"/>
      <c r="J62" s="1354"/>
    </row>
    <row r="63" spans="1:10" ht="12.75">
      <c r="A63" s="1346" t="s">
        <v>627</v>
      </c>
      <c r="B63" s="1347" t="s">
        <v>628</v>
      </c>
      <c r="C63" s="1348"/>
      <c r="D63" s="1349"/>
      <c r="E63" s="1353">
        <f>SUM(F63+G63+H63+I63)</f>
        <v>16</v>
      </c>
      <c r="F63" s="1353">
        <v>15</v>
      </c>
      <c r="G63" s="1353"/>
      <c r="H63" s="1353">
        <v>1</v>
      </c>
      <c r="I63" s="1353"/>
      <c r="J63" s="1353"/>
    </row>
    <row r="64" spans="1:10" ht="12.75">
      <c r="A64" s="1339"/>
      <c r="B64" s="1350"/>
      <c r="C64" s="1351"/>
      <c r="D64" s="1352"/>
      <c r="E64" s="1354"/>
      <c r="F64" s="1354"/>
      <c r="G64" s="1354"/>
      <c r="H64" s="1354"/>
      <c r="I64" s="1354"/>
      <c r="J64" s="1354"/>
    </row>
    <row r="65" spans="1:10" ht="12.75">
      <c r="A65" s="1346" t="s">
        <v>629</v>
      </c>
      <c r="B65" s="1347" t="s">
        <v>630</v>
      </c>
      <c r="C65" s="1348"/>
      <c r="D65" s="1349"/>
      <c r="E65" s="1353">
        <f>SUM(F65+G65+H65+I65)</f>
        <v>16</v>
      </c>
      <c r="F65" s="1353">
        <v>14</v>
      </c>
      <c r="G65" s="1353"/>
      <c r="H65" s="1353">
        <v>2</v>
      </c>
      <c r="I65" s="1353"/>
      <c r="J65" s="1353"/>
    </row>
    <row r="66" spans="1:10" ht="12.75">
      <c r="A66" s="1339"/>
      <c r="B66" s="1350"/>
      <c r="C66" s="1351"/>
      <c r="D66" s="1352"/>
      <c r="E66" s="1354"/>
      <c r="F66" s="1354"/>
      <c r="G66" s="1354"/>
      <c r="H66" s="1354"/>
      <c r="I66" s="1354"/>
      <c r="J66" s="1354"/>
    </row>
    <row r="67" spans="1:10" ht="12.75">
      <c r="A67" s="1346" t="s">
        <v>631</v>
      </c>
      <c r="B67" s="1347" t="s">
        <v>632</v>
      </c>
      <c r="C67" s="1348"/>
      <c r="D67" s="1349"/>
      <c r="E67" s="1353">
        <f>SUM(F67+G67+H67+I67)</f>
        <v>152</v>
      </c>
      <c r="F67" s="1353">
        <v>152</v>
      </c>
      <c r="G67" s="1353"/>
      <c r="H67" s="1353"/>
      <c r="I67" s="1353"/>
      <c r="J67" s="1353"/>
    </row>
    <row r="68" spans="1:10" ht="12.75">
      <c r="A68" s="1339"/>
      <c r="B68" s="1350"/>
      <c r="C68" s="1351"/>
      <c r="D68" s="1352"/>
      <c r="E68" s="1354"/>
      <c r="F68" s="1354"/>
      <c r="G68" s="1354"/>
      <c r="H68" s="1354"/>
      <c r="I68" s="1354"/>
      <c r="J68" s="1354"/>
    </row>
    <row r="69" spans="1:10" ht="12.75">
      <c r="A69" s="1346" t="s">
        <v>633</v>
      </c>
      <c r="B69" s="1347" t="s">
        <v>634</v>
      </c>
      <c r="C69" s="1348"/>
      <c r="D69" s="1349"/>
      <c r="E69" s="1353">
        <f>SUM(F69+G69+H69+I69)</f>
        <v>115</v>
      </c>
      <c r="F69" s="1353">
        <v>69</v>
      </c>
      <c r="G69" s="1353">
        <v>1</v>
      </c>
      <c r="H69" s="1353">
        <v>45</v>
      </c>
      <c r="I69" s="1353"/>
      <c r="J69" s="1353"/>
    </row>
    <row r="70" spans="1:10" ht="12.75">
      <c r="A70" s="1339"/>
      <c r="B70" s="1350"/>
      <c r="C70" s="1351"/>
      <c r="D70" s="1352"/>
      <c r="E70" s="1354"/>
      <c r="F70" s="1354"/>
      <c r="G70" s="1354"/>
      <c r="H70" s="1354"/>
      <c r="I70" s="1354"/>
      <c r="J70" s="1354"/>
    </row>
    <row r="71" spans="1:10" ht="12.75">
      <c r="A71" s="1346" t="s">
        <v>635</v>
      </c>
      <c r="B71" s="1347" t="s">
        <v>273</v>
      </c>
      <c r="C71" s="1348"/>
      <c r="D71" s="1349"/>
      <c r="E71" s="1353">
        <f>SUM(F71+G71+H71+I71)</f>
        <v>170</v>
      </c>
      <c r="F71" s="1353">
        <f>135</f>
        <v>135</v>
      </c>
      <c r="G71" s="1353">
        <f>9+2</f>
        <v>11</v>
      </c>
      <c r="H71" s="1353">
        <v>22</v>
      </c>
      <c r="I71" s="1353">
        <v>2</v>
      </c>
      <c r="J71" s="1353"/>
    </row>
    <row r="72" spans="1:10" ht="12" customHeight="1">
      <c r="A72" s="1339"/>
      <c r="B72" s="1350"/>
      <c r="C72" s="1351"/>
      <c r="D72" s="1352"/>
      <c r="E72" s="1354"/>
      <c r="F72" s="1354"/>
      <c r="G72" s="1354"/>
      <c r="H72" s="1354"/>
      <c r="I72" s="1354"/>
      <c r="J72" s="1354"/>
    </row>
    <row r="73" spans="1:10" ht="12.75">
      <c r="A73" s="1346" t="s">
        <v>636</v>
      </c>
      <c r="B73" s="1347" t="s">
        <v>637</v>
      </c>
      <c r="C73" s="1348"/>
      <c r="D73" s="1349"/>
      <c r="E73" s="1353">
        <f>SUM(F73+G73+H73+I73)</f>
        <v>25</v>
      </c>
      <c r="F73" s="1353">
        <v>25</v>
      </c>
      <c r="G73" s="1353"/>
      <c r="H73" s="1353"/>
      <c r="I73" s="1353"/>
      <c r="J73" s="1353"/>
    </row>
    <row r="74" spans="1:10" ht="11.25" customHeight="1">
      <c r="A74" s="1339"/>
      <c r="B74" s="1350"/>
      <c r="C74" s="1351"/>
      <c r="D74" s="1352"/>
      <c r="E74" s="1354"/>
      <c r="F74" s="1354"/>
      <c r="G74" s="1354"/>
      <c r="H74" s="1354"/>
      <c r="I74" s="1354"/>
      <c r="J74" s="1354"/>
    </row>
    <row r="75" spans="1:10" ht="11.25" customHeight="1">
      <c r="A75" s="1346" t="s">
        <v>638</v>
      </c>
      <c r="B75" s="1347" t="s">
        <v>639</v>
      </c>
      <c r="C75" s="1348"/>
      <c r="D75" s="1349"/>
      <c r="E75" s="1353">
        <f>SUM(F75+G75+H75+I75)</f>
        <v>11</v>
      </c>
      <c r="F75" s="1353">
        <v>11</v>
      </c>
      <c r="G75" s="706"/>
      <c r="H75" s="706"/>
      <c r="I75" s="706"/>
      <c r="J75" s="706"/>
    </row>
    <row r="76" spans="1:10" ht="11.25" customHeight="1">
      <c r="A76" s="1339"/>
      <c r="B76" s="1350"/>
      <c r="C76" s="1351"/>
      <c r="D76" s="1352"/>
      <c r="E76" s="1354"/>
      <c r="F76" s="1354"/>
      <c r="G76" s="706"/>
      <c r="H76" s="706"/>
      <c r="I76" s="706"/>
      <c r="J76" s="706"/>
    </row>
    <row r="77" spans="1:10" ht="12.6" customHeight="1">
      <c r="A77" s="1338"/>
      <c r="B77" s="1355" t="s">
        <v>640</v>
      </c>
      <c r="C77" s="1356"/>
      <c r="D77" s="1357"/>
      <c r="E77" s="1336">
        <f>SUM(E49:E76)</f>
        <v>718</v>
      </c>
      <c r="F77" s="1336">
        <f>SUM(F49:F76)</f>
        <v>619</v>
      </c>
      <c r="G77" s="1336">
        <f>SUM(G49:G74)</f>
        <v>12</v>
      </c>
      <c r="H77" s="1336">
        <f>SUM(H49:H74)</f>
        <v>85</v>
      </c>
      <c r="I77" s="1336">
        <f>SUM(I49:I74)</f>
        <v>2</v>
      </c>
      <c r="J77" s="1336">
        <f>SUM(J49:J74)</f>
        <v>0</v>
      </c>
    </row>
    <row r="78" spans="1:10" ht="12.6" customHeight="1">
      <c r="A78" s="1339"/>
      <c r="B78" s="1358"/>
      <c r="C78" s="1359"/>
      <c r="D78" s="1360"/>
      <c r="E78" s="1337"/>
      <c r="F78" s="1337"/>
      <c r="G78" s="1337"/>
      <c r="H78" s="1337"/>
      <c r="I78" s="1337"/>
      <c r="J78" s="1337"/>
    </row>
    <row r="79" spans="1:10" ht="12.6" customHeight="1">
      <c r="A79" s="1338"/>
      <c r="B79" s="1340" t="s">
        <v>641</v>
      </c>
      <c r="C79" s="1341"/>
      <c r="D79" s="1342"/>
      <c r="E79" s="1336">
        <f>SUM(E77+E40)</f>
        <v>1017</v>
      </c>
      <c r="F79" s="1336">
        <f aca="true" t="shared" si="0" ref="F79:J79">SUM(F77+F40)</f>
        <v>877</v>
      </c>
      <c r="G79" s="1336">
        <f t="shared" si="0"/>
        <v>16</v>
      </c>
      <c r="H79" s="1336">
        <f t="shared" si="0"/>
        <v>121</v>
      </c>
      <c r="I79" s="1336">
        <f t="shared" si="0"/>
        <v>3</v>
      </c>
      <c r="J79" s="1336">
        <f t="shared" si="0"/>
        <v>0</v>
      </c>
    </row>
    <row r="80" spans="1:10" ht="12.6" customHeight="1">
      <c r="A80" s="1339"/>
      <c r="B80" s="1343"/>
      <c r="C80" s="1344"/>
      <c r="D80" s="1345"/>
      <c r="E80" s="1337"/>
      <c r="F80" s="1337"/>
      <c r="G80" s="1337"/>
      <c r="H80" s="1337"/>
      <c r="I80" s="1337"/>
      <c r="J80" s="1337"/>
    </row>
    <row r="81" ht="12.75">
      <c r="J81" s="707"/>
    </row>
    <row r="82" ht="12.75">
      <c r="J82" s="707"/>
    </row>
    <row r="83" ht="12.75">
      <c r="J83" s="707"/>
    </row>
    <row r="84" ht="12.75">
      <c r="J84" s="707"/>
    </row>
  </sheetData>
  <mergeCells count="254">
    <mergeCell ref="B2:J2"/>
    <mergeCell ref="B4:J4"/>
    <mergeCell ref="A8:A11"/>
    <mergeCell ref="B8:D11"/>
    <mergeCell ref="E8:E11"/>
    <mergeCell ref="F8:I8"/>
    <mergeCell ref="F9:G9"/>
    <mergeCell ref="H9:I9"/>
    <mergeCell ref="J9:J11"/>
    <mergeCell ref="F10:F11"/>
    <mergeCell ref="G10:G11"/>
    <mergeCell ref="H10:H11"/>
    <mergeCell ref="I10:I11"/>
    <mergeCell ref="A12:A13"/>
    <mergeCell ref="B12:D13"/>
    <mergeCell ref="E12:E13"/>
    <mergeCell ref="F12:F13"/>
    <mergeCell ref="G12:G13"/>
    <mergeCell ref="H12:H13"/>
    <mergeCell ref="I12:I13"/>
    <mergeCell ref="J12:J13"/>
    <mergeCell ref="A14:A15"/>
    <mergeCell ref="B14:D15"/>
    <mergeCell ref="E14:E15"/>
    <mergeCell ref="F14:F15"/>
    <mergeCell ref="G14:G15"/>
    <mergeCell ref="H14:H15"/>
    <mergeCell ref="I14:I15"/>
    <mergeCell ref="J14:J15"/>
    <mergeCell ref="I16:I17"/>
    <mergeCell ref="J16:J17"/>
    <mergeCell ref="A20:A21"/>
    <mergeCell ref="B20:D21"/>
    <mergeCell ref="E20:E21"/>
    <mergeCell ref="F20:F21"/>
    <mergeCell ref="G20:G21"/>
    <mergeCell ref="H20:H21"/>
    <mergeCell ref="I20:I21"/>
    <mergeCell ref="J20:J21"/>
    <mergeCell ref="A16:A17"/>
    <mergeCell ref="B16:D17"/>
    <mergeCell ref="E16:E17"/>
    <mergeCell ref="F16:F17"/>
    <mergeCell ref="G16:G17"/>
    <mergeCell ref="H16:H17"/>
    <mergeCell ref="A18:A19"/>
    <mergeCell ref="B18:D19"/>
    <mergeCell ref="E18:E19"/>
    <mergeCell ref="F18:F19"/>
    <mergeCell ref="G18:G19"/>
    <mergeCell ref="H18:H19"/>
    <mergeCell ref="I18:I19"/>
    <mergeCell ref="J18:J19"/>
    <mergeCell ref="I22:I23"/>
    <mergeCell ref="J22:J23"/>
    <mergeCell ref="A24:A25"/>
    <mergeCell ref="B24:D25"/>
    <mergeCell ref="E24:E25"/>
    <mergeCell ref="F24:F25"/>
    <mergeCell ref="G24:G25"/>
    <mergeCell ref="H24:H25"/>
    <mergeCell ref="I24:I25"/>
    <mergeCell ref="J24:J25"/>
    <mergeCell ref="A22:A23"/>
    <mergeCell ref="B22:D23"/>
    <mergeCell ref="E22:E23"/>
    <mergeCell ref="F22:F23"/>
    <mergeCell ref="G22:G23"/>
    <mergeCell ref="H22:H23"/>
    <mergeCell ref="I30:I31"/>
    <mergeCell ref="J30:J31"/>
    <mergeCell ref="A30:A31"/>
    <mergeCell ref="B30:D31"/>
    <mergeCell ref="E30:E31"/>
    <mergeCell ref="F30:F31"/>
    <mergeCell ref="G30:G31"/>
    <mergeCell ref="H30:H31"/>
    <mergeCell ref="I26:I27"/>
    <mergeCell ref="J26:J27"/>
    <mergeCell ref="A28:A29"/>
    <mergeCell ref="B28:D29"/>
    <mergeCell ref="E28:E29"/>
    <mergeCell ref="F28:F29"/>
    <mergeCell ref="G28:G29"/>
    <mergeCell ref="H28:H29"/>
    <mergeCell ref="I28:I29"/>
    <mergeCell ref="J28:J29"/>
    <mergeCell ref="A26:A27"/>
    <mergeCell ref="B26:D27"/>
    <mergeCell ref="E26:E27"/>
    <mergeCell ref="F26:F27"/>
    <mergeCell ref="G26:G27"/>
    <mergeCell ref="H26:H27"/>
    <mergeCell ref="I32:I33"/>
    <mergeCell ref="J32:J33"/>
    <mergeCell ref="A34:A35"/>
    <mergeCell ref="B34:D35"/>
    <mergeCell ref="E34:E35"/>
    <mergeCell ref="F34:F35"/>
    <mergeCell ref="G34:G35"/>
    <mergeCell ref="H34:H35"/>
    <mergeCell ref="I34:I35"/>
    <mergeCell ref="J34:J35"/>
    <mergeCell ref="A32:A33"/>
    <mergeCell ref="B32:D33"/>
    <mergeCell ref="E32:E33"/>
    <mergeCell ref="F32:F33"/>
    <mergeCell ref="G32:G33"/>
    <mergeCell ref="H32:H33"/>
    <mergeCell ref="I36:I37"/>
    <mergeCell ref="J36:J37"/>
    <mergeCell ref="A40:A41"/>
    <mergeCell ref="B40:D41"/>
    <mergeCell ref="E40:E41"/>
    <mergeCell ref="F40:F41"/>
    <mergeCell ref="G40:G41"/>
    <mergeCell ref="H40:H41"/>
    <mergeCell ref="I40:I41"/>
    <mergeCell ref="J40:J41"/>
    <mergeCell ref="A36:A37"/>
    <mergeCell ref="B36:D37"/>
    <mergeCell ref="E36:E37"/>
    <mergeCell ref="F36:F37"/>
    <mergeCell ref="G36:G37"/>
    <mergeCell ref="H36:H37"/>
    <mergeCell ref="B38:D39"/>
    <mergeCell ref="A38:A39"/>
    <mergeCell ref="H38:H39"/>
    <mergeCell ref="F38:F39"/>
    <mergeCell ref="E38:E39"/>
    <mergeCell ref="A49:A50"/>
    <mergeCell ref="B49:D50"/>
    <mergeCell ref="E49:E50"/>
    <mergeCell ref="F49:F50"/>
    <mergeCell ref="G49:G50"/>
    <mergeCell ref="H49:H50"/>
    <mergeCell ref="I49:I50"/>
    <mergeCell ref="J49:J50"/>
    <mergeCell ref="I51:I52"/>
    <mergeCell ref="J51:J52"/>
    <mergeCell ref="A53:A54"/>
    <mergeCell ref="B53:D54"/>
    <mergeCell ref="E53:E54"/>
    <mergeCell ref="F53:F54"/>
    <mergeCell ref="G53:G54"/>
    <mergeCell ref="H53:H54"/>
    <mergeCell ref="I53:I54"/>
    <mergeCell ref="J53:J54"/>
    <mergeCell ref="A51:A52"/>
    <mergeCell ref="B51:D52"/>
    <mergeCell ref="E51:E52"/>
    <mergeCell ref="F51:F52"/>
    <mergeCell ref="G51:G52"/>
    <mergeCell ref="H51:H52"/>
    <mergeCell ref="I55:I56"/>
    <mergeCell ref="J55:J56"/>
    <mergeCell ref="A57:A58"/>
    <mergeCell ref="B57:D58"/>
    <mergeCell ref="E57:E58"/>
    <mergeCell ref="F57:F58"/>
    <mergeCell ref="G57:G58"/>
    <mergeCell ref="H57:H58"/>
    <mergeCell ref="I57:I58"/>
    <mergeCell ref="J57:J58"/>
    <mergeCell ref="A55:A56"/>
    <mergeCell ref="B55:D56"/>
    <mergeCell ref="E55:E56"/>
    <mergeCell ref="F55:F56"/>
    <mergeCell ref="G55:G56"/>
    <mergeCell ref="H55:H56"/>
    <mergeCell ref="I59:I60"/>
    <mergeCell ref="J59:J60"/>
    <mergeCell ref="A61:A62"/>
    <mergeCell ref="B61:D62"/>
    <mergeCell ref="E61:E62"/>
    <mergeCell ref="F61:F62"/>
    <mergeCell ref="G61:G62"/>
    <mergeCell ref="H61:H62"/>
    <mergeCell ref="I61:I62"/>
    <mergeCell ref="J61:J62"/>
    <mergeCell ref="A59:A60"/>
    <mergeCell ref="B59:D60"/>
    <mergeCell ref="E59:E60"/>
    <mergeCell ref="F59:F60"/>
    <mergeCell ref="G59:G60"/>
    <mergeCell ref="H59:H60"/>
    <mergeCell ref="I63:I64"/>
    <mergeCell ref="J63:J64"/>
    <mergeCell ref="A65:A66"/>
    <mergeCell ref="B65:D66"/>
    <mergeCell ref="E65:E66"/>
    <mergeCell ref="F65:F66"/>
    <mergeCell ref="G65:G66"/>
    <mergeCell ref="H65:H66"/>
    <mergeCell ref="I65:I66"/>
    <mergeCell ref="J65:J66"/>
    <mergeCell ref="A63:A64"/>
    <mergeCell ref="B63:D64"/>
    <mergeCell ref="E63:E64"/>
    <mergeCell ref="F63:F64"/>
    <mergeCell ref="G63:G64"/>
    <mergeCell ref="H63:H64"/>
    <mergeCell ref="I67:I68"/>
    <mergeCell ref="J67:J68"/>
    <mergeCell ref="A69:A70"/>
    <mergeCell ref="B69:D70"/>
    <mergeCell ref="E69:E70"/>
    <mergeCell ref="F69:F70"/>
    <mergeCell ref="G69:G70"/>
    <mergeCell ref="H69:H70"/>
    <mergeCell ref="I69:I70"/>
    <mergeCell ref="J69:J70"/>
    <mergeCell ref="A67:A68"/>
    <mergeCell ref="B67:D68"/>
    <mergeCell ref="E67:E68"/>
    <mergeCell ref="F67:F68"/>
    <mergeCell ref="G67:G68"/>
    <mergeCell ref="H67:H68"/>
    <mergeCell ref="J71:J72"/>
    <mergeCell ref="A73:A74"/>
    <mergeCell ref="B73:D74"/>
    <mergeCell ref="E73:E74"/>
    <mergeCell ref="F73:F74"/>
    <mergeCell ref="G73:G74"/>
    <mergeCell ref="H73:H74"/>
    <mergeCell ref="I73:I74"/>
    <mergeCell ref="J73:J74"/>
    <mergeCell ref="A71:A72"/>
    <mergeCell ref="B71:D72"/>
    <mergeCell ref="E71:E72"/>
    <mergeCell ref="F71:F72"/>
    <mergeCell ref="G71:G72"/>
    <mergeCell ref="H71:H72"/>
    <mergeCell ref="A75:A76"/>
    <mergeCell ref="B75:D76"/>
    <mergeCell ref="E75:E76"/>
    <mergeCell ref="F75:F76"/>
    <mergeCell ref="A77:A78"/>
    <mergeCell ref="B77:D78"/>
    <mergeCell ref="E77:E78"/>
    <mergeCell ref="F77:F78"/>
    <mergeCell ref="I71:I72"/>
    <mergeCell ref="I79:I80"/>
    <mergeCell ref="J79:J80"/>
    <mergeCell ref="G77:G78"/>
    <mergeCell ref="H77:H78"/>
    <mergeCell ref="I77:I78"/>
    <mergeCell ref="J77:J78"/>
    <mergeCell ref="A79:A80"/>
    <mergeCell ref="B79:D80"/>
    <mergeCell ref="E79:E80"/>
    <mergeCell ref="F79:F80"/>
    <mergeCell ref="G79:G80"/>
    <mergeCell ref="H79:H80"/>
  </mergeCells>
  <printOptions/>
  <pageMargins left="0.7874015748031497" right="0.7874015748031497" top="0.5905511811023623" bottom="0.1968503937007874" header="0.11811023622047245" footer="0.11811023622047245"/>
  <pageSetup firstPageNumber="42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 topLeftCell="A1">
      <selection activeCell="I11" sqref="I11"/>
    </sheetView>
  </sheetViews>
  <sheetFormatPr defaultColWidth="9.125" defaultRowHeight="12.75"/>
  <cols>
    <col min="1" max="1" width="6.875" style="708" customWidth="1"/>
    <col min="2" max="4" width="9.125" style="708" customWidth="1"/>
    <col min="5" max="5" width="23.625" style="708" customWidth="1"/>
    <col min="6" max="6" width="20.875" style="708" customWidth="1"/>
    <col min="7" max="7" width="18.375" style="708" customWidth="1"/>
    <col min="8" max="8" width="21.125" style="708" customWidth="1"/>
    <col min="9" max="9" width="18.375" style="708" customWidth="1"/>
    <col min="10" max="16384" width="9.125" style="708" customWidth="1"/>
  </cols>
  <sheetData>
    <row r="2" spans="1:9" ht="15.75">
      <c r="A2" s="1397" t="s">
        <v>642</v>
      </c>
      <c r="B2" s="1397"/>
      <c r="C2" s="1397"/>
      <c r="D2" s="1397"/>
      <c r="E2" s="1397"/>
      <c r="F2" s="1398"/>
      <c r="G2" s="1398"/>
      <c r="H2" s="1398"/>
      <c r="I2" s="1398"/>
    </row>
    <row r="3" spans="1:9" ht="18" customHeight="1">
      <c r="A3" s="1397" t="s">
        <v>1197</v>
      </c>
      <c r="B3" s="1397"/>
      <c r="C3" s="1397"/>
      <c r="D3" s="1397"/>
      <c r="E3" s="1397"/>
      <c r="F3" s="1398"/>
      <c r="G3" s="1398"/>
      <c r="H3" s="1398"/>
      <c r="I3" s="1398"/>
    </row>
    <row r="7" spans="1:9" ht="16.5" customHeight="1">
      <c r="A7" s="709"/>
      <c r="B7" s="709"/>
      <c r="C7" s="709"/>
      <c r="D7" s="709"/>
      <c r="E7" s="709"/>
      <c r="F7" s="709"/>
      <c r="G7" s="709"/>
      <c r="H7" s="709"/>
      <c r="I7" s="710" t="s">
        <v>154</v>
      </c>
    </row>
    <row r="8" spans="1:9" ht="21.75" customHeight="1">
      <c r="A8" s="1399" t="s">
        <v>247</v>
      </c>
      <c r="B8" s="1401" t="s">
        <v>643</v>
      </c>
      <c r="C8" s="1401"/>
      <c r="D8" s="1401"/>
      <c r="E8" s="1401"/>
      <c r="F8" s="1403" t="s">
        <v>644</v>
      </c>
      <c r="G8" s="1404"/>
      <c r="H8" s="1403" t="s">
        <v>645</v>
      </c>
      <c r="I8" s="1404"/>
    </row>
    <row r="9" spans="1:9" ht="27" customHeight="1">
      <c r="A9" s="1400"/>
      <c r="B9" s="1402"/>
      <c r="C9" s="1402"/>
      <c r="D9" s="1402"/>
      <c r="E9" s="1402"/>
      <c r="F9" s="711" t="s">
        <v>646</v>
      </c>
      <c r="G9" s="711" t="s">
        <v>647</v>
      </c>
      <c r="H9" s="711" t="s">
        <v>646</v>
      </c>
      <c r="I9" s="711" t="s">
        <v>647</v>
      </c>
    </row>
    <row r="10" spans="1:9" ht="21.95" customHeight="1">
      <c r="A10" s="712" t="s">
        <v>139</v>
      </c>
      <c r="B10" s="713" t="s">
        <v>648</v>
      </c>
      <c r="C10" s="714"/>
      <c r="D10" s="714"/>
      <c r="E10" s="714"/>
      <c r="F10" s="715" t="s">
        <v>649</v>
      </c>
      <c r="G10" s="716">
        <v>400</v>
      </c>
      <c r="H10" s="717" t="s">
        <v>650</v>
      </c>
      <c r="I10" s="716">
        <v>140000</v>
      </c>
    </row>
    <row r="11" spans="1:9" ht="21.95" customHeight="1">
      <c r="A11" s="712" t="s">
        <v>140</v>
      </c>
      <c r="B11" s="713" t="s">
        <v>651</v>
      </c>
      <c r="C11" s="714"/>
      <c r="D11" s="714"/>
      <c r="E11" s="714"/>
      <c r="F11" s="715" t="s">
        <v>649</v>
      </c>
      <c r="G11" s="716"/>
      <c r="H11" s="717" t="s">
        <v>650</v>
      </c>
      <c r="I11" s="716">
        <v>100000</v>
      </c>
    </row>
    <row r="12" spans="1:9" ht="21.95" customHeight="1">
      <c r="A12" s="712" t="s">
        <v>141</v>
      </c>
      <c r="B12" s="714" t="s">
        <v>652</v>
      </c>
      <c r="C12" s="714"/>
      <c r="D12" s="714"/>
      <c r="E12" s="714"/>
      <c r="F12" s="715"/>
      <c r="G12" s="716"/>
      <c r="H12" s="717" t="s">
        <v>653</v>
      </c>
      <c r="I12" s="716"/>
    </row>
    <row r="13" spans="1:9" ht="21.95" customHeight="1">
      <c r="A13" s="712" t="s">
        <v>522</v>
      </c>
      <c r="B13" s="714" t="s">
        <v>654</v>
      </c>
      <c r="C13" s="714"/>
      <c r="D13" s="714"/>
      <c r="E13" s="714"/>
      <c r="F13" s="715"/>
      <c r="G13" s="716"/>
      <c r="H13" s="717" t="s">
        <v>653</v>
      </c>
      <c r="I13" s="716">
        <v>11912</v>
      </c>
    </row>
    <row r="14" spans="1:9" ht="21.95" customHeight="1">
      <c r="A14" s="718" t="s">
        <v>523</v>
      </c>
      <c r="B14" s="719" t="s">
        <v>1096</v>
      </c>
      <c r="C14" s="719"/>
      <c r="D14" s="719"/>
      <c r="E14" s="719"/>
      <c r="F14" s="720"/>
      <c r="G14" s="721"/>
      <c r="H14" s="722" t="s">
        <v>656</v>
      </c>
      <c r="I14" s="721">
        <v>78214</v>
      </c>
    </row>
  </sheetData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44" useFirstPageNumber="1" horizontalDpi="600" verticalDpi="600" orientation="landscape" paperSize="9" scale="99" r:id="rId1"/>
  <headerFooter alignWithMargins="0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51"/>
  <sheetViews>
    <sheetView zoomScaleSheetLayoutView="75" workbookViewId="0" topLeftCell="A141">
      <selection activeCell="G19" sqref="G19"/>
    </sheetView>
  </sheetViews>
  <sheetFormatPr defaultColWidth="9.125" defaultRowHeight="12.75"/>
  <cols>
    <col min="1" max="1" width="4.625" style="1004" customWidth="1"/>
    <col min="2" max="2" width="61.625" style="1004" bestFit="1" customWidth="1"/>
    <col min="3" max="3" width="15.00390625" style="1004" customWidth="1"/>
    <col min="4" max="4" width="12.875" style="1004" bestFit="1" customWidth="1"/>
    <col min="5" max="5" width="16.75390625" style="1004" customWidth="1"/>
    <col min="6" max="6" width="12.375" style="1004" customWidth="1"/>
    <col min="7" max="7" width="12.375" style="1004" bestFit="1" customWidth="1"/>
    <col min="8" max="8" width="10.375" style="1004" bestFit="1" customWidth="1"/>
    <col min="9" max="9" width="12.125" style="1004" bestFit="1" customWidth="1"/>
    <col min="10" max="10" width="10.375" style="1004" bestFit="1" customWidth="1"/>
    <col min="11" max="12" width="13.875" style="1004" bestFit="1" customWidth="1"/>
    <col min="13" max="13" width="13.625" style="1004" bestFit="1" customWidth="1"/>
    <col min="14" max="14" width="14.75390625" style="1004" bestFit="1" customWidth="1"/>
    <col min="15" max="15" width="11.625" style="1004" bestFit="1" customWidth="1"/>
    <col min="16" max="16384" width="9.125" style="723" customWidth="1"/>
  </cols>
  <sheetData>
    <row r="3" spans="1:14" ht="18.75" customHeight="1">
      <c r="A3" s="1411" t="s">
        <v>657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  <c r="M3" s="1411"/>
      <c r="N3" s="1411"/>
    </row>
    <row r="4" spans="1:14" ht="15.75">
      <c r="A4" s="1025"/>
      <c r="B4" s="1412" t="s">
        <v>658</v>
      </c>
      <c r="C4" s="1412"/>
      <c r="D4" s="1412"/>
      <c r="E4" s="1412"/>
      <c r="F4" s="1412"/>
      <c r="G4" s="1412"/>
      <c r="H4" s="1412"/>
      <c r="I4" s="1412"/>
      <c r="J4" s="1412"/>
      <c r="K4" s="1412"/>
      <c r="L4" s="1412"/>
      <c r="M4" s="1412"/>
      <c r="N4" s="1025"/>
    </row>
    <row r="5" spans="1:14" ht="15.75">
      <c r="A5" s="1025"/>
      <c r="B5" s="1412" t="s">
        <v>1209</v>
      </c>
      <c r="C5" s="1412"/>
      <c r="D5" s="1412"/>
      <c r="E5" s="1412"/>
      <c r="F5" s="1412"/>
      <c r="G5" s="1412"/>
      <c r="H5" s="1412"/>
      <c r="I5" s="1412"/>
      <c r="J5" s="1412"/>
      <c r="K5" s="1412"/>
      <c r="L5" s="1412"/>
      <c r="M5" s="1412"/>
      <c r="N5" s="1025"/>
    </row>
    <row r="6" spans="2:13" ht="18.75">
      <c r="B6" s="1026"/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</row>
    <row r="7" ht="12.75">
      <c r="N7" s="1007" t="s">
        <v>524</v>
      </c>
    </row>
    <row r="8" spans="1:14" ht="32.25" customHeight="1">
      <c r="A8" s="1027"/>
      <c r="B8" s="1407" t="s">
        <v>659</v>
      </c>
      <c r="C8" s="1414" t="s">
        <v>1340</v>
      </c>
      <c r="D8" s="1416" t="s">
        <v>660</v>
      </c>
      <c r="E8" s="1407" t="s">
        <v>661</v>
      </c>
      <c r="F8" s="1418" t="s">
        <v>662</v>
      </c>
      <c r="G8" s="1028" t="s">
        <v>663</v>
      </c>
      <c r="H8" s="1420" t="s">
        <v>664</v>
      </c>
      <c r="I8" s="1421"/>
      <c r="J8" s="1422" t="s">
        <v>665</v>
      </c>
      <c r="K8" s="1422"/>
      <c r="L8" s="1405" t="s">
        <v>666</v>
      </c>
      <c r="M8" s="1407" t="s">
        <v>667</v>
      </c>
      <c r="N8" s="1409" t="s">
        <v>668</v>
      </c>
    </row>
    <row r="9" spans="1:14" ht="52.5" customHeight="1">
      <c r="A9" s="1029"/>
      <c r="B9" s="1413"/>
      <c r="C9" s="1415"/>
      <c r="D9" s="1417"/>
      <c r="E9" s="1413"/>
      <c r="F9" s="1419"/>
      <c r="G9" s="1028" t="s">
        <v>669</v>
      </c>
      <c r="H9" s="998" t="s">
        <v>670</v>
      </c>
      <c r="I9" s="998" t="s">
        <v>671</v>
      </c>
      <c r="J9" s="998" t="s">
        <v>670</v>
      </c>
      <c r="K9" s="998" t="s">
        <v>672</v>
      </c>
      <c r="L9" s="1406"/>
      <c r="M9" s="1408"/>
      <c r="N9" s="1410"/>
    </row>
    <row r="10" spans="1:14" ht="21" customHeight="1">
      <c r="A10" s="1030" t="s">
        <v>139</v>
      </c>
      <c r="B10" s="1031" t="s">
        <v>673</v>
      </c>
      <c r="C10" s="971">
        <f>SUM(C11:C32)</f>
        <v>1302057</v>
      </c>
      <c r="D10" s="964">
        <f>SUM(E10:M10)</f>
        <v>1302057</v>
      </c>
      <c r="E10" s="972"/>
      <c r="F10" s="972">
        <f>697500+2572</f>
        <v>700072</v>
      </c>
      <c r="G10" s="972">
        <v>125000</v>
      </c>
      <c r="H10" s="972"/>
      <c r="I10" s="972"/>
      <c r="J10" s="972"/>
      <c r="K10" s="972"/>
      <c r="L10" s="971">
        <v>476985</v>
      </c>
      <c r="M10" s="972"/>
      <c r="N10" s="1022"/>
    </row>
    <row r="11" spans="1:14" ht="21" customHeight="1">
      <c r="A11" s="1030"/>
      <c r="B11" s="1032" t="s">
        <v>674</v>
      </c>
      <c r="C11" s="973">
        <f>SUM('3c.m.'!D25)</f>
        <v>5001</v>
      </c>
      <c r="D11" s="972"/>
      <c r="E11" s="972"/>
      <c r="F11" s="972"/>
      <c r="G11" s="972"/>
      <c r="H11" s="972"/>
      <c r="I11" s="972"/>
      <c r="J11" s="972"/>
      <c r="K11" s="972"/>
      <c r="L11" s="974">
        <v>1</v>
      </c>
      <c r="M11" s="972"/>
      <c r="N11" s="1022"/>
    </row>
    <row r="12" spans="1:14" ht="21" customHeight="1">
      <c r="A12" s="1030"/>
      <c r="B12" s="1032" t="s">
        <v>675</v>
      </c>
      <c r="C12" s="973">
        <f>SUM('3c.m.'!D34)</f>
        <v>10000</v>
      </c>
      <c r="D12" s="972"/>
      <c r="E12" s="972"/>
      <c r="F12" s="972"/>
      <c r="G12" s="972"/>
      <c r="H12" s="972"/>
      <c r="I12" s="972"/>
      <c r="J12" s="972"/>
      <c r="K12" s="972"/>
      <c r="L12" s="974">
        <v>5000</v>
      </c>
      <c r="M12" s="972"/>
      <c r="N12" s="1022"/>
    </row>
    <row r="13" spans="1:14" ht="21" customHeight="1">
      <c r="A13" s="1030"/>
      <c r="B13" s="1032" t="s">
        <v>1102</v>
      </c>
      <c r="C13" s="973">
        <f>SUM('3c.m.'!D43)</f>
        <v>143218</v>
      </c>
      <c r="D13" s="972"/>
      <c r="E13" s="972"/>
      <c r="F13" s="972"/>
      <c r="G13" s="972"/>
      <c r="H13" s="972"/>
      <c r="I13" s="972"/>
      <c r="J13" s="972"/>
      <c r="K13" s="972"/>
      <c r="L13" s="974">
        <v>59218</v>
      </c>
      <c r="M13" s="972"/>
      <c r="N13" s="1022"/>
    </row>
    <row r="14" spans="1:14" ht="21" customHeight="1">
      <c r="A14" s="1030"/>
      <c r="B14" s="1032" t="s">
        <v>1103</v>
      </c>
      <c r="C14" s="973">
        <f>SUM('3c.m.'!D52)</f>
        <v>23932</v>
      </c>
      <c r="D14" s="972"/>
      <c r="E14" s="972"/>
      <c r="F14" s="972"/>
      <c r="G14" s="972"/>
      <c r="H14" s="972"/>
      <c r="I14" s="972"/>
      <c r="J14" s="972"/>
      <c r="K14" s="972"/>
      <c r="L14" s="974">
        <v>9360</v>
      </c>
      <c r="M14" s="972"/>
      <c r="N14" s="1022"/>
    </row>
    <row r="15" spans="1:14" ht="21" customHeight="1">
      <c r="A15" s="1030"/>
      <c r="B15" s="1032" t="s">
        <v>676</v>
      </c>
      <c r="C15" s="975">
        <f>SUM('3c.m.'!D70)</f>
        <v>2000</v>
      </c>
      <c r="D15" s="974"/>
      <c r="E15" s="724"/>
      <c r="F15" s="724"/>
      <c r="G15" s="724"/>
      <c r="H15" s="724"/>
      <c r="I15" s="724"/>
      <c r="J15" s="724"/>
      <c r="K15" s="724"/>
      <c r="L15" s="724"/>
      <c r="M15" s="724"/>
      <c r="N15" s="1022"/>
    </row>
    <row r="16" spans="1:14" ht="20.45" customHeight="1">
      <c r="A16" s="1030"/>
      <c r="B16" s="1032" t="s">
        <v>677</v>
      </c>
      <c r="C16" s="975">
        <f>SUM('3c.m.'!D78)</f>
        <v>26379</v>
      </c>
      <c r="D16" s="974"/>
      <c r="E16" s="724"/>
      <c r="F16" s="724"/>
      <c r="G16" s="724"/>
      <c r="H16" s="724"/>
      <c r="I16" s="724"/>
      <c r="J16" s="724"/>
      <c r="K16" s="724"/>
      <c r="L16" s="724">
        <v>1379</v>
      </c>
      <c r="M16" s="724"/>
      <c r="N16" s="1022"/>
    </row>
    <row r="17" spans="1:14" ht="21" customHeight="1" hidden="1">
      <c r="A17" s="1030"/>
      <c r="B17" s="1032" t="s">
        <v>678</v>
      </c>
      <c r="C17" s="975"/>
      <c r="D17" s="974"/>
      <c r="E17" s="724"/>
      <c r="F17" s="724"/>
      <c r="G17" s="724"/>
      <c r="H17" s="724"/>
      <c r="I17" s="724"/>
      <c r="J17" s="724"/>
      <c r="K17" s="724"/>
      <c r="L17" s="724"/>
      <c r="M17" s="724"/>
      <c r="N17" s="1022"/>
    </row>
    <row r="18" spans="1:14" ht="21" customHeight="1">
      <c r="A18" s="1030"/>
      <c r="B18" s="1032" t="s">
        <v>679</v>
      </c>
      <c r="C18" s="975">
        <f>SUM('3c.m.'!D113)</f>
        <v>67149</v>
      </c>
      <c r="D18" s="974"/>
      <c r="E18" s="724"/>
      <c r="F18" s="724"/>
      <c r="G18" s="724"/>
      <c r="H18" s="724"/>
      <c r="I18" s="724"/>
      <c r="J18" s="724"/>
      <c r="K18" s="724"/>
      <c r="L18" s="724">
        <v>27149</v>
      </c>
      <c r="M18" s="724"/>
      <c r="N18" s="1022"/>
    </row>
    <row r="19" spans="1:14" ht="21" customHeight="1">
      <c r="A19" s="1030"/>
      <c r="B19" s="1032" t="s">
        <v>680</v>
      </c>
      <c r="C19" s="975">
        <f>SUM('3c.m.'!D278)</f>
        <v>89781</v>
      </c>
      <c r="D19" s="974"/>
      <c r="E19" s="724"/>
      <c r="F19" s="724"/>
      <c r="G19" s="724"/>
      <c r="H19" s="724"/>
      <c r="I19" s="724"/>
      <c r="J19" s="724"/>
      <c r="K19" s="724"/>
      <c r="L19" s="724">
        <v>25281</v>
      </c>
      <c r="M19" s="724"/>
      <c r="N19" s="1022"/>
    </row>
    <row r="20" spans="1:14" ht="21" customHeight="1">
      <c r="A20" s="1030"/>
      <c r="B20" s="1032" t="s">
        <v>681</v>
      </c>
      <c r="C20" s="975">
        <f>SUM('3c.m.'!D351)</f>
        <v>307473</v>
      </c>
      <c r="D20" s="974"/>
      <c r="E20" s="724"/>
      <c r="F20" s="724"/>
      <c r="G20" s="724"/>
      <c r="H20" s="724"/>
      <c r="I20" s="724"/>
      <c r="J20" s="724"/>
      <c r="K20" s="724"/>
      <c r="L20" s="724">
        <v>34473</v>
      </c>
      <c r="M20" s="724"/>
      <c r="N20" s="1022"/>
    </row>
    <row r="21" spans="1:14" ht="20.45" customHeight="1">
      <c r="A21" s="1030"/>
      <c r="B21" s="1032" t="s">
        <v>682</v>
      </c>
      <c r="C21" s="975">
        <f>SUM('4.mell.'!D10)</f>
        <v>19982</v>
      </c>
      <c r="D21" s="974"/>
      <c r="E21" s="724"/>
      <c r="F21" s="724"/>
      <c r="G21" s="724"/>
      <c r="H21" s="724"/>
      <c r="I21" s="724"/>
      <c r="J21" s="724"/>
      <c r="K21" s="724"/>
      <c r="L21" s="724">
        <v>19982</v>
      </c>
      <c r="M21" s="724"/>
      <c r="N21" s="1022"/>
    </row>
    <row r="22" spans="1:14" ht="21" customHeight="1" hidden="1">
      <c r="A22" s="1030"/>
      <c r="B22" s="1032" t="s">
        <v>683</v>
      </c>
      <c r="C22" s="975"/>
      <c r="D22" s="974"/>
      <c r="E22" s="724"/>
      <c r="F22" s="724"/>
      <c r="G22" s="724"/>
      <c r="H22" s="724"/>
      <c r="I22" s="724"/>
      <c r="J22" s="724"/>
      <c r="K22" s="724"/>
      <c r="L22" s="724"/>
      <c r="M22" s="724"/>
      <c r="N22" s="1022"/>
    </row>
    <row r="23" spans="1:14" ht="21" customHeight="1">
      <c r="A23" s="1030"/>
      <c r="B23" s="1032" t="s">
        <v>1274</v>
      </c>
      <c r="C23" s="975">
        <f>'4.mell.'!D11</f>
        <v>65000</v>
      </c>
      <c r="D23" s="974"/>
      <c r="E23" s="724"/>
      <c r="F23" s="724"/>
      <c r="G23" s="724"/>
      <c r="H23" s="724"/>
      <c r="I23" s="724"/>
      <c r="J23" s="724"/>
      <c r="K23" s="724"/>
      <c r="L23" s="724"/>
      <c r="M23" s="724"/>
      <c r="N23" s="1022"/>
    </row>
    <row r="24" spans="1:14" ht="25.5" customHeight="1">
      <c r="A24" s="1030"/>
      <c r="B24" s="1033" t="s">
        <v>684</v>
      </c>
      <c r="C24" s="975">
        <f>SUM('4.mell.'!D12)</f>
        <v>190000</v>
      </c>
      <c r="D24" s="974"/>
      <c r="E24" s="724"/>
      <c r="F24" s="724"/>
      <c r="G24" s="724"/>
      <c r="H24" s="724"/>
      <c r="I24" s="724"/>
      <c r="J24" s="724"/>
      <c r="K24" s="724"/>
      <c r="L24" s="724">
        <v>70000</v>
      </c>
      <c r="M24" s="724"/>
      <c r="N24" s="1022"/>
    </row>
    <row r="25" spans="1:14" ht="25.5" customHeight="1">
      <c r="A25" s="1030"/>
      <c r="B25" s="1033" t="s">
        <v>1275</v>
      </c>
      <c r="C25" s="975">
        <f>'4.mell.'!D13</f>
        <v>80000</v>
      </c>
      <c r="D25" s="974"/>
      <c r="E25" s="724"/>
      <c r="F25" s="724"/>
      <c r="G25" s="724"/>
      <c r="H25" s="724"/>
      <c r="I25" s="724"/>
      <c r="J25" s="724"/>
      <c r="K25" s="724"/>
      <c r="L25" s="724"/>
      <c r="M25" s="724"/>
      <c r="N25" s="1022"/>
    </row>
    <row r="26" spans="1:14" ht="19.5" customHeight="1">
      <c r="A26" s="1030"/>
      <c r="B26" s="1033" t="s">
        <v>1098</v>
      </c>
      <c r="C26" s="975">
        <f>SUM('4.mell.'!D14)</f>
        <v>2000</v>
      </c>
      <c r="D26" s="974"/>
      <c r="E26" s="724"/>
      <c r="F26" s="724"/>
      <c r="G26" s="724"/>
      <c r="H26" s="724"/>
      <c r="I26" s="724"/>
      <c r="J26" s="724"/>
      <c r="K26" s="724"/>
      <c r="L26" s="724"/>
      <c r="M26" s="724"/>
      <c r="N26" s="1022"/>
    </row>
    <row r="27" spans="1:14" ht="20.25" customHeight="1">
      <c r="A27" s="1030"/>
      <c r="B27" s="1033" t="s">
        <v>1099</v>
      </c>
      <c r="C27" s="975">
        <f>SUM('4.mell.'!D15)</f>
        <v>95263</v>
      </c>
      <c r="D27" s="974"/>
      <c r="E27" s="724"/>
      <c r="F27" s="724"/>
      <c r="G27" s="724"/>
      <c r="H27" s="724"/>
      <c r="I27" s="724"/>
      <c r="J27" s="724"/>
      <c r="K27" s="724"/>
      <c r="L27" s="724">
        <v>35263</v>
      </c>
      <c r="M27" s="724"/>
      <c r="N27" s="1022"/>
    </row>
    <row r="28" spans="1:14" ht="20.25" customHeight="1">
      <c r="A28" s="1030"/>
      <c r="B28" s="1033" t="s">
        <v>1166</v>
      </c>
      <c r="C28" s="975">
        <f>SUM('4.mell.'!D17)</f>
        <v>64879</v>
      </c>
      <c r="D28" s="974"/>
      <c r="E28" s="724"/>
      <c r="F28" s="724"/>
      <c r="G28" s="724"/>
      <c r="H28" s="724"/>
      <c r="I28" s="724"/>
      <c r="J28" s="724"/>
      <c r="K28" s="724"/>
      <c r="L28" s="724">
        <v>14879</v>
      </c>
      <c r="M28" s="724"/>
      <c r="N28" s="1022"/>
    </row>
    <row r="29" spans="1:14" ht="21.6" customHeight="1">
      <c r="A29" s="1030"/>
      <c r="B29" s="1033" t="s">
        <v>685</v>
      </c>
      <c r="C29" s="975">
        <f>SUM('5.mell. '!D17)</f>
        <v>90000</v>
      </c>
      <c r="D29" s="974"/>
      <c r="E29" s="724"/>
      <c r="F29" s="724"/>
      <c r="G29" s="724"/>
      <c r="H29" s="724"/>
      <c r="I29" s="724"/>
      <c r="J29" s="724"/>
      <c r="K29" s="724"/>
      <c r="L29" s="724">
        <v>45000</v>
      </c>
      <c r="M29" s="724"/>
      <c r="N29" s="1022"/>
    </row>
    <row r="30" spans="1:14" ht="0.6" hidden="1">
      <c r="A30" s="1030"/>
      <c r="B30" s="1033" t="s">
        <v>686</v>
      </c>
      <c r="C30" s="975"/>
      <c r="D30" s="974"/>
      <c r="E30" s="724"/>
      <c r="F30" s="724"/>
      <c r="G30" s="724"/>
      <c r="H30" s="724"/>
      <c r="I30" s="724"/>
      <c r="J30" s="724"/>
      <c r="K30" s="724"/>
      <c r="L30" s="724"/>
      <c r="M30" s="724"/>
      <c r="N30" s="1022"/>
    </row>
    <row r="31" spans="1:14" ht="21" customHeight="1" hidden="1">
      <c r="A31" s="1030"/>
      <c r="B31" s="1032" t="s">
        <v>687</v>
      </c>
      <c r="C31" s="975"/>
      <c r="D31" s="974"/>
      <c r="E31" s="724"/>
      <c r="F31" s="724"/>
      <c r="G31" s="724"/>
      <c r="H31" s="724"/>
      <c r="I31" s="724"/>
      <c r="J31" s="724"/>
      <c r="K31" s="724"/>
      <c r="L31" s="724"/>
      <c r="M31" s="724"/>
      <c r="N31" s="1022"/>
    </row>
    <row r="32" spans="1:14" ht="21" customHeight="1">
      <c r="A32" s="1030"/>
      <c r="B32" s="1034" t="s">
        <v>1272</v>
      </c>
      <c r="C32" s="976">
        <f>'5.mell. '!D24</f>
        <v>20000</v>
      </c>
      <c r="D32" s="974"/>
      <c r="E32" s="724"/>
      <c r="F32" s="724"/>
      <c r="G32" s="724"/>
      <c r="H32" s="724"/>
      <c r="I32" s="724"/>
      <c r="J32" s="724"/>
      <c r="K32" s="724"/>
      <c r="L32" s="724">
        <v>20000</v>
      </c>
      <c r="M32" s="724"/>
      <c r="N32" s="1022"/>
    </row>
    <row r="33" spans="1:14" ht="21" customHeight="1">
      <c r="A33" s="1030" t="s">
        <v>140</v>
      </c>
      <c r="B33" s="1035" t="s">
        <v>688</v>
      </c>
      <c r="C33" s="964">
        <f>SUM(C34:C34)</f>
        <v>2473</v>
      </c>
      <c r="D33" s="964">
        <f>SUM(E33:N33)</f>
        <v>2473</v>
      </c>
      <c r="E33" s="964"/>
      <c r="F33" s="964">
        <v>1800</v>
      </c>
      <c r="G33" s="964"/>
      <c r="H33" s="964"/>
      <c r="I33" s="964"/>
      <c r="J33" s="964"/>
      <c r="K33" s="964"/>
      <c r="L33" s="964">
        <f>SUM(L34:L34)</f>
        <v>673</v>
      </c>
      <c r="M33" s="964"/>
      <c r="N33" s="1022"/>
    </row>
    <row r="34" spans="1:14" ht="21" customHeight="1">
      <c r="A34" s="1030"/>
      <c r="B34" s="1034" t="s">
        <v>689</v>
      </c>
      <c r="C34" s="976">
        <f>SUM('3d.m.'!D9)</f>
        <v>2473</v>
      </c>
      <c r="D34" s="976"/>
      <c r="E34" s="725"/>
      <c r="F34" s="725"/>
      <c r="G34" s="725"/>
      <c r="H34" s="725"/>
      <c r="I34" s="725"/>
      <c r="J34" s="725"/>
      <c r="K34" s="725"/>
      <c r="L34" s="725">
        <v>673</v>
      </c>
      <c r="M34" s="725"/>
      <c r="N34" s="1022"/>
    </row>
    <row r="35" spans="1:14" ht="21" customHeight="1">
      <c r="A35" s="1030" t="s">
        <v>141</v>
      </c>
      <c r="B35" s="1035" t="s">
        <v>690</v>
      </c>
      <c r="C35" s="964">
        <f>SUM(C36:C36)</f>
        <v>1061796</v>
      </c>
      <c r="D35" s="964">
        <f>SUM(E35:M35)</f>
        <v>1061796</v>
      </c>
      <c r="E35" s="725"/>
      <c r="F35" s="726"/>
      <c r="G35" s="726">
        <v>941884</v>
      </c>
      <c r="H35" s="725"/>
      <c r="I35" s="725"/>
      <c r="J35" s="725"/>
      <c r="K35" s="725"/>
      <c r="L35" s="726">
        <v>119912</v>
      </c>
      <c r="M35" s="725"/>
      <c r="N35" s="1022"/>
    </row>
    <row r="36" spans="1:14" ht="29.1" customHeight="1">
      <c r="A36" s="1030"/>
      <c r="B36" s="1036" t="s">
        <v>691</v>
      </c>
      <c r="C36" s="976">
        <f>SUM('3c.m.'!D334)</f>
        <v>1061796</v>
      </c>
      <c r="D36" s="976"/>
      <c r="E36" s="725"/>
      <c r="F36" s="725"/>
      <c r="G36" s="725"/>
      <c r="H36" s="725"/>
      <c r="I36" s="725"/>
      <c r="J36" s="725"/>
      <c r="K36" s="725"/>
      <c r="L36" s="725">
        <v>97912</v>
      </c>
      <c r="M36" s="725"/>
      <c r="N36" s="1022"/>
    </row>
    <row r="37" spans="1:14" ht="21" customHeight="1">
      <c r="A37" s="1030" t="s">
        <v>523</v>
      </c>
      <c r="B37" s="1035" t="s">
        <v>692</v>
      </c>
      <c r="C37" s="964">
        <f>SUM(C38:C42)</f>
        <v>1122467</v>
      </c>
      <c r="D37" s="964">
        <f>SUM(E37:N37)</f>
        <v>1122467</v>
      </c>
      <c r="E37" s="725"/>
      <c r="F37" s="726">
        <v>830401</v>
      </c>
      <c r="G37" s="726">
        <v>90000</v>
      </c>
      <c r="H37" s="725"/>
      <c r="I37" s="726"/>
      <c r="J37" s="725"/>
      <c r="K37" s="726"/>
      <c r="L37" s="964">
        <v>193066</v>
      </c>
      <c r="M37" s="726"/>
      <c r="N37" s="964">
        <v>9000</v>
      </c>
    </row>
    <row r="38" spans="1:14" ht="21" customHeight="1">
      <c r="A38" s="1030"/>
      <c r="B38" s="1034" t="s">
        <v>693</v>
      </c>
      <c r="C38" s="976">
        <f>SUM('3c.m.'!D326)</f>
        <v>882529</v>
      </c>
      <c r="D38" s="976"/>
      <c r="E38" s="725"/>
      <c r="F38" s="725"/>
      <c r="G38" s="725"/>
      <c r="H38" s="725"/>
      <c r="I38" s="725"/>
      <c r="J38" s="725"/>
      <c r="K38" s="725"/>
      <c r="L38" s="725">
        <v>71029</v>
      </c>
      <c r="M38" s="725"/>
      <c r="N38" s="1022"/>
    </row>
    <row r="39" spans="1:14" ht="21" customHeight="1">
      <c r="A39" s="1030"/>
      <c r="B39" s="1034" t="s">
        <v>694</v>
      </c>
      <c r="C39" s="976">
        <f>SUM('3c.m.'!D139)</f>
        <v>7468</v>
      </c>
      <c r="D39" s="976"/>
      <c r="E39" s="725"/>
      <c r="F39" s="725"/>
      <c r="G39" s="725"/>
      <c r="H39" s="725"/>
      <c r="I39" s="725"/>
      <c r="J39" s="725"/>
      <c r="K39" s="725"/>
      <c r="L39" s="725">
        <v>1067</v>
      </c>
      <c r="M39" s="725"/>
      <c r="N39" s="1022"/>
    </row>
    <row r="40" spans="1:14" ht="21" customHeight="1">
      <c r="A40" s="1030"/>
      <c r="B40" s="1034" t="s">
        <v>695</v>
      </c>
      <c r="C40" s="976">
        <f>SUM('4.mell.'!D29)</f>
        <v>217954</v>
      </c>
      <c r="D40" s="976"/>
      <c r="E40" s="725"/>
      <c r="F40" s="725"/>
      <c r="G40" s="725"/>
      <c r="H40" s="725"/>
      <c r="I40" s="725"/>
      <c r="J40" s="725"/>
      <c r="K40" s="725"/>
      <c r="L40" s="725">
        <v>52954</v>
      </c>
      <c r="M40" s="725"/>
      <c r="N40" s="1022"/>
    </row>
    <row r="41" spans="1:14" ht="21" customHeight="1">
      <c r="A41" s="1030"/>
      <c r="B41" s="1034" t="s">
        <v>696</v>
      </c>
      <c r="C41" s="976">
        <f>SUM('4.mell.'!D49)</f>
        <v>10956</v>
      </c>
      <c r="D41" s="976"/>
      <c r="E41" s="725"/>
      <c r="F41" s="725"/>
      <c r="G41" s="725"/>
      <c r="H41" s="725"/>
      <c r="I41" s="725"/>
      <c r="J41" s="725"/>
      <c r="K41" s="725"/>
      <c r="L41" s="725">
        <v>956</v>
      </c>
      <c r="M41" s="725"/>
      <c r="N41" s="1022"/>
    </row>
    <row r="42" spans="1:14" ht="21" customHeight="1">
      <c r="A42" s="1030"/>
      <c r="B42" s="1034" t="s">
        <v>697</v>
      </c>
      <c r="C42" s="976">
        <f>SUM('5.mell. '!D23)</f>
        <v>3560</v>
      </c>
      <c r="D42" s="976"/>
      <c r="E42" s="725"/>
      <c r="F42" s="725"/>
      <c r="G42" s="725"/>
      <c r="H42" s="725"/>
      <c r="I42" s="725"/>
      <c r="J42" s="725"/>
      <c r="K42" s="725"/>
      <c r="L42" s="725">
        <v>3560</v>
      </c>
      <c r="M42" s="725"/>
      <c r="N42" s="1022"/>
    </row>
    <row r="43" spans="1:14" ht="21" customHeight="1">
      <c r="A43" s="1030" t="s">
        <v>539</v>
      </c>
      <c r="B43" s="1035" t="s">
        <v>698</v>
      </c>
      <c r="C43" s="976"/>
      <c r="D43" s="964">
        <f>SUM(E43:M43)</f>
        <v>0</v>
      </c>
      <c r="E43" s="725"/>
      <c r="F43" s="725"/>
      <c r="G43" s="725"/>
      <c r="H43" s="725"/>
      <c r="I43" s="725"/>
      <c r="J43" s="725"/>
      <c r="K43" s="725"/>
      <c r="L43" s="725"/>
      <c r="M43" s="725"/>
      <c r="N43" s="1022"/>
    </row>
    <row r="44" spans="1:14" ht="21" customHeight="1">
      <c r="A44" s="1030" t="s">
        <v>605</v>
      </c>
      <c r="B44" s="1035" t="s">
        <v>699</v>
      </c>
      <c r="C44" s="976"/>
      <c r="D44" s="964">
        <f>SUM(E44:M44)</f>
        <v>0</v>
      </c>
      <c r="E44" s="725"/>
      <c r="F44" s="725"/>
      <c r="G44" s="725"/>
      <c r="H44" s="725"/>
      <c r="I44" s="725"/>
      <c r="J44" s="725"/>
      <c r="K44" s="725"/>
      <c r="L44" s="725"/>
      <c r="M44" s="725"/>
      <c r="N44" s="1022"/>
    </row>
    <row r="45" spans="1:14" ht="21" customHeight="1">
      <c r="A45" s="1030" t="s">
        <v>434</v>
      </c>
      <c r="B45" s="1035" t="s">
        <v>700</v>
      </c>
      <c r="C45" s="976"/>
      <c r="D45" s="964">
        <f>SUM(E45:M45)</f>
        <v>0</v>
      </c>
      <c r="E45" s="725"/>
      <c r="F45" s="725"/>
      <c r="G45" s="725"/>
      <c r="H45" s="725"/>
      <c r="I45" s="725"/>
      <c r="J45" s="725"/>
      <c r="K45" s="725"/>
      <c r="L45" s="725"/>
      <c r="M45" s="725"/>
      <c r="N45" s="1022"/>
    </row>
    <row r="46" spans="1:14" ht="21" customHeight="1">
      <c r="A46" s="1030" t="s">
        <v>435</v>
      </c>
      <c r="B46" s="1035" t="s">
        <v>701</v>
      </c>
      <c r="C46" s="964">
        <f>SUM(C47:C49)</f>
        <v>70706</v>
      </c>
      <c r="D46" s="964">
        <f>SUM(E46:M46)</f>
        <v>70706</v>
      </c>
      <c r="E46" s="726"/>
      <c r="F46" s="726">
        <v>68706</v>
      </c>
      <c r="G46" s="726"/>
      <c r="H46" s="725"/>
      <c r="I46" s="725"/>
      <c r="J46" s="725"/>
      <c r="K46" s="725"/>
      <c r="L46" s="964">
        <f>SUM(L47:L49)</f>
        <v>2000</v>
      </c>
      <c r="M46" s="725"/>
      <c r="N46" s="1022"/>
    </row>
    <row r="47" spans="1:14" ht="21" customHeight="1">
      <c r="A47" s="1030"/>
      <c r="B47" s="1034" t="s">
        <v>702</v>
      </c>
      <c r="C47" s="976">
        <f>SUM('3c.m.'!D413)</f>
        <v>18000</v>
      </c>
      <c r="D47" s="976"/>
      <c r="E47" s="725"/>
      <c r="F47" s="725"/>
      <c r="G47" s="725"/>
      <c r="H47" s="725"/>
      <c r="I47" s="725"/>
      <c r="J47" s="725"/>
      <c r="K47" s="725"/>
      <c r="L47" s="725">
        <v>2000</v>
      </c>
      <c r="M47" s="725"/>
      <c r="N47" s="1022"/>
    </row>
    <row r="48" spans="1:14" ht="21" customHeight="1">
      <c r="A48" s="1030"/>
      <c r="B48" s="1034" t="s">
        <v>703</v>
      </c>
      <c r="C48" s="976">
        <f>SUM('3c.m.'!D672)</f>
        <v>400</v>
      </c>
      <c r="D48" s="976"/>
      <c r="E48" s="725"/>
      <c r="F48" s="725"/>
      <c r="G48" s="725"/>
      <c r="H48" s="725"/>
      <c r="I48" s="725"/>
      <c r="J48" s="725"/>
      <c r="K48" s="725"/>
      <c r="L48" s="725"/>
      <c r="M48" s="725"/>
      <c r="N48" s="1022"/>
    </row>
    <row r="49" spans="1:14" ht="21" customHeight="1">
      <c r="A49" s="1030"/>
      <c r="B49" s="1034" t="s">
        <v>704</v>
      </c>
      <c r="C49" s="976">
        <f>SUM('3c.m.'!D421)-'12.mell'!D20</f>
        <v>52306</v>
      </c>
      <c r="D49" s="976"/>
      <c r="E49" s="725"/>
      <c r="F49" s="725"/>
      <c r="G49" s="725"/>
      <c r="H49" s="725"/>
      <c r="I49" s="725"/>
      <c r="J49" s="725"/>
      <c r="K49" s="725"/>
      <c r="L49" s="725"/>
      <c r="M49" s="725"/>
      <c r="N49" s="1022"/>
    </row>
    <row r="50" spans="1:14" ht="21" customHeight="1">
      <c r="A50" s="1030" t="s">
        <v>607</v>
      </c>
      <c r="B50" s="1035" t="s">
        <v>705</v>
      </c>
      <c r="C50" s="964">
        <f>SUM(C51:C60)</f>
        <v>1409880</v>
      </c>
      <c r="D50" s="964">
        <f>SUM(E50:N50)</f>
        <v>1409880</v>
      </c>
      <c r="E50" s="726">
        <f>924539+2033</f>
        <v>926572</v>
      </c>
      <c r="F50" s="726">
        <v>467162</v>
      </c>
      <c r="G50" s="964"/>
      <c r="H50" s="726"/>
      <c r="I50" s="726"/>
      <c r="J50" s="726"/>
      <c r="K50" s="725"/>
      <c r="L50" s="964">
        <f>SUM(L51:L60)</f>
        <v>16146</v>
      </c>
      <c r="M50" s="725"/>
      <c r="N50" s="1022"/>
    </row>
    <row r="51" spans="1:14" ht="21" customHeight="1">
      <c r="A51" s="1030"/>
      <c r="B51" s="1034" t="s">
        <v>706</v>
      </c>
      <c r="C51" s="976">
        <f>SUM('2.mell'!D41)</f>
        <v>186652</v>
      </c>
      <c r="D51" s="964"/>
      <c r="E51" s="726"/>
      <c r="F51" s="725"/>
      <c r="G51" s="725"/>
      <c r="H51" s="725"/>
      <c r="I51" s="725"/>
      <c r="J51" s="725"/>
      <c r="K51" s="725"/>
      <c r="L51" s="725">
        <v>1771</v>
      </c>
      <c r="M51" s="725"/>
      <c r="N51" s="1022"/>
    </row>
    <row r="52" spans="1:14" ht="21" customHeight="1">
      <c r="A52" s="1030"/>
      <c r="B52" s="1034" t="s">
        <v>707</v>
      </c>
      <c r="C52" s="976">
        <f>SUM('2.mell'!D75)</f>
        <v>175987</v>
      </c>
      <c r="D52" s="964"/>
      <c r="E52" s="726"/>
      <c r="F52" s="725"/>
      <c r="G52" s="725"/>
      <c r="H52" s="725"/>
      <c r="I52" s="725"/>
      <c r="J52" s="725"/>
      <c r="K52" s="725"/>
      <c r="L52" s="725">
        <v>751</v>
      </c>
      <c r="M52" s="725"/>
      <c r="N52" s="1022"/>
    </row>
    <row r="53" spans="1:14" ht="21" customHeight="1">
      <c r="A53" s="1030"/>
      <c r="B53" s="1034" t="s">
        <v>708</v>
      </c>
      <c r="C53" s="976">
        <f>SUM('2.mell'!D108)</f>
        <v>85841</v>
      </c>
      <c r="D53" s="964"/>
      <c r="E53" s="726"/>
      <c r="F53" s="725"/>
      <c r="G53" s="725"/>
      <c r="H53" s="725"/>
      <c r="I53" s="725"/>
      <c r="J53" s="725"/>
      <c r="K53" s="725"/>
      <c r="L53" s="725">
        <v>90</v>
      </c>
      <c r="M53" s="725"/>
      <c r="N53" s="1022"/>
    </row>
    <row r="54" spans="1:14" ht="21" customHeight="1">
      <c r="A54" s="1030"/>
      <c r="B54" s="1034" t="s">
        <v>709</v>
      </c>
      <c r="C54" s="976">
        <f>SUM('2.mell'!D175)</f>
        <v>184773</v>
      </c>
      <c r="D54" s="964"/>
      <c r="E54" s="726"/>
      <c r="F54" s="725"/>
      <c r="G54" s="725"/>
      <c r="H54" s="725"/>
      <c r="I54" s="725"/>
      <c r="J54" s="725"/>
      <c r="K54" s="725"/>
      <c r="L54" s="725">
        <v>823</v>
      </c>
      <c r="M54" s="725"/>
      <c r="N54" s="1022"/>
    </row>
    <row r="55" spans="1:14" ht="21" customHeight="1">
      <c r="A55" s="1030"/>
      <c r="B55" s="1034" t="s">
        <v>710</v>
      </c>
      <c r="C55" s="976">
        <f>SUM('2.mell'!D142)</f>
        <v>324778</v>
      </c>
      <c r="D55" s="964"/>
      <c r="E55" s="726"/>
      <c r="F55" s="725"/>
      <c r="G55" s="725"/>
      <c r="H55" s="725"/>
      <c r="I55" s="725"/>
      <c r="J55" s="725"/>
      <c r="K55" s="725"/>
      <c r="L55" s="725">
        <v>1778</v>
      </c>
      <c r="M55" s="725"/>
      <c r="N55" s="1022"/>
    </row>
    <row r="56" spans="1:14" ht="21" customHeight="1">
      <c r="A56" s="1030"/>
      <c r="B56" s="1034" t="s">
        <v>711</v>
      </c>
      <c r="C56" s="976">
        <f>SUM('2.mell'!D208)</f>
        <v>140341</v>
      </c>
      <c r="D56" s="964"/>
      <c r="E56" s="726"/>
      <c r="F56" s="725"/>
      <c r="G56" s="725"/>
      <c r="H56" s="725"/>
      <c r="I56" s="725"/>
      <c r="J56" s="725"/>
      <c r="K56" s="725"/>
      <c r="L56" s="725">
        <v>1041</v>
      </c>
      <c r="M56" s="725"/>
      <c r="N56" s="1022"/>
    </row>
    <row r="57" spans="1:14" ht="21" customHeight="1">
      <c r="A57" s="1030"/>
      <c r="B57" s="1034" t="s">
        <v>712</v>
      </c>
      <c r="C57" s="976">
        <f>SUM('2.mell'!D241)</f>
        <v>98740</v>
      </c>
      <c r="D57" s="964"/>
      <c r="E57" s="726"/>
      <c r="F57" s="725"/>
      <c r="G57" s="725"/>
      <c r="H57" s="725"/>
      <c r="I57" s="725"/>
      <c r="J57" s="725"/>
      <c r="K57" s="725"/>
      <c r="L57" s="725">
        <v>571</v>
      </c>
      <c r="M57" s="725"/>
      <c r="N57" s="1022"/>
    </row>
    <row r="58" spans="1:14" ht="21" customHeight="1">
      <c r="A58" s="1030"/>
      <c r="B58" s="1034" t="s">
        <v>713</v>
      </c>
      <c r="C58" s="976">
        <f>SUM('2.mell'!D274)</f>
        <v>107733</v>
      </c>
      <c r="D58" s="964"/>
      <c r="E58" s="726"/>
      <c r="F58" s="725"/>
      <c r="G58" s="725"/>
      <c r="H58" s="725"/>
      <c r="I58" s="725"/>
      <c r="J58" s="725"/>
      <c r="K58" s="725"/>
      <c r="L58" s="725">
        <v>2529</v>
      </c>
      <c r="M58" s="725"/>
      <c r="N58" s="1022"/>
    </row>
    <row r="59" spans="1:14" ht="21" customHeight="1">
      <c r="A59" s="1030"/>
      <c r="B59" s="1034" t="s">
        <v>714</v>
      </c>
      <c r="C59" s="976">
        <f>SUM('2.mell'!D307)</f>
        <v>89614</v>
      </c>
      <c r="D59" s="964"/>
      <c r="E59" s="726"/>
      <c r="F59" s="725"/>
      <c r="G59" s="725"/>
      <c r="H59" s="725"/>
      <c r="I59" s="725"/>
      <c r="J59" s="725"/>
      <c r="K59" s="725"/>
      <c r="L59" s="725">
        <v>541</v>
      </c>
      <c r="M59" s="725"/>
      <c r="N59" s="1022"/>
    </row>
    <row r="60" spans="1:14" ht="21" customHeight="1">
      <c r="A60" s="1030"/>
      <c r="B60" s="1034" t="s">
        <v>715</v>
      </c>
      <c r="C60" s="976">
        <f>SUM('3c.m.'!D232)</f>
        <v>15421</v>
      </c>
      <c r="D60" s="964"/>
      <c r="E60" s="726"/>
      <c r="F60" s="725"/>
      <c r="G60" s="725"/>
      <c r="H60" s="725"/>
      <c r="I60" s="725"/>
      <c r="J60" s="725"/>
      <c r="K60" s="725"/>
      <c r="L60" s="725">
        <v>6251</v>
      </c>
      <c r="M60" s="725"/>
      <c r="N60" s="1022"/>
    </row>
    <row r="61" spans="1:14" ht="21" customHeight="1">
      <c r="A61" s="1030" t="s">
        <v>609</v>
      </c>
      <c r="B61" s="1035" t="s">
        <v>716</v>
      </c>
      <c r="C61" s="964">
        <f>SUM(C62:C72)</f>
        <v>70736</v>
      </c>
      <c r="D61" s="964">
        <f>SUM(E61:N61)</f>
        <v>70736</v>
      </c>
      <c r="E61" s="726"/>
      <c r="F61" s="726">
        <v>59978</v>
      </c>
      <c r="G61" s="726"/>
      <c r="H61" s="726"/>
      <c r="I61" s="725"/>
      <c r="J61" s="725"/>
      <c r="K61" s="726"/>
      <c r="L61" s="964">
        <f>SUM(L62:L72)</f>
        <v>10758</v>
      </c>
      <c r="M61" s="725"/>
      <c r="N61" s="1022"/>
    </row>
    <row r="62" spans="1:14" ht="21" customHeight="1">
      <c r="A62" s="1037"/>
      <c r="B62" s="1034" t="s">
        <v>717</v>
      </c>
      <c r="C62" s="976">
        <f>SUM('3c.m.'!D95)</f>
        <v>27818</v>
      </c>
      <c r="D62" s="976"/>
      <c r="E62" s="725"/>
      <c r="F62" s="725"/>
      <c r="G62" s="725"/>
      <c r="H62" s="725"/>
      <c r="I62" s="725"/>
      <c r="J62" s="725"/>
      <c r="K62" s="725"/>
      <c r="L62" s="725">
        <v>4818</v>
      </c>
      <c r="M62" s="725"/>
      <c r="N62" s="1022"/>
    </row>
    <row r="63" spans="1:14" ht="21" customHeight="1">
      <c r="A63" s="1037"/>
      <c r="B63" s="1034" t="s">
        <v>718</v>
      </c>
      <c r="C63" s="976">
        <f>SUM('3c.m.'!D501)</f>
        <v>8005</v>
      </c>
      <c r="D63" s="976"/>
      <c r="E63" s="725"/>
      <c r="F63" s="725"/>
      <c r="G63" s="725"/>
      <c r="H63" s="725"/>
      <c r="I63" s="725"/>
      <c r="J63" s="725"/>
      <c r="K63" s="725"/>
      <c r="L63" s="725">
        <v>5</v>
      </c>
      <c r="M63" s="725"/>
      <c r="N63" s="1022"/>
    </row>
    <row r="64" spans="1:14" ht="21" customHeight="1">
      <c r="A64" s="1037"/>
      <c r="B64" s="1034" t="s">
        <v>719</v>
      </c>
      <c r="C64" s="976">
        <f>SUM('3c.m.'!D566)</f>
        <v>5000</v>
      </c>
      <c r="D64" s="976"/>
      <c r="E64" s="725"/>
      <c r="F64" s="725"/>
      <c r="G64" s="725"/>
      <c r="H64" s="725"/>
      <c r="I64" s="725"/>
      <c r="J64" s="725"/>
      <c r="K64" s="725"/>
      <c r="L64" s="725"/>
      <c r="M64" s="725"/>
      <c r="N64" s="1022"/>
    </row>
    <row r="65" spans="1:14" ht="21" customHeight="1">
      <c r="A65" s="1037"/>
      <c r="B65" s="1034" t="s">
        <v>720</v>
      </c>
      <c r="C65" s="976">
        <f>SUM('3c.m.'!D606)</f>
        <v>5861</v>
      </c>
      <c r="D65" s="976"/>
      <c r="E65" s="725"/>
      <c r="F65" s="725"/>
      <c r="G65" s="725"/>
      <c r="H65" s="725"/>
      <c r="I65" s="725"/>
      <c r="J65" s="725"/>
      <c r="K65" s="725"/>
      <c r="L65" s="725">
        <v>861</v>
      </c>
      <c r="M65" s="725"/>
      <c r="N65" s="1022"/>
    </row>
    <row r="66" spans="1:14" ht="21" customHeight="1">
      <c r="A66" s="1037"/>
      <c r="B66" s="1034" t="s">
        <v>721</v>
      </c>
      <c r="C66" s="976">
        <f>SUM('3c.m.'!D614)</f>
        <v>3283</v>
      </c>
      <c r="D66" s="976"/>
      <c r="E66" s="725"/>
      <c r="F66" s="725"/>
      <c r="G66" s="725"/>
      <c r="H66" s="725"/>
      <c r="I66" s="725"/>
      <c r="J66" s="725"/>
      <c r="K66" s="725"/>
      <c r="L66" s="725">
        <v>783</v>
      </c>
      <c r="M66" s="725"/>
      <c r="N66" s="1022"/>
    </row>
    <row r="67" spans="1:14" ht="21" customHeight="1">
      <c r="A67" s="1037"/>
      <c r="B67" s="1034" t="s">
        <v>722</v>
      </c>
      <c r="C67" s="976">
        <f>SUM('3c.m.'!D623)</f>
        <v>1760</v>
      </c>
      <c r="D67" s="976"/>
      <c r="E67" s="725"/>
      <c r="F67" s="725"/>
      <c r="G67" s="725"/>
      <c r="H67" s="725"/>
      <c r="I67" s="725"/>
      <c r="J67" s="725"/>
      <c r="K67" s="725"/>
      <c r="L67" s="725">
        <v>880</v>
      </c>
      <c r="M67" s="725"/>
      <c r="N67" s="1022"/>
    </row>
    <row r="68" spans="1:14" ht="21" customHeight="1">
      <c r="A68" s="1037"/>
      <c r="B68" s="1034" t="s">
        <v>723</v>
      </c>
      <c r="C68" s="976">
        <f>SUM('3c.m.'!D648)</f>
        <v>300</v>
      </c>
      <c r="D68" s="976"/>
      <c r="E68" s="725"/>
      <c r="F68" s="725"/>
      <c r="G68" s="725"/>
      <c r="H68" s="725"/>
      <c r="I68" s="725"/>
      <c r="J68" s="725"/>
      <c r="K68" s="725"/>
      <c r="L68" s="725"/>
      <c r="M68" s="725"/>
      <c r="N68" s="1022"/>
    </row>
    <row r="69" spans="1:14" ht="21" customHeight="1">
      <c r="A69" s="1037"/>
      <c r="B69" s="1034" t="s">
        <v>724</v>
      </c>
      <c r="C69" s="976">
        <f>SUM('3c.m.'!D656)</f>
        <v>5104</v>
      </c>
      <c r="D69" s="976"/>
      <c r="E69" s="725"/>
      <c r="F69" s="725"/>
      <c r="G69" s="725"/>
      <c r="H69" s="725"/>
      <c r="I69" s="725"/>
      <c r="J69" s="725"/>
      <c r="K69" s="725"/>
      <c r="L69" s="725">
        <v>1171</v>
      </c>
      <c r="M69" s="725"/>
      <c r="N69" s="1022"/>
    </row>
    <row r="70" spans="1:14" ht="21" customHeight="1">
      <c r="A70" s="1037"/>
      <c r="B70" s="1034" t="s">
        <v>725</v>
      </c>
      <c r="C70" s="976">
        <f>SUM('3c.m.'!D664)</f>
        <v>2756</v>
      </c>
      <c r="D70" s="976"/>
      <c r="E70" s="725"/>
      <c r="F70" s="725"/>
      <c r="G70" s="725"/>
      <c r="H70" s="725"/>
      <c r="I70" s="725"/>
      <c r="J70" s="725"/>
      <c r="K70" s="725"/>
      <c r="L70" s="725"/>
      <c r="M70" s="725"/>
      <c r="N70" s="1022"/>
    </row>
    <row r="71" spans="1:14" ht="21" customHeight="1">
      <c r="A71" s="1037"/>
      <c r="B71" s="1034" t="s">
        <v>726</v>
      </c>
      <c r="C71" s="976">
        <f>SUM('3c.m.'!D680)</f>
        <v>4160</v>
      </c>
      <c r="D71" s="976"/>
      <c r="E71" s="725"/>
      <c r="F71" s="725"/>
      <c r="G71" s="725"/>
      <c r="H71" s="725"/>
      <c r="I71" s="725"/>
      <c r="J71" s="725"/>
      <c r="K71" s="725"/>
      <c r="L71" s="725">
        <v>320</v>
      </c>
      <c r="M71" s="725"/>
      <c r="N71" s="1022"/>
    </row>
    <row r="72" spans="1:14" ht="21" customHeight="1">
      <c r="A72" s="1037"/>
      <c r="B72" s="1034" t="s">
        <v>727</v>
      </c>
      <c r="C72" s="976">
        <f>SUM('3c.m.'!D688)</f>
        <v>6689</v>
      </c>
      <c r="D72" s="976"/>
      <c r="E72" s="725"/>
      <c r="F72" s="725"/>
      <c r="G72" s="725"/>
      <c r="H72" s="725"/>
      <c r="I72" s="725"/>
      <c r="J72" s="725"/>
      <c r="K72" s="725"/>
      <c r="L72" s="725">
        <v>1920</v>
      </c>
      <c r="M72" s="725"/>
      <c r="N72" s="1022"/>
    </row>
    <row r="73" spans="1:14" ht="21" customHeight="1">
      <c r="A73" s="1030" t="s">
        <v>611</v>
      </c>
      <c r="B73" s="1035" t="s">
        <v>728</v>
      </c>
      <c r="C73" s="964">
        <f>SUM(C74)</f>
        <v>3080</v>
      </c>
      <c r="D73" s="964">
        <f>SUM(E73:N73)</f>
        <v>3080</v>
      </c>
      <c r="E73" s="725"/>
      <c r="F73" s="726">
        <v>1540</v>
      </c>
      <c r="G73" s="726"/>
      <c r="H73" s="725"/>
      <c r="I73" s="725"/>
      <c r="J73" s="725"/>
      <c r="K73" s="725"/>
      <c r="L73" s="964">
        <f>SUM(L74)</f>
        <v>1540</v>
      </c>
      <c r="M73" s="725"/>
      <c r="N73" s="1022"/>
    </row>
    <row r="74" spans="1:14" ht="21" customHeight="1">
      <c r="A74" s="1030"/>
      <c r="B74" s="1034" t="s">
        <v>729</v>
      </c>
      <c r="C74" s="976">
        <f>SUM('3c.m.'!D640)</f>
        <v>3080</v>
      </c>
      <c r="D74" s="976"/>
      <c r="E74" s="725"/>
      <c r="F74" s="725"/>
      <c r="G74" s="725"/>
      <c r="H74" s="725"/>
      <c r="I74" s="725"/>
      <c r="J74" s="725"/>
      <c r="K74" s="725"/>
      <c r="L74" s="725">
        <v>1540</v>
      </c>
      <c r="M74" s="725"/>
      <c r="N74" s="1022"/>
    </row>
    <row r="75" spans="1:14" ht="21" customHeight="1">
      <c r="A75" s="1030" t="s">
        <v>612</v>
      </c>
      <c r="B75" s="1035" t="s">
        <v>730</v>
      </c>
      <c r="C75" s="964">
        <f>SUM(C76:C82)</f>
        <v>240170</v>
      </c>
      <c r="D75" s="964">
        <f>SUM(E75:N75)</f>
        <v>240170</v>
      </c>
      <c r="E75" s="726">
        <v>217170</v>
      </c>
      <c r="F75" s="726">
        <v>20500</v>
      </c>
      <c r="G75" s="726"/>
      <c r="H75" s="725"/>
      <c r="I75" s="725"/>
      <c r="J75" s="725"/>
      <c r="K75" s="725"/>
      <c r="L75" s="964">
        <f>SUM(L76:L82)</f>
        <v>2500</v>
      </c>
      <c r="M75" s="725"/>
      <c r="N75" s="1022"/>
    </row>
    <row r="76" spans="1:14" ht="21" customHeight="1">
      <c r="A76" s="1037"/>
      <c r="B76" s="1034" t="s">
        <v>731</v>
      </c>
      <c r="C76" s="976">
        <f>SUM('3c.m.'!D848)</f>
        <v>3000</v>
      </c>
      <c r="D76" s="976"/>
      <c r="E76" s="725"/>
      <c r="F76" s="725"/>
      <c r="G76" s="725"/>
      <c r="H76" s="725"/>
      <c r="I76" s="725"/>
      <c r="J76" s="725"/>
      <c r="K76" s="725"/>
      <c r="L76" s="725"/>
      <c r="M76" s="725"/>
      <c r="N76" s="1022"/>
    </row>
    <row r="77" spans="1:14" ht="21" customHeight="1">
      <c r="A77" s="1037"/>
      <c r="B77" s="1034" t="s">
        <v>732</v>
      </c>
      <c r="C77" s="976">
        <f>SUM('3c.m.'!D856)</f>
        <v>2500</v>
      </c>
      <c r="D77" s="976"/>
      <c r="E77" s="725"/>
      <c r="F77" s="725"/>
      <c r="G77" s="725"/>
      <c r="H77" s="725"/>
      <c r="I77" s="725"/>
      <c r="J77" s="725"/>
      <c r="K77" s="725"/>
      <c r="L77" s="725"/>
      <c r="M77" s="725"/>
      <c r="N77" s="1022"/>
    </row>
    <row r="78" spans="1:14" ht="21" customHeight="1">
      <c r="A78" s="1037"/>
      <c r="B78" s="1034" t="s">
        <v>733</v>
      </c>
      <c r="C78" s="976">
        <f>SUM('3c.m.'!D864)</f>
        <v>9000</v>
      </c>
      <c r="D78" s="976"/>
      <c r="E78" s="725"/>
      <c r="F78" s="725"/>
      <c r="G78" s="725"/>
      <c r="H78" s="725"/>
      <c r="I78" s="725"/>
      <c r="J78" s="725"/>
      <c r="K78" s="725"/>
      <c r="L78" s="725">
        <v>1000</v>
      </c>
      <c r="M78" s="725"/>
      <c r="N78" s="1022"/>
    </row>
    <row r="79" spans="1:14" ht="21" customHeight="1">
      <c r="A79" s="1037"/>
      <c r="B79" s="1034" t="s">
        <v>734</v>
      </c>
      <c r="C79" s="976">
        <f>SUM('3c.m.'!D872)</f>
        <v>5000</v>
      </c>
      <c r="D79" s="976"/>
      <c r="E79" s="725"/>
      <c r="F79" s="725"/>
      <c r="G79" s="725"/>
      <c r="H79" s="725"/>
      <c r="I79" s="725"/>
      <c r="J79" s="725"/>
      <c r="K79" s="725"/>
      <c r="L79" s="725"/>
      <c r="M79" s="725"/>
      <c r="N79" s="1022"/>
    </row>
    <row r="80" spans="1:14" ht="21" customHeight="1">
      <c r="A80" s="1037"/>
      <c r="B80" s="1034" t="s">
        <v>735</v>
      </c>
      <c r="C80" s="976">
        <f>SUM('3d.m.'!D24)</f>
        <v>3500</v>
      </c>
      <c r="D80" s="976"/>
      <c r="E80" s="725"/>
      <c r="F80" s="725"/>
      <c r="G80" s="725"/>
      <c r="H80" s="725"/>
      <c r="I80" s="725"/>
      <c r="J80" s="725"/>
      <c r="K80" s="725"/>
      <c r="L80" s="725">
        <v>1500</v>
      </c>
      <c r="M80" s="725"/>
      <c r="N80" s="1022"/>
    </row>
    <row r="81" spans="1:14" ht="19.15" customHeight="1">
      <c r="A81" s="1037"/>
      <c r="B81" s="1034" t="s">
        <v>736</v>
      </c>
      <c r="C81" s="976">
        <f>SUM('3d.m.'!D36)</f>
        <v>217170</v>
      </c>
      <c r="D81" s="976"/>
      <c r="E81" s="725"/>
      <c r="F81" s="725"/>
      <c r="G81" s="725"/>
      <c r="H81" s="725"/>
      <c r="I81" s="725"/>
      <c r="J81" s="725"/>
      <c r="K81" s="725"/>
      <c r="L81" s="725"/>
      <c r="M81" s="725"/>
      <c r="N81" s="1022"/>
    </row>
    <row r="82" spans="1:14" ht="21" customHeight="1" hidden="1">
      <c r="A82" s="1037"/>
      <c r="B82" s="1038" t="s">
        <v>737</v>
      </c>
      <c r="C82" s="976"/>
      <c r="D82" s="976"/>
      <c r="E82" s="725"/>
      <c r="F82" s="725"/>
      <c r="G82" s="725"/>
      <c r="H82" s="725"/>
      <c r="I82" s="725"/>
      <c r="J82" s="725"/>
      <c r="K82" s="725"/>
      <c r="L82" s="725"/>
      <c r="M82" s="725"/>
      <c r="N82" s="1022"/>
    </row>
    <row r="83" spans="1:14" ht="21" customHeight="1">
      <c r="A83" s="1030" t="s">
        <v>738</v>
      </c>
      <c r="B83" s="1035" t="s">
        <v>739</v>
      </c>
      <c r="C83" s="964">
        <f>SUM(C84:C109)</f>
        <v>2702516</v>
      </c>
      <c r="D83" s="964">
        <f>SUM(E83:N83)</f>
        <v>2702516</v>
      </c>
      <c r="E83" s="725"/>
      <c r="F83" s="726">
        <f>371317+8890</f>
        <v>380207</v>
      </c>
      <c r="G83" s="726"/>
      <c r="H83" s="726"/>
      <c r="I83" s="726">
        <v>291493</v>
      </c>
      <c r="J83" s="725"/>
      <c r="K83" s="726"/>
      <c r="L83" s="964">
        <v>1590816</v>
      </c>
      <c r="M83" s="726">
        <f>290000+150000</f>
        <v>440000</v>
      </c>
      <c r="N83" s="970"/>
    </row>
    <row r="84" spans="1:14" ht="21" customHeight="1">
      <c r="A84" s="1037"/>
      <c r="B84" s="1034" t="s">
        <v>740</v>
      </c>
      <c r="C84" s="976">
        <f>SUM('3c.m.'!D105)</f>
        <v>359844</v>
      </c>
      <c r="D84" s="976"/>
      <c r="E84" s="725"/>
      <c r="F84" s="725"/>
      <c r="G84" s="725"/>
      <c r="H84" s="725"/>
      <c r="I84" s="725"/>
      <c r="J84" s="725"/>
      <c r="K84" s="725"/>
      <c r="L84" s="725">
        <v>109844</v>
      </c>
      <c r="M84" s="725"/>
      <c r="N84" s="1022"/>
    </row>
    <row r="85" spans="1:14" ht="21" customHeight="1">
      <c r="A85" s="1037"/>
      <c r="B85" s="1034" t="s">
        <v>741</v>
      </c>
      <c r="C85" s="976">
        <f>SUM('3c.m.'!D123)</f>
        <v>80711</v>
      </c>
      <c r="D85" s="976"/>
      <c r="E85" s="725"/>
      <c r="F85" s="725"/>
      <c r="G85" s="725"/>
      <c r="H85" s="725"/>
      <c r="I85" s="725"/>
      <c r="J85" s="725"/>
      <c r="K85" s="725"/>
      <c r="L85" s="725">
        <v>25711</v>
      </c>
      <c r="M85" s="725"/>
      <c r="N85" s="1022"/>
    </row>
    <row r="86" spans="1:14" ht="21" customHeight="1">
      <c r="A86" s="1037"/>
      <c r="B86" s="1032" t="s">
        <v>742</v>
      </c>
      <c r="C86" s="976">
        <f>SUM('3c.m.'!D131)</f>
        <v>16034</v>
      </c>
      <c r="D86" s="976"/>
      <c r="E86" s="725"/>
      <c r="F86" s="725"/>
      <c r="G86" s="725"/>
      <c r="H86" s="725"/>
      <c r="I86" s="725"/>
      <c r="J86" s="725"/>
      <c r="K86" s="725"/>
      <c r="L86" s="725">
        <v>1034</v>
      </c>
      <c r="M86" s="725"/>
      <c r="N86" s="1022"/>
    </row>
    <row r="87" spans="1:14" ht="21" customHeight="1">
      <c r="A87" s="1037"/>
      <c r="B87" s="1032" t="s">
        <v>743</v>
      </c>
      <c r="C87" s="976">
        <f>SUM('3c.m.'!D148)</f>
        <v>6294</v>
      </c>
      <c r="D87" s="976"/>
      <c r="E87" s="725"/>
      <c r="F87" s="725"/>
      <c r="G87" s="725"/>
      <c r="H87" s="725"/>
      <c r="I87" s="725"/>
      <c r="J87" s="725"/>
      <c r="K87" s="725"/>
      <c r="L87" s="725">
        <v>2294</v>
      </c>
      <c r="M87" s="725"/>
      <c r="N87" s="1022"/>
    </row>
    <row r="88" spans="1:14" ht="21" customHeight="1">
      <c r="A88" s="1037"/>
      <c r="B88" s="1032" t="s">
        <v>744</v>
      </c>
      <c r="C88" s="976">
        <f>SUM('3c.m.'!D156)</f>
        <v>3009</v>
      </c>
      <c r="D88" s="976"/>
      <c r="E88" s="725"/>
      <c r="F88" s="725"/>
      <c r="G88" s="725"/>
      <c r="H88" s="725"/>
      <c r="I88" s="725"/>
      <c r="J88" s="725"/>
      <c r="K88" s="725"/>
      <c r="L88" s="725">
        <v>9</v>
      </c>
      <c r="M88" s="725"/>
      <c r="N88" s="1022"/>
    </row>
    <row r="89" spans="1:14" ht="21" customHeight="1">
      <c r="A89" s="1037"/>
      <c r="B89" s="1032" t="s">
        <v>745</v>
      </c>
      <c r="C89" s="976">
        <f>SUM('3c.m.'!D164)</f>
        <v>16609</v>
      </c>
      <c r="D89" s="976"/>
      <c r="E89" s="725"/>
      <c r="F89" s="725"/>
      <c r="G89" s="725"/>
      <c r="H89" s="725"/>
      <c r="I89" s="725"/>
      <c r="J89" s="725"/>
      <c r="K89" s="725"/>
      <c r="L89" s="725">
        <v>6609</v>
      </c>
      <c r="M89" s="725"/>
      <c r="N89" s="1022"/>
    </row>
    <row r="90" spans="1:14" ht="21" customHeight="1">
      <c r="A90" s="1037"/>
      <c r="B90" s="1032" t="s">
        <v>746</v>
      </c>
      <c r="C90" s="976">
        <f>SUM('3c.m.'!D172)</f>
        <v>2000</v>
      </c>
      <c r="D90" s="976"/>
      <c r="E90" s="725"/>
      <c r="F90" s="725"/>
      <c r="G90" s="725"/>
      <c r="H90" s="725"/>
      <c r="I90" s="725"/>
      <c r="J90" s="725"/>
      <c r="K90" s="725"/>
      <c r="L90" s="725"/>
      <c r="M90" s="725"/>
      <c r="N90" s="1022"/>
    </row>
    <row r="91" spans="1:14" ht="21" customHeight="1">
      <c r="A91" s="1037"/>
      <c r="B91" s="1032" t="s">
        <v>747</v>
      </c>
      <c r="C91" s="976">
        <f>SUM('3c.m.'!D343)</f>
        <v>493601</v>
      </c>
      <c r="D91" s="976"/>
      <c r="E91" s="725"/>
      <c r="F91" s="725"/>
      <c r="G91" s="725"/>
      <c r="H91" s="725"/>
      <c r="I91" s="725"/>
      <c r="J91" s="725"/>
      <c r="K91" s="725"/>
      <c r="L91" s="725">
        <v>3601</v>
      </c>
      <c r="M91" s="725"/>
      <c r="N91" s="1022"/>
    </row>
    <row r="92" spans="1:14" ht="13.9" customHeight="1" hidden="1">
      <c r="A92" s="1037"/>
      <c r="B92" s="1032" t="s">
        <v>1148</v>
      </c>
      <c r="C92" s="976"/>
      <c r="D92" s="976"/>
      <c r="E92" s="725"/>
      <c r="F92" s="725"/>
      <c r="G92" s="725"/>
      <c r="H92" s="725"/>
      <c r="I92" s="725"/>
      <c r="J92" s="725"/>
      <c r="K92" s="725"/>
      <c r="L92" s="725"/>
      <c r="M92" s="725"/>
      <c r="N92" s="1022"/>
    </row>
    <row r="93" spans="1:14" ht="19.5" customHeight="1">
      <c r="A93" s="1037"/>
      <c r="B93" s="1032" t="s">
        <v>1372</v>
      </c>
      <c r="C93" s="976">
        <v>52000</v>
      </c>
      <c r="D93" s="976"/>
      <c r="E93" s="725"/>
      <c r="F93" s="725"/>
      <c r="G93" s="725"/>
      <c r="H93" s="725"/>
      <c r="I93" s="725"/>
      <c r="J93" s="725"/>
      <c r="K93" s="725"/>
      <c r="L93" s="725"/>
      <c r="M93" s="725"/>
      <c r="N93" s="1022"/>
    </row>
    <row r="94" spans="1:14" ht="21" customHeight="1">
      <c r="A94" s="1030"/>
      <c r="B94" s="1034" t="s">
        <v>1348</v>
      </c>
      <c r="C94" s="976">
        <f>'4.mell.'!D35</f>
        <v>5214</v>
      </c>
      <c r="D94" s="976"/>
      <c r="E94" s="725"/>
      <c r="F94" s="725"/>
      <c r="G94" s="725"/>
      <c r="H94" s="725"/>
      <c r="I94" s="725"/>
      <c r="J94" s="725"/>
      <c r="K94" s="725"/>
      <c r="L94" s="725">
        <v>5214</v>
      </c>
      <c r="M94" s="725"/>
      <c r="N94" s="1022"/>
    </row>
    <row r="95" spans="1:14" ht="22.15" customHeight="1">
      <c r="A95" s="1037"/>
      <c r="B95" s="1034" t="s">
        <v>1114</v>
      </c>
      <c r="C95" s="976">
        <f>SUM('4.mell.'!D37)</f>
        <v>302595</v>
      </c>
      <c r="D95" s="976"/>
      <c r="E95" s="725"/>
      <c r="F95" s="725"/>
      <c r="G95" s="725"/>
      <c r="H95" s="725"/>
      <c r="I95" s="725"/>
      <c r="J95" s="725"/>
      <c r="K95" s="725"/>
      <c r="L95" s="725">
        <v>102595</v>
      </c>
      <c r="M95" s="725"/>
      <c r="N95" s="1022"/>
    </row>
    <row r="96" spans="1:14" ht="22.15" customHeight="1">
      <c r="A96" s="1037"/>
      <c r="B96" s="1034" t="s">
        <v>1322</v>
      </c>
      <c r="C96" s="976">
        <f>SUM('4.mell.'!D36)</f>
        <v>915936</v>
      </c>
      <c r="D96" s="976"/>
      <c r="E96" s="725"/>
      <c r="F96" s="725"/>
      <c r="G96" s="725"/>
      <c r="H96" s="725"/>
      <c r="I96" s="725"/>
      <c r="J96" s="725"/>
      <c r="K96" s="725"/>
      <c r="L96" s="725"/>
      <c r="M96" s="725"/>
      <c r="N96" s="1022"/>
    </row>
    <row r="97" spans="1:14" ht="22.15" customHeight="1">
      <c r="A97" s="1037"/>
      <c r="B97" s="1034" t="s">
        <v>1127</v>
      </c>
      <c r="C97" s="976">
        <f>SUM('4.mell.'!D39)</f>
        <v>131197</v>
      </c>
      <c r="D97" s="976"/>
      <c r="E97" s="725"/>
      <c r="F97" s="725"/>
      <c r="G97" s="725"/>
      <c r="H97" s="725"/>
      <c r="I97" s="725"/>
      <c r="J97" s="725"/>
      <c r="K97" s="725"/>
      <c r="L97" s="725">
        <v>60097</v>
      </c>
      <c r="M97" s="725"/>
      <c r="N97" s="1022"/>
    </row>
    <row r="98" spans="1:14" ht="21" customHeight="1">
      <c r="A98" s="1037"/>
      <c r="B98" s="1034" t="s">
        <v>1126</v>
      </c>
      <c r="C98" s="976">
        <f>SUM('4.mell.'!D40)</f>
        <v>30200</v>
      </c>
      <c r="D98" s="976"/>
      <c r="E98" s="725"/>
      <c r="F98" s="725"/>
      <c r="G98" s="725"/>
      <c r="H98" s="725"/>
      <c r="I98" s="725"/>
      <c r="J98" s="725"/>
      <c r="K98" s="725"/>
      <c r="L98" s="725">
        <v>30200</v>
      </c>
      <c r="M98" s="725"/>
      <c r="N98" s="1022"/>
    </row>
    <row r="99" spans="1:14" ht="21" customHeight="1">
      <c r="A99" s="1037"/>
      <c r="B99" s="1034" t="s">
        <v>1278</v>
      </c>
      <c r="C99" s="976">
        <f>'4.mell.'!D41</f>
        <v>65000</v>
      </c>
      <c r="D99" s="976"/>
      <c r="E99" s="725"/>
      <c r="F99" s="725"/>
      <c r="G99" s="725"/>
      <c r="H99" s="725"/>
      <c r="I99" s="725"/>
      <c r="J99" s="725"/>
      <c r="K99" s="725"/>
      <c r="L99" s="725"/>
      <c r="M99" s="725"/>
      <c r="N99" s="1022"/>
    </row>
    <row r="100" spans="1:14" ht="21" customHeight="1">
      <c r="A100" s="1037"/>
      <c r="B100" s="1034" t="s">
        <v>748</v>
      </c>
      <c r="C100" s="976">
        <f>SUM('4.mell.'!D43)</f>
        <v>36095</v>
      </c>
      <c r="D100" s="976"/>
      <c r="E100" s="725"/>
      <c r="F100" s="725"/>
      <c r="G100" s="725"/>
      <c r="H100" s="725"/>
      <c r="I100" s="725"/>
      <c r="J100" s="725"/>
      <c r="K100" s="725"/>
      <c r="L100" s="725">
        <v>6095</v>
      </c>
      <c r="M100" s="725"/>
      <c r="N100" s="1022"/>
    </row>
    <row r="101" spans="1:14" ht="19.9" customHeight="1">
      <c r="A101" s="1037"/>
      <c r="B101" s="1034" t="s">
        <v>749</v>
      </c>
      <c r="C101" s="976">
        <f>SUM('4.mell.'!D47)</f>
        <v>91567</v>
      </c>
      <c r="D101" s="976"/>
      <c r="E101" s="725"/>
      <c r="F101" s="725"/>
      <c r="G101" s="725"/>
      <c r="H101" s="725"/>
      <c r="I101" s="725"/>
      <c r="J101" s="725"/>
      <c r="K101" s="725"/>
      <c r="L101" s="725">
        <f>30226+61341</f>
        <v>91567</v>
      </c>
      <c r="M101" s="725"/>
      <c r="N101" s="1022"/>
    </row>
    <row r="102" spans="1:14" ht="21.75" customHeight="1">
      <c r="A102" s="1037"/>
      <c r="B102" s="1034" t="s">
        <v>1149</v>
      </c>
      <c r="C102" s="976">
        <f>SUM('4.mell.'!D63)</f>
        <v>12700</v>
      </c>
      <c r="D102" s="976"/>
      <c r="E102" s="725"/>
      <c r="F102" s="725"/>
      <c r="G102" s="725"/>
      <c r="H102" s="725"/>
      <c r="I102" s="725"/>
      <c r="J102" s="725"/>
      <c r="K102" s="725"/>
      <c r="L102" s="725"/>
      <c r="M102" s="725"/>
      <c r="N102" s="1022"/>
    </row>
    <row r="103" spans="1:14" ht="21.75" customHeight="1">
      <c r="A103" s="1037"/>
      <c r="B103" s="1034" t="s">
        <v>1349</v>
      </c>
      <c r="C103" s="976">
        <f>'4.mell.'!D61</f>
        <v>325</v>
      </c>
      <c r="D103" s="976"/>
      <c r="E103" s="725"/>
      <c r="F103" s="725"/>
      <c r="G103" s="725"/>
      <c r="H103" s="725"/>
      <c r="I103" s="725"/>
      <c r="J103" s="725"/>
      <c r="K103" s="725"/>
      <c r="L103" s="725">
        <v>325</v>
      </c>
      <c r="M103" s="725"/>
      <c r="N103" s="1022"/>
    </row>
    <row r="104" spans="1:14" ht="21" customHeight="1">
      <c r="A104" s="1037"/>
      <c r="B104" s="1034" t="s">
        <v>750</v>
      </c>
      <c r="C104" s="976">
        <f>SUM('4.mell.'!D65)</f>
        <v>39000</v>
      </c>
      <c r="D104" s="976"/>
      <c r="E104" s="725"/>
      <c r="F104" s="725"/>
      <c r="G104" s="725"/>
      <c r="H104" s="725"/>
      <c r="I104" s="725"/>
      <c r="J104" s="725"/>
      <c r="K104" s="725"/>
      <c r="L104" s="725">
        <v>36000</v>
      </c>
      <c r="M104" s="725"/>
      <c r="N104" s="1022"/>
    </row>
    <row r="105" spans="1:14" ht="21" customHeight="1">
      <c r="A105" s="1037"/>
      <c r="B105" s="1034" t="s">
        <v>751</v>
      </c>
      <c r="C105" s="976">
        <f>'4.mell.'!D67</f>
        <v>211</v>
      </c>
      <c r="D105" s="976"/>
      <c r="E105" s="725"/>
      <c r="F105" s="725"/>
      <c r="G105" s="725"/>
      <c r="H105" s="725"/>
      <c r="I105" s="725"/>
      <c r="J105" s="725"/>
      <c r="K105" s="725"/>
      <c r="L105" s="725">
        <v>211</v>
      </c>
      <c r="M105" s="725"/>
      <c r="N105" s="1022"/>
    </row>
    <row r="106" spans="1:14" ht="21" customHeight="1">
      <c r="A106" s="1037"/>
      <c r="B106" s="1034" t="s">
        <v>1273</v>
      </c>
      <c r="C106" s="976">
        <f>'4.mell.'!D72</f>
        <v>20000</v>
      </c>
      <c r="D106" s="976"/>
      <c r="E106" s="725"/>
      <c r="F106" s="725"/>
      <c r="G106" s="725"/>
      <c r="H106" s="725"/>
      <c r="I106" s="725"/>
      <c r="J106" s="725"/>
      <c r="K106" s="725"/>
      <c r="L106" s="725"/>
      <c r="M106" s="725"/>
      <c r="N106" s="1022"/>
    </row>
    <row r="107" spans="1:14" ht="21" customHeight="1">
      <c r="A107" s="1037"/>
      <c r="B107" s="1034" t="s">
        <v>1276</v>
      </c>
      <c r="C107" s="976">
        <f>'4.mell.'!D73</f>
        <v>10000</v>
      </c>
      <c r="D107" s="976"/>
      <c r="E107" s="725"/>
      <c r="F107" s="725"/>
      <c r="G107" s="725"/>
      <c r="H107" s="725"/>
      <c r="I107" s="725"/>
      <c r="J107" s="725"/>
      <c r="K107" s="725"/>
      <c r="L107" s="725"/>
      <c r="M107" s="725"/>
      <c r="N107" s="1022"/>
    </row>
    <row r="108" spans="1:14" ht="21" customHeight="1">
      <c r="A108" s="1037"/>
      <c r="B108" s="1034" t="s">
        <v>1277</v>
      </c>
      <c r="C108" s="976">
        <f>'4.mell.'!D74</f>
        <v>8000</v>
      </c>
      <c r="D108" s="976"/>
      <c r="E108" s="725"/>
      <c r="F108" s="725"/>
      <c r="G108" s="725"/>
      <c r="H108" s="725"/>
      <c r="I108" s="725"/>
      <c r="J108" s="725"/>
      <c r="K108" s="725"/>
      <c r="L108" s="725"/>
      <c r="M108" s="725"/>
      <c r="N108" s="1022"/>
    </row>
    <row r="109" spans="1:14" ht="21" customHeight="1">
      <c r="A109" s="1037"/>
      <c r="B109" s="1034" t="s">
        <v>1351</v>
      </c>
      <c r="C109" s="976">
        <f>'5.mell. '!D28</f>
        <v>4374</v>
      </c>
      <c r="D109" s="976"/>
      <c r="E109" s="725"/>
      <c r="F109" s="725"/>
      <c r="G109" s="725"/>
      <c r="H109" s="725"/>
      <c r="I109" s="725"/>
      <c r="J109" s="725"/>
      <c r="K109" s="725"/>
      <c r="L109" s="725">
        <v>4374</v>
      </c>
      <c r="M109" s="725"/>
      <c r="N109" s="1022"/>
    </row>
    <row r="110" spans="1:14" ht="21" customHeight="1">
      <c r="A110" s="1030" t="s">
        <v>613</v>
      </c>
      <c r="B110" s="1035" t="s">
        <v>752</v>
      </c>
      <c r="C110" s="976"/>
      <c r="D110" s="964">
        <f>SUM(E110:M110)</f>
        <v>0</v>
      </c>
      <c r="E110" s="725"/>
      <c r="F110" s="725"/>
      <c r="G110" s="725"/>
      <c r="H110" s="725"/>
      <c r="I110" s="725"/>
      <c r="J110" s="725"/>
      <c r="K110" s="725"/>
      <c r="L110" s="725"/>
      <c r="M110" s="725"/>
      <c r="N110" s="1022"/>
    </row>
    <row r="111" spans="1:14" ht="21" customHeight="1">
      <c r="A111" s="1030" t="s">
        <v>615</v>
      </c>
      <c r="B111" s="1035" t="s">
        <v>753</v>
      </c>
      <c r="C111" s="976"/>
      <c r="D111" s="964">
        <f>SUM(E111:M111)</f>
        <v>0</v>
      </c>
      <c r="E111" s="725"/>
      <c r="F111" s="725"/>
      <c r="G111" s="725"/>
      <c r="H111" s="725"/>
      <c r="I111" s="725"/>
      <c r="J111" s="725"/>
      <c r="K111" s="725"/>
      <c r="L111" s="725"/>
      <c r="M111" s="725"/>
      <c r="N111" s="1022"/>
    </row>
    <row r="112" spans="1:14" ht="21" customHeight="1">
      <c r="A112" s="1030" t="s">
        <v>617</v>
      </c>
      <c r="B112" s="1035" t="s">
        <v>754</v>
      </c>
      <c r="C112" s="964">
        <f>SUM(C113:C120)</f>
        <v>84652</v>
      </c>
      <c r="D112" s="964">
        <f>SUM(E112:M112)</f>
        <v>84652</v>
      </c>
      <c r="E112" s="725"/>
      <c r="F112" s="726">
        <v>44000</v>
      </c>
      <c r="G112" s="726"/>
      <c r="H112" s="726"/>
      <c r="I112" s="725"/>
      <c r="J112" s="725"/>
      <c r="K112" s="725"/>
      <c r="L112" s="726">
        <f>SUM(L113:L120)</f>
        <v>40652</v>
      </c>
      <c r="M112" s="725"/>
      <c r="N112" s="1022"/>
    </row>
    <row r="113" spans="1:14" ht="21" customHeight="1">
      <c r="A113" s="1030"/>
      <c r="B113" s="1034" t="s">
        <v>755</v>
      </c>
      <c r="C113" s="976">
        <f>SUM('3c.m.'!D190)</f>
        <v>8120</v>
      </c>
      <c r="D113" s="964"/>
      <c r="E113" s="725"/>
      <c r="F113" s="725"/>
      <c r="G113" s="725"/>
      <c r="H113" s="726"/>
      <c r="I113" s="725"/>
      <c r="J113" s="725"/>
      <c r="K113" s="725"/>
      <c r="L113" s="725">
        <v>2120</v>
      </c>
      <c r="M113" s="725"/>
      <c r="N113" s="1022"/>
    </row>
    <row r="114" spans="1:14" ht="21" customHeight="1">
      <c r="A114" s="1030"/>
      <c r="B114" s="1034" t="s">
        <v>756</v>
      </c>
      <c r="C114" s="976">
        <f>SUM('3c.m.'!D198)</f>
        <v>5316</v>
      </c>
      <c r="D114" s="964"/>
      <c r="E114" s="725"/>
      <c r="F114" s="725"/>
      <c r="G114" s="725"/>
      <c r="H114" s="726"/>
      <c r="I114" s="725"/>
      <c r="J114" s="725"/>
      <c r="K114" s="725"/>
      <c r="L114" s="725">
        <v>316</v>
      </c>
      <c r="M114" s="725"/>
      <c r="N114" s="1022"/>
    </row>
    <row r="115" spans="1:14" ht="21" customHeight="1">
      <c r="A115" s="1030"/>
      <c r="B115" s="1034" t="s">
        <v>757</v>
      </c>
      <c r="C115" s="976">
        <f>SUM('3c.m.'!D223)</f>
        <v>5515</v>
      </c>
      <c r="D115" s="964"/>
      <c r="E115" s="725"/>
      <c r="F115" s="725"/>
      <c r="G115" s="725"/>
      <c r="H115" s="726"/>
      <c r="I115" s="725"/>
      <c r="J115" s="725"/>
      <c r="K115" s="725"/>
      <c r="L115" s="725">
        <v>515</v>
      </c>
      <c r="M115" s="725"/>
      <c r="N115" s="1022"/>
    </row>
    <row r="116" spans="1:14" ht="21" customHeight="1">
      <c r="A116" s="1030"/>
      <c r="B116" s="1034" t="s">
        <v>758</v>
      </c>
      <c r="C116" s="976">
        <f>SUM('3c.m.'!D214)</f>
        <v>4490</v>
      </c>
      <c r="D116" s="976"/>
      <c r="E116" s="725"/>
      <c r="F116" s="725"/>
      <c r="G116" s="725"/>
      <c r="H116" s="725"/>
      <c r="I116" s="725"/>
      <c r="J116" s="725"/>
      <c r="K116" s="725"/>
      <c r="L116" s="725">
        <v>1490</v>
      </c>
      <c r="M116" s="725"/>
      <c r="N116" s="1022"/>
    </row>
    <row r="117" spans="1:14" ht="21" customHeight="1">
      <c r="A117" s="1030"/>
      <c r="B117" s="1034" t="s">
        <v>759</v>
      </c>
      <c r="C117" s="976">
        <f>SUM('3c.m.'!D730)</f>
        <v>3270</v>
      </c>
      <c r="D117" s="976"/>
      <c r="E117" s="725"/>
      <c r="F117" s="725"/>
      <c r="G117" s="725"/>
      <c r="H117" s="725"/>
      <c r="I117" s="725"/>
      <c r="J117" s="725"/>
      <c r="K117" s="725"/>
      <c r="L117" s="725">
        <v>270</v>
      </c>
      <c r="M117" s="725"/>
      <c r="N117" s="1022"/>
    </row>
    <row r="118" spans="1:14" ht="21" customHeight="1">
      <c r="A118" s="1030"/>
      <c r="B118" s="1034" t="s">
        <v>760</v>
      </c>
      <c r="C118" s="976">
        <f>SUM('3c.m.'!D758)</f>
        <v>53941</v>
      </c>
      <c r="D118" s="976"/>
      <c r="E118" s="725"/>
      <c r="F118" s="725"/>
      <c r="G118" s="725"/>
      <c r="H118" s="725"/>
      <c r="I118" s="725"/>
      <c r="J118" s="725"/>
      <c r="K118" s="725"/>
      <c r="L118" s="725">
        <v>33941</v>
      </c>
      <c r="M118" s="725"/>
      <c r="N118" s="1022"/>
    </row>
    <row r="119" spans="1:14" ht="21" customHeight="1">
      <c r="A119" s="1030"/>
      <c r="B119" s="1034" t="s">
        <v>761</v>
      </c>
      <c r="C119" s="976">
        <f>SUM('3c.m.'!D766)</f>
        <v>4000</v>
      </c>
      <c r="D119" s="976"/>
      <c r="E119" s="725"/>
      <c r="F119" s="725"/>
      <c r="G119" s="725"/>
      <c r="H119" s="725"/>
      <c r="I119" s="725"/>
      <c r="J119" s="725"/>
      <c r="K119" s="725"/>
      <c r="L119" s="725">
        <v>2000</v>
      </c>
      <c r="M119" s="725"/>
      <c r="N119" s="1022"/>
    </row>
    <row r="120" spans="1:14" ht="21" customHeight="1">
      <c r="A120" s="1030"/>
      <c r="B120" s="1034" t="s">
        <v>762</v>
      </c>
      <c r="C120" s="976">
        <f>SUM('3c.m.'!D775)</f>
        <v>0</v>
      </c>
      <c r="D120" s="976"/>
      <c r="E120" s="725"/>
      <c r="F120" s="725"/>
      <c r="G120" s="725"/>
      <c r="H120" s="725"/>
      <c r="I120" s="725"/>
      <c r="J120" s="725"/>
      <c r="K120" s="725"/>
      <c r="L120" s="725"/>
      <c r="M120" s="725"/>
      <c r="N120" s="1022"/>
    </row>
    <row r="121" spans="1:14" ht="21" customHeight="1">
      <c r="A121" s="1030" t="s">
        <v>619</v>
      </c>
      <c r="B121" s="1035" t="s">
        <v>763</v>
      </c>
      <c r="C121" s="964">
        <f>SUM(C122:C124)</f>
        <v>43741</v>
      </c>
      <c r="D121" s="964">
        <f>SUM(E121:M121)</f>
        <v>43741</v>
      </c>
      <c r="E121" s="725"/>
      <c r="F121" s="726">
        <v>18700</v>
      </c>
      <c r="G121" s="726"/>
      <c r="H121" s="725"/>
      <c r="I121" s="725"/>
      <c r="J121" s="725"/>
      <c r="K121" s="725"/>
      <c r="L121" s="726">
        <v>25041</v>
      </c>
      <c r="M121" s="725"/>
      <c r="N121" s="1022"/>
    </row>
    <row r="122" spans="1:14" ht="21" customHeight="1">
      <c r="A122" s="1030"/>
      <c r="B122" s="1034" t="s">
        <v>764</v>
      </c>
      <c r="C122" s="976">
        <f>SUM('3c.m.'!D268)</f>
        <v>19981</v>
      </c>
      <c r="D122" s="976"/>
      <c r="E122" s="725"/>
      <c r="F122" s="725"/>
      <c r="G122" s="725"/>
      <c r="H122" s="725"/>
      <c r="I122" s="725"/>
      <c r="J122" s="725"/>
      <c r="K122" s="725"/>
      <c r="L122" s="725">
        <v>1981</v>
      </c>
      <c r="M122" s="725"/>
      <c r="N122" s="1022"/>
    </row>
    <row r="123" spans="1:14" ht="21" customHeight="1">
      <c r="A123" s="1030"/>
      <c r="B123" s="1034" t="s">
        <v>765</v>
      </c>
      <c r="C123" s="976">
        <f>SUM('3c.m.'!D896)</f>
        <v>700</v>
      </c>
      <c r="D123" s="976"/>
      <c r="E123" s="725"/>
      <c r="F123" s="725"/>
      <c r="G123" s="725"/>
      <c r="H123" s="725"/>
      <c r="I123" s="725"/>
      <c r="J123" s="725"/>
      <c r="K123" s="725"/>
      <c r="L123" s="725"/>
      <c r="M123" s="725"/>
      <c r="N123" s="1022"/>
    </row>
    <row r="124" spans="1:14" ht="21" customHeight="1">
      <c r="A124" s="1030"/>
      <c r="B124" s="1034" t="s">
        <v>766</v>
      </c>
      <c r="C124" s="976">
        <f>SUM('5.mell. '!D32)</f>
        <v>23060</v>
      </c>
      <c r="D124" s="976"/>
      <c r="E124" s="725"/>
      <c r="F124" s="725"/>
      <c r="G124" s="725"/>
      <c r="H124" s="725"/>
      <c r="I124" s="725"/>
      <c r="J124" s="725"/>
      <c r="K124" s="725"/>
      <c r="L124" s="725">
        <f>19935+65</f>
        <v>20000</v>
      </c>
      <c r="M124" s="725"/>
      <c r="N124" s="1022"/>
    </row>
    <row r="125" spans="1:14" ht="21" customHeight="1">
      <c r="A125" s="1030" t="s">
        <v>621</v>
      </c>
      <c r="B125" s="1035" t="s">
        <v>767</v>
      </c>
      <c r="C125" s="964">
        <f>SUM(C126:C128)</f>
        <v>7836</v>
      </c>
      <c r="D125" s="964">
        <f>SUM(E125:M125)</f>
        <v>7836</v>
      </c>
      <c r="E125" s="726"/>
      <c r="F125" s="726">
        <v>7500</v>
      </c>
      <c r="G125" s="726"/>
      <c r="H125" s="725"/>
      <c r="I125" s="725"/>
      <c r="J125" s="725"/>
      <c r="K125" s="725"/>
      <c r="L125" s="964">
        <f>SUM(L126:L128)</f>
        <v>336</v>
      </c>
      <c r="M125" s="725"/>
      <c r="N125" s="1022"/>
    </row>
    <row r="126" spans="1:14" ht="21" customHeight="1">
      <c r="A126" s="1030"/>
      <c r="B126" s="1034" t="s">
        <v>768</v>
      </c>
      <c r="C126" s="976">
        <f>SUM('3c.m.'!D260)</f>
        <v>6250</v>
      </c>
      <c r="D126" s="976"/>
      <c r="E126" s="725"/>
      <c r="F126" s="725"/>
      <c r="G126" s="725"/>
      <c r="H126" s="725"/>
      <c r="I126" s="725"/>
      <c r="J126" s="725"/>
      <c r="K126" s="725"/>
      <c r="L126" s="725">
        <v>250</v>
      </c>
      <c r="M126" s="725"/>
      <c r="N126" s="1022"/>
    </row>
    <row r="127" spans="1:14" ht="21" customHeight="1">
      <c r="A127" s="1030"/>
      <c r="B127" s="1034" t="s">
        <v>769</v>
      </c>
      <c r="C127" s="976">
        <f>SUM('3c.m.'!D738)</f>
        <v>0</v>
      </c>
      <c r="D127" s="976"/>
      <c r="E127" s="725"/>
      <c r="F127" s="725"/>
      <c r="G127" s="725"/>
      <c r="H127" s="725"/>
      <c r="I127" s="725"/>
      <c r="J127" s="725"/>
      <c r="K127" s="725"/>
      <c r="L127" s="725"/>
      <c r="M127" s="725"/>
      <c r="N127" s="1022"/>
    </row>
    <row r="128" spans="1:14" ht="21" customHeight="1">
      <c r="A128" s="1030"/>
      <c r="B128" s="1034" t="s">
        <v>770</v>
      </c>
      <c r="C128" s="976">
        <f>SUM('3c.m.'!D888)</f>
        <v>1586</v>
      </c>
      <c r="D128" s="976"/>
      <c r="E128" s="725"/>
      <c r="F128" s="725"/>
      <c r="G128" s="725"/>
      <c r="H128" s="725"/>
      <c r="I128" s="725"/>
      <c r="J128" s="725"/>
      <c r="K128" s="725"/>
      <c r="L128" s="725">
        <v>86</v>
      </c>
      <c r="M128" s="725"/>
      <c r="N128" s="1022"/>
    </row>
    <row r="129" spans="1:14" ht="21" customHeight="1">
      <c r="A129" s="1039"/>
      <c r="B129" s="1035" t="s">
        <v>771</v>
      </c>
      <c r="C129" s="964">
        <f>SUM('3c.m.'!D241)</f>
        <v>150768</v>
      </c>
      <c r="D129" s="964">
        <f>SUM(E129:N129)</f>
        <v>150768</v>
      </c>
      <c r="E129" s="725"/>
      <c r="F129" s="726">
        <v>150760</v>
      </c>
      <c r="G129" s="726"/>
      <c r="H129" s="725"/>
      <c r="I129" s="725"/>
      <c r="J129" s="725"/>
      <c r="K129" s="725"/>
      <c r="L129" s="726">
        <v>8</v>
      </c>
      <c r="M129" s="725"/>
      <c r="N129" s="1022"/>
    </row>
    <row r="130" spans="1:14" ht="21" customHeight="1">
      <c r="A130" s="1039"/>
      <c r="B130" s="1035" t="s">
        <v>772</v>
      </c>
      <c r="C130" s="964">
        <f>SUM('3c.m.'!D252)</f>
        <v>112662</v>
      </c>
      <c r="D130" s="964">
        <f aca="true" t="shared" si="0" ref="D130:D148">SUM(E130:N130)</f>
        <v>112662</v>
      </c>
      <c r="E130" s="725"/>
      <c r="F130" s="726">
        <v>70000</v>
      </c>
      <c r="G130" s="726"/>
      <c r="H130" s="726"/>
      <c r="I130" s="725"/>
      <c r="J130" s="725"/>
      <c r="K130" s="725"/>
      <c r="L130" s="726">
        <v>42662</v>
      </c>
      <c r="M130" s="725"/>
      <c r="N130" s="1022"/>
    </row>
    <row r="131" spans="1:14" ht="30.6" customHeight="1">
      <c r="A131" s="1039"/>
      <c r="B131" s="744" t="s">
        <v>773</v>
      </c>
      <c r="C131" s="964">
        <f>SUM('3a.m.'!D29+'3a.m.'!D49)-'13.mell'!D10</f>
        <v>3201915</v>
      </c>
      <c r="D131" s="964">
        <f t="shared" si="0"/>
        <v>3201915</v>
      </c>
      <c r="E131" s="726">
        <v>786390</v>
      </c>
      <c r="F131" s="726">
        <f>2003313+239697</f>
        <v>2243010</v>
      </c>
      <c r="G131" s="726"/>
      <c r="H131" s="726"/>
      <c r="I131" s="725"/>
      <c r="J131" s="725"/>
      <c r="K131" s="726"/>
      <c r="L131" s="726">
        <f>168515</f>
        <v>168515</v>
      </c>
      <c r="M131" s="726"/>
      <c r="N131" s="1040">
        <v>4000</v>
      </c>
    </row>
    <row r="132" spans="1:14" ht="30.6" customHeight="1">
      <c r="A132" s="1039"/>
      <c r="B132" s="744" t="s">
        <v>1179</v>
      </c>
      <c r="C132" s="964">
        <f>SUM('3a.m.'!D39)</f>
        <v>58380</v>
      </c>
      <c r="D132" s="964">
        <f t="shared" si="0"/>
        <v>58380</v>
      </c>
      <c r="E132" s="726"/>
      <c r="F132" s="726">
        <v>40200</v>
      </c>
      <c r="G132" s="726"/>
      <c r="H132" s="726">
        <v>18180</v>
      </c>
      <c r="I132" s="725"/>
      <c r="J132" s="725"/>
      <c r="K132" s="726"/>
      <c r="L132" s="726"/>
      <c r="M132" s="726"/>
      <c r="N132" s="1040"/>
    </row>
    <row r="133" spans="1:14" ht="21" customHeight="1">
      <c r="A133" s="1039"/>
      <c r="B133" s="1035" t="s">
        <v>774</v>
      </c>
      <c r="C133" s="964">
        <f>SUM('3c.m.'!D304)</f>
        <v>22462</v>
      </c>
      <c r="D133" s="964">
        <f t="shared" si="0"/>
        <v>22462</v>
      </c>
      <c r="E133" s="725"/>
      <c r="F133" s="726">
        <v>20000</v>
      </c>
      <c r="G133" s="726"/>
      <c r="H133" s="725"/>
      <c r="I133" s="725"/>
      <c r="J133" s="725"/>
      <c r="K133" s="725"/>
      <c r="L133" s="726">
        <v>2462</v>
      </c>
      <c r="M133" s="725"/>
      <c r="N133" s="1040"/>
    </row>
    <row r="134" spans="1:14" ht="21" customHeight="1">
      <c r="A134" s="1039"/>
      <c r="B134" s="1035" t="s">
        <v>775</v>
      </c>
      <c r="C134" s="964">
        <f>SUM('3c.m.'!D386)</f>
        <v>9145</v>
      </c>
      <c r="D134" s="964">
        <f t="shared" si="0"/>
        <v>9145</v>
      </c>
      <c r="E134" s="725"/>
      <c r="F134" s="726"/>
      <c r="G134" s="726"/>
      <c r="H134" s="726">
        <v>8145</v>
      </c>
      <c r="I134" s="725"/>
      <c r="J134" s="725"/>
      <c r="K134" s="725"/>
      <c r="L134" s="726">
        <v>1000</v>
      </c>
      <c r="M134" s="725"/>
      <c r="N134" s="1040"/>
    </row>
    <row r="135" spans="1:14" ht="21" customHeight="1">
      <c r="A135" s="1039"/>
      <c r="B135" s="1035" t="s">
        <v>776</v>
      </c>
      <c r="C135" s="964">
        <f>SUM('3d.m.'!D13)</f>
        <v>125000</v>
      </c>
      <c r="D135" s="964">
        <f t="shared" si="0"/>
        <v>125000</v>
      </c>
      <c r="E135" s="725"/>
      <c r="F135" s="726">
        <v>125000</v>
      </c>
      <c r="G135" s="726"/>
      <c r="H135" s="725"/>
      <c r="I135" s="725"/>
      <c r="J135" s="725"/>
      <c r="K135" s="725"/>
      <c r="L135" s="726"/>
      <c r="M135" s="725"/>
      <c r="N135" s="1040"/>
    </row>
    <row r="136" spans="1:14" ht="21" customHeight="1">
      <c r="A136" s="1039"/>
      <c r="B136" s="1035" t="s">
        <v>1125</v>
      </c>
      <c r="C136" s="964">
        <f>SUM('6.mell. '!D17)</f>
        <v>153268</v>
      </c>
      <c r="D136" s="964">
        <f t="shared" si="0"/>
        <v>153268</v>
      </c>
      <c r="E136" s="725"/>
      <c r="F136" s="726"/>
      <c r="G136" s="726"/>
      <c r="H136" s="725"/>
      <c r="I136" s="725"/>
      <c r="J136" s="725"/>
      <c r="K136" s="725"/>
      <c r="L136" s="726">
        <v>153268</v>
      </c>
      <c r="M136" s="725"/>
      <c r="N136" s="1040"/>
    </row>
    <row r="137" spans="1:14" ht="21" customHeight="1">
      <c r="A137" s="1039"/>
      <c r="B137" s="1035" t="s">
        <v>777</v>
      </c>
      <c r="C137" s="964">
        <f>SUM('1c.mell '!D62)</f>
        <v>25381</v>
      </c>
      <c r="D137" s="964">
        <f t="shared" si="0"/>
        <v>25381</v>
      </c>
      <c r="E137" s="725"/>
      <c r="F137" s="726">
        <v>25000</v>
      </c>
      <c r="G137" s="726"/>
      <c r="H137" s="725"/>
      <c r="I137" s="725"/>
      <c r="J137" s="725"/>
      <c r="K137" s="725"/>
      <c r="L137" s="726">
        <v>381</v>
      </c>
      <c r="M137" s="725"/>
      <c r="N137" s="1040"/>
    </row>
    <row r="138" spans="1:14" ht="21" customHeight="1">
      <c r="A138" s="1039"/>
      <c r="B138" s="1035" t="s">
        <v>778</v>
      </c>
      <c r="C138" s="964">
        <f>SUM('1c.mell '!D64)</f>
        <v>7865</v>
      </c>
      <c r="D138" s="964">
        <f t="shared" si="0"/>
        <v>7865</v>
      </c>
      <c r="E138" s="725"/>
      <c r="F138" s="726">
        <v>7865</v>
      </c>
      <c r="G138" s="726"/>
      <c r="H138" s="725"/>
      <c r="I138" s="725"/>
      <c r="J138" s="725"/>
      <c r="K138" s="725"/>
      <c r="L138" s="726"/>
      <c r="M138" s="725"/>
      <c r="N138" s="1040"/>
    </row>
    <row r="139" spans="1:14" ht="21" customHeight="1">
      <c r="A139" s="1039"/>
      <c r="B139" s="1035" t="s">
        <v>779</v>
      </c>
      <c r="C139" s="964">
        <f>SUM('1c.mell '!D66)</f>
        <v>1054735</v>
      </c>
      <c r="D139" s="964">
        <f t="shared" si="0"/>
        <v>1054735</v>
      </c>
      <c r="E139" s="726"/>
      <c r="F139" s="726">
        <v>1054735</v>
      </c>
      <c r="G139" s="726"/>
      <c r="H139" s="725"/>
      <c r="I139" s="725"/>
      <c r="J139" s="725"/>
      <c r="K139" s="725"/>
      <c r="L139" s="726"/>
      <c r="M139" s="725"/>
      <c r="N139" s="1040"/>
    </row>
    <row r="140" spans="1:14" ht="21" customHeight="1">
      <c r="A140" s="1039"/>
      <c r="B140" s="1035" t="s">
        <v>780</v>
      </c>
      <c r="C140" s="964">
        <f>SUM('1c.mell '!D68)</f>
        <v>77854</v>
      </c>
      <c r="D140" s="964">
        <f t="shared" si="0"/>
        <v>77854</v>
      </c>
      <c r="E140" s="725"/>
      <c r="F140" s="726">
        <v>75000</v>
      </c>
      <c r="G140" s="726"/>
      <c r="H140" s="725"/>
      <c r="I140" s="725"/>
      <c r="J140" s="725"/>
      <c r="K140" s="725"/>
      <c r="L140" s="726">
        <v>2854</v>
      </c>
      <c r="M140" s="725"/>
      <c r="N140" s="1040"/>
    </row>
    <row r="141" spans="1:14" ht="21" customHeight="1">
      <c r="A141" s="1039"/>
      <c r="B141" s="1035" t="s">
        <v>781</v>
      </c>
      <c r="C141" s="964">
        <f>SUM('1c.mell '!D70)</f>
        <v>0</v>
      </c>
      <c r="D141" s="964">
        <f t="shared" si="0"/>
        <v>0</v>
      </c>
      <c r="E141" s="725"/>
      <c r="F141" s="726"/>
      <c r="G141" s="726"/>
      <c r="H141" s="725"/>
      <c r="I141" s="725"/>
      <c r="J141" s="725"/>
      <c r="K141" s="725"/>
      <c r="L141" s="726"/>
      <c r="M141" s="725"/>
      <c r="N141" s="1040"/>
    </row>
    <row r="142" spans="1:14" ht="21" customHeight="1">
      <c r="A142" s="1039"/>
      <c r="B142" s="1035" t="s">
        <v>782</v>
      </c>
      <c r="C142" s="964">
        <f>SUM('1c.mell '!D92)</f>
        <v>120591</v>
      </c>
      <c r="D142" s="964">
        <f t="shared" si="0"/>
        <v>120591</v>
      </c>
      <c r="E142" s="725"/>
      <c r="F142" s="726"/>
      <c r="G142" s="726"/>
      <c r="H142" s="725"/>
      <c r="I142" s="725"/>
      <c r="J142" s="725"/>
      <c r="K142" s="725"/>
      <c r="L142" s="726"/>
      <c r="M142" s="725"/>
      <c r="N142" s="1040">
        <v>120591</v>
      </c>
    </row>
    <row r="143" spans="1:14" ht="21" customHeight="1">
      <c r="A143" s="1039"/>
      <c r="B143" s="1035" t="s">
        <v>783</v>
      </c>
      <c r="C143" s="964">
        <f>SUM('1c.mell '!D93)</f>
        <v>100272</v>
      </c>
      <c r="D143" s="964">
        <f t="shared" si="0"/>
        <v>100272</v>
      </c>
      <c r="E143" s="725"/>
      <c r="F143" s="726"/>
      <c r="G143" s="726"/>
      <c r="H143" s="725"/>
      <c r="I143" s="725"/>
      <c r="J143" s="725"/>
      <c r="K143" s="725"/>
      <c r="L143" s="726">
        <v>100272</v>
      </c>
      <c r="M143" s="725"/>
      <c r="N143" s="1040"/>
    </row>
    <row r="144" spans="1:14" ht="21" customHeight="1">
      <c r="A144" s="1039"/>
      <c r="B144" s="1035" t="s">
        <v>784</v>
      </c>
      <c r="C144" s="964">
        <f>SUM('1c.mell '!D101)</f>
        <v>48000</v>
      </c>
      <c r="D144" s="964">
        <f t="shared" si="0"/>
        <v>48000</v>
      </c>
      <c r="E144" s="725"/>
      <c r="F144" s="726">
        <v>48000</v>
      </c>
      <c r="G144" s="726"/>
      <c r="H144" s="725"/>
      <c r="I144" s="726"/>
      <c r="J144" s="725"/>
      <c r="K144" s="725"/>
      <c r="L144" s="726"/>
      <c r="M144" s="725"/>
      <c r="N144" s="1040"/>
    </row>
    <row r="145" spans="1:14" ht="21" customHeight="1">
      <c r="A145" s="1039"/>
      <c r="B145" s="1035" t="s">
        <v>785</v>
      </c>
      <c r="C145" s="964">
        <f>SUM('2.mell'!D408)-'12.mell'!D8</f>
        <v>2138946</v>
      </c>
      <c r="D145" s="964">
        <f t="shared" si="0"/>
        <v>2138946</v>
      </c>
      <c r="E145" s="726">
        <v>260000</v>
      </c>
      <c r="F145" s="726">
        <v>1611067</v>
      </c>
      <c r="G145" s="726">
        <v>237836</v>
      </c>
      <c r="H145" s="726">
        <v>13143</v>
      </c>
      <c r="I145" s="725"/>
      <c r="J145" s="725"/>
      <c r="K145" s="725"/>
      <c r="L145" s="726">
        <v>16900</v>
      </c>
      <c r="M145" s="725"/>
      <c r="N145" s="1022"/>
    </row>
    <row r="146" spans="1:14" ht="21" customHeight="1">
      <c r="A146" s="1030"/>
      <c r="B146" s="1035" t="s">
        <v>786</v>
      </c>
      <c r="C146" s="964">
        <f>SUM('2.mell'!D479)</f>
        <v>755384</v>
      </c>
      <c r="D146" s="964">
        <f t="shared" si="0"/>
        <v>755384</v>
      </c>
      <c r="E146" s="726">
        <v>389806</v>
      </c>
      <c r="F146" s="726">
        <f>338883+1138+466</f>
        <v>340487</v>
      </c>
      <c r="G146" s="726">
        <v>22509</v>
      </c>
      <c r="H146" s="726"/>
      <c r="I146" s="726"/>
      <c r="J146" s="725"/>
      <c r="K146" s="725"/>
      <c r="L146" s="726">
        <f>2582</f>
        <v>2582</v>
      </c>
      <c r="M146" s="725"/>
      <c r="N146" s="1022"/>
    </row>
    <row r="147" spans="1:14" ht="21" customHeight="1">
      <c r="A147" s="1030"/>
      <c r="B147" s="1035" t="s">
        <v>787</v>
      </c>
      <c r="C147" s="964">
        <f>SUM('2.mell'!D512)</f>
        <v>1103577</v>
      </c>
      <c r="D147" s="964">
        <f t="shared" si="0"/>
        <v>1103577</v>
      </c>
      <c r="E147" s="726">
        <v>562486</v>
      </c>
      <c r="F147" s="726">
        <f>479049+5544</f>
        <v>484593</v>
      </c>
      <c r="G147" s="726">
        <v>55141</v>
      </c>
      <c r="H147" s="726"/>
      <c r="I147" s="726"/>
      <c r="J147" s="725"/>
      <c r="K147" s="725"/>
      <c r="L147" s="726">
        <v>1357</v>
      </c>
      <c r="M147" s="725"/>
      <c r="N147" s="1022"/>
    </row>
    <row r="148" spans="1:14" ht="21" customHeight="1">
      <c r="A148" s="1030"/>
      <c r="B148" s="1035" t="s">
        <v>788</v>
      </c>
      <c r="C148" s="964">
        <f>SUM('2.mell'!D585)</f>
        <v>342879</v>
      </c>
      <c r="D148" s="964">
        <f t="shared" si="0"/>
        <v>342879</v>
      </c>
      <c r="E148" s="726">
        <v>30798</v>
      </c>
      <c r="F148" s="726">
        <f>212243+28653</f>
        <v>240896</v>
      </c>
      <c r="G148" s="726">
        <v>10160</v>
      </c>
      <c r="H148" s="726">
        <v>18944</v>
      </c>
      <c r="I148" s="725"/>
      <c r="J148" s="726"/>
      <c r="K148" s="725"/>
      <c r="L148" s="726">
        <v>42081</v>
      </c>
      <c r="M148" s="726"/>
      <c r="N148" s="1022"/>
    </row>
    <row r="149" spans="1:14" ht="21" customHeight="1">
      <c r="A149" s="1030"/>
      <c r="B149" s="1035"/>
      <c r="C149" s="976"/>
      <c r="D149" s="976"/>
      <c r="E149" s="725"/>
      <c r="F149" s="725"/>
      <c r="G149" s="725"/>
      <c r="H149" s="725"/>
      <c r="I149" s="725"/>
      <c r="J149" s="725"/>
      <c r="K149" s="725"/>
      <c r="L149" s="725"/>
      <c r="M149" s="725"/>
      <c r="N149" s="1022"/>
    </row>
    <row r="150" spans="1:15" ht="21" customHeight="1">
      <c r="A150" s="1030"/>
      <c r="B150" s="1041" t="s">
        <v>789</v>
      </c>
      <c r="C150" s="726">
        <f>SUM(C10+C33+C35+C37+C46+C50+C61+C73+C75+C83+C112+C121+C125+C129+C130+C131+C133+C134+C135+C137+C139+C140+C144+C145+C146+C147+C148+C138+C143+C141+C142+C136+C132)</f>
        <v>17731194</v>
      </c>
      <c r="D150" s="726">
        <f>SUM(D10+D33+D35+D37+D46+D50+D61+D73+D75+D83+D112+D121+D125+D129+D130+D131+D133+D134+D135+D137+D139+D140+D144+D145+D146+D147+D148+D138+D143+D141+D142+D136+D132)</f>
        <v>17731194</v>
      </c>
      <c r="E150" s="726">
        <f>SUM(E10+E33+E35+E37+E46+E50+E61+E73+E75+E83+E112+E121+E125+E129+E130+E131+E133+E134+E135+E137+E139+E140+E144+E145+E146+E147+E148+E138+E143+E141+E142+E136)</f>
        <v>3173222</v>
      </c>
      <c r="F150" s="726">
        <f>SUM(F10+F33+F35+F37+F46+F50+F61+F73+F75+F83+F112+F121+F125+F129+F130+F131+F133+F134+F135+F137+F139+F140+F144+F145+F146+F147+F148+F138+F143+F141+F142+F136)+F132</f>
        <v>9137179</v>
      </c>
      <c r="G150" s="726">
        <f>SUM(G10+G33+G35+G37+G46+G50+G61+G73+G75+G83+G112+G121+G125+G129+G130+G131+G133+G134+G135+G137+G139+G140+G144+G145+G146+G147+G148+G138+G143+G141+G142+G136)</f>
        <v>1482530</v>
      </c>
      <c r="H150" s="726">
        <f>SUM(H10+H33+H35+H37+H46+H50+H61+H73+H75+H83+H112+H121+H125+H129+H130+H131+H133+H134+H135+H137+H139+H140+H144+H145+H146+H147+H148+H138+H143+H141+H142+H136)+H132</f>
        <v>58412</v>
      </c>
      <c r="I150" s="726">
        <f aca="true" t="shared" si="1" ref="I150:N150">SUM(I10+I33+I35+I37+I46+I50+I61+I73+I75+I83+I112+I121+I125+I129+I130+I131+I133+I134+I135+I137+I139+I140+I144+I145+I146+I147+I148+I138+I143+I141+I142+I136)</f>
        <v>291493</v>
      </c>
      <c r="J150" s="726">
        <f t="shared" si="1"/>
        <v>0</v>
      </c>
      <c r="K150" s="726">
        <f t="shared" si="1"/>
        <v>0</v>
      </c>
      <c r="L150" s="726">
        <f t="shared" si="1"/>
        <v>3014767</v>
      </c>
      <c r="M150" s="726">
        <f>SUM(M10+M33+M35+M37+M46+M50+M61+M73+M75+M83+M112+M121+M125+M129+M130+M131+M133+M134+M135+M137+M139+M140+M144+M145+M146+M147+M148+M138+M143+M141+M142+M136)</f>
        <v>440000</v>
      </c>
      <c r="N150" s="726">
        <f t="shared" si="1"/>
        <v>133591</v>
      </c>
      <c r="O150" s="1024"/>
    </row>
    <row r="151" spans="1:14" ht="21" customHeight="1">
      <c r="A151" s="1030"/>
      <c r="B151" s="1035"/>
      <c r="C151" s="976"/>
      <c r="D151" s="976"/>
      <c r="E151" s="725"/>
      <c r="F151" s="725"/>
      <c r="G151" s="725"/>
      <c r="H151" s="725"/>
      <c r="I151" s="725"/>
      <c r="J151" s="725"/>
      <c r="K151" s="725"/>
      <c r="L151" s="725"/>
      <c r="M151" s="725"/>
      <c r="N151" s="1022"/>
    </row>
  </sheetData>
  <mergeCells count="13">
    <mergeCell ref="L8:L9"/>
    <mergeCell ref="M8:M9"/>
    <mergeCell ref="N8:N9"/>
    <mergeCell ref="A3:N3"/>
    <mergeCell ref="B4:M4"/>
    <mergeCell ref="B5:M5"/>
    <mergeCell ref="B8:B9"/>
    <mergeCell ref="C8:C9"/>
    <mergeCell ref="D8:D9"/>
    <mergeCell ref="E8:E9"/>
    <mergeCell ref="F8:F9"/>
    <mergeCell ref="H8:I8"/>
    <mergeCell ref="J8:K8"/>
  </mergeCells>
  <printOptions/>
  <pageMargins left="0.3937007874015748" right="0.3937007874015748" top="0.3937007874015748" bottom="0.3937007874015748" header="0.5118110236220472" footer="0"/>
  <pageSetup firstPageNumber="45" useFirstPageNumber="1" horizontalDpi="600" verticalDpi="600" orientation="landscape" paperSize="9" scale="5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zoomScale="110" zoomScaleNormal="110" workbookViewId="0" topLeftCell="A88">
      <selection activeCell="C13" sqref="C13"/>
    </sheetView>
  </sheetViews>
  <sheetFormatPr defaultColWidth="9.125" defaultRowHeight="12.75"/>
  <cols>
    <col min="1" max="1" width="7.625" style="1004" customWidth="1"/>
    <col min="2" max="2" width="49.625" style="1004" customWidth="1"/>
    <col min="3" max="3" width="13.875" style="1004" customWidth="1"/>
    <col min="4" max="4" width="13.00390625" style="1004" customWidth="1"/>
    <col min="5" max="5" width="11.125" style="1004" customWidth="1"/>
    <col min="6" max="6" width="11.875" style="1004" customWidth="1"/>
    <col min="7" max="7" width="12.125" style="1004" customWidth="1"/>
    <col min="8" max="8" width="11.375" style="1004" customWidth="1"/>
    <col min="9" max="9" width="10.625" style="1004" bestFit="1" customWidth="1"/>
    <col min="10" max="10" width="11.125" style="1004" customWidth="1"/>
    <col min="11" max="11" width="11.625" style="1004" customWidth="1"/>
    <col min="12" max="12" width="10.875" style="1004" customWidth="1"/>
    <col min="13" max="13" width="11.00390625" style="1004" customWidth="1"/>
    <col min="14" max="16" width="9.125" style="1004" customWidth="1"/>
    <col min="17" max="16384" width="9.125" style="723" customWidth="1"/>
  </cols>
  <sheetData>
    <row r="1" spans="1:13" ht="12.75">
      <c r="A1" s="1425" t="s">
        <v>790</v>
      </c>
      <c r="B1" s="1425"/>
      <c r="C1" s="1425"/>
      <c r="D1" s="1425"/>
      <c r="E1" s="1425"/>
      <c r="F1" s="1425"/>
      <c r="G1" s="1425"/>
      <c r="H1" s="1425"/>
      <c r="I1" s="1425"/>
      <c r="J1" s="1425"/>
      <c r="K1" s="1425"/>
      <c r="L1" s="1425"/>
      <c r="M1" s="1425"/>
    </row>
    <row r="2" spans="2:12" ht="18.75">
      <c r="B2" s="1426" t="s">
        <v>791</v>
      </c>
      <c r="C2" s="1426"/>
      <c r="D2" s="1426"/>
      <c r="E2" s="1426"/>
      <c r="F2" s="1426"/>
      <c r="G2" s="1426"/>
      <c r="H2" s="1426"/>
      <c r="I2" s="1426"/>
      <c r="J2" s="1426"/>
      <c r="K2" s="1426"/>
      <c r="L2" s="1426"/>
    </row>
    <row r="3" spans="2:12" ht="18.75">
      <c r="B3" s="1427" t="s">
        <v>1209</v>
      </c>
      <c r="C3" s="1427"/>
      <c r="D3" s="1427"/>
      <c r="E3" s="1427"/>
      <c r="F3" s="1427"/>
      <c r="G3" s="1427"/>
      <c r="H3" s="1427"/>
      <c r="I3" s="1427"/>
      <c r="J3" s="1427"/>
      <c r="K3" s="1427"/>
      <c r="L3" s="1427"/>
    </row>
    <row r="4" spans="3:13" ht="9.75" customHeight="1">
      <c r="C4" s="1005"/>
      <c r="F4" s="1006"/>
      <c r="G4" s="1006"/>
      <c r="H4" s="1006"/>
      <c r="I4" s="1006"/>
      <c r="J4" s="1006"/>
      <c r="K4" s="1006"/>
      <c r="L4" s="1006"/>
      <c r="M4" s="1007" t="s">
        <v>524</v>
      </c>
    </row>
    <row r="5" spans="1:13" ht="27" customHeight="1">
      <c r="A5" s="1008"/>
      <c r="B5" s="1423" t="s">
        <v>792</v>
      </c>
      <c r="C5" s="1407" t="s">
        <v>1341</v>
      </c>
      <c r="D5" s="1423" t="s">
        <v>793</v>
      </c>
      <c r="E5" s="1407" t="s">
        <v>662</v>
      </c>
      <c r="F5" s="1407" t="s">
        <v>669</v>
      </c>
      <c r="G5" s="1423" t="s">
        <v>664</v>
      </c>
      <c r="H5" s="1423"/>
      <c r="I5" s="1423" t="s">
        <v>665</v>
      </c>
      <c r="J5" s="1423"/>
      <c r="K5" s="1423" t="s">
        <v>794</v>
      </c>
      <c r="L5" s="1407" t="s">
        <v>795</v>
      </c>
      <c r="M5" s="1423" t="s">
        <v>796</v>
      </c>
    </row>
    <row r="6" spans="1:13" ht="41.25" customHeight="1">
      <c r="A6" s="1009"/>
      <c r="B6" s="1423"/>
      <c r="C6" s="1413"/>
      <c r="D6" s="1423"/>
      <c r="E6" s="1413"/>
      <c r="F6" s="1408"/>
      <c r="G6" s="998" t="s">
        <v>797</v>
      </c>
      <c r="H6" s="998" t="s">
        <v>798</v>
      </c>
      <c r="I6" s="998" t="s">
        <v>799</v>
      </c>
      <c r="J6" s="998" t="s">
        <v>798</v>
      </c>
      <c r="K6" s="1423"/>
      <c r="L6" s="1424"/>
      <c r="M6" s="1423"/>
    </row>
    <row r="7" spans="1:13" ht="18" customHeight="1">
      <c r="A7" s="1010">
        <v>2986</v>
      </c>
      <c r="B7" s="967" t="s">
        <v>352</v>
      </c>
      <c r="C7" s="965">
        <f>SUM('2.mell'!D621)</f>
        <v>212641</v>
      </c>
      <c r="D7" s="728">
        <f>SUM(E7:M7)</f>
        <v>212641</v>
      </c>
      <c r="E7" s="728">
        <f>169400+7792</f>
        <v>177192</v>
      </c>
      <c r="F7" s="966">
        <v>16510</v>
      </c>
      <c r="G7" s="967">
        <v>9477</v>
      </c>
      <c r="H7" s="967"/>
      <c r="I7" s="967"/>
      <c r="J7" s="967"/>
      <c r="K7" s="967">
        <v>9462</v>
      </c>
      <c r="L7" s="967"/>
      <c r="M7" s="968"/>
    </row>
    <row r="8" spans="1:13" ht="22.9" customHeight="1">
      <c r="A8" s="1010">
        <v>2975</v>
      </c>
      <c r="B8" s="1011" t="s">
        <v>1101</v>
      </c>
      <c r="C8" s="965">
        <v>92342</v>
      </c>
      <c r="D8" s="728">
        <f aca="true" t="shared" si="0" ref="D8:D92">SUM(E8:M8)</f>
        <v>92342</v>
      </c>
      <c r="E8" s="728">
        <v>92342</v>
      </c>
      <c r="F8" s="966"/>
      <c r="G8" s="967"/>
      <c r="H8" s="967"/>
      <c r="I8" s="967"/>
      <c r="J8" s="967"/>
      <c r="K8" s="967"/>
      <c r="L8" s="967"/>
      <c r="M8" s="968"/>
    </row>
    <row r="9" spans="1:13" ht="18" customHeight="1">
      <c r="A9" s="1012">
        <v>3011</v>
      </c>
      <c r="B9" s="1013" t="s">
        <v>96</v>
      </c>
      <c r="C9" s="728">
        <f>SUM('3a.m.'!D18)</f>
        <v>21483</v>
      </c>
      <c r="D9" s="728">
        <f>SUM(E9:M9)</f>
        <v>21483</v>
      </c>
      <c r="E9" s="728">
        <f>15450+6000</f>
        <v>21450</v>
      </c>
      <c r="F9" s="729"/>
      <c r="G9" s="998"/>
      <c r="H9" s="998"/>
      <c r="I9" s="998"/>
      <c r="J9" s="998"/>
      <c r="K9" s="730">
        <v>33</v>
      </c>
      <c r="L9" s="998"/>
      <c r="M9" s="731"/>
    </row>
    <row r="10" spans="1:13" ht="18" customHeight="1">
      <c r="A10" s="1012">
        <v>3052</v>
      </c>
      <c r="B10" s="1013" t="s">
        <v>18</v>
      </c>
      <c r="C10" s="728">
        <f>'3c.m.'!D17</f>
        <v>343</v>
      </c>
      <c r="D10" s="728">
        <f>SUM(E10:M10)</f>
        <v>343</v>
      </c>
      <c r="E10" s="728"/>
      <c r="F10" s="729"/>
      <c r="G10" s="998"/>
      <c r="H10" s="998"/>
      <c r="I10" s="998"/>
      <c r="J10" s="998"/>
      <c r="K10" s="730">
        <v>343</v>
      </c>
      <c r="L10" s="998"/>
      <c r="M10" s="731"/>
    </row>
    <row r="11" spans="1:13" ht="18" customHeight="1">
      <c r="A11" s="1012">
        <v>3059</v>
      </c>
      <c r="B11" s="1013" t="s">
        <v>1296</v>
      </c>
      <c r="C11" s="728">
        <f>'3c.m.'!D61</f>
        <v>50000</v>
      </c>
      <c r="D11" s="728">
        <f t="shared" si="0"/>
        <v>50000</v>
      </c>
      <c r="E11" s="728">
        <v>50000</v>
      </c>
      <c r="F11" s="729"/>
      <c r="G11" s="998"/>
      <c r="H11" s="998"/>
      <c r="I11" s="998"/>
      <c r="J11" s="998"/>
      <c r="K11" s="730"/>
      <c r="L11" s="998"/>
      <c r="M11" s="731"/>
    </row>
    <row r="12" spans="1:13" ht="18" customHeight="1">
      <c r="A12" s="1014">
        <v>3141</v>
      </c>
      <c r="B12" s="732" t="s">
        <v>1087</v>
      </c>
      <c r="C12" s="965">
        <f>SUM('3c.m.'!D181)</f>
        <v>11000</v>
      </c>
      <c r="D12" s="728">
        <f t="shared" si="0"/>
        <v>11000</v>
      </c>
      <c r="E12" s="728">
        <v>11000</v>
      </c>
      <c r="F12" s="733"/>
      <c r="G12" s="734"/>
      <c r="H12" s="734"/>
      <c r="I12" s="734"/>
      <c r="J12" s="734"/>
      <c r="K12" s="734"/>
      <c r="L12" s="734"/>
      <c r="M12" s="968"/>
    </row>
    <row r="13" spans="1:13" ht="18" customHeight="1">
      <c r="A13" s="1010">
        <v>3206</v>
      </c>
      <c r="B13" s="1015" t="s">
        <v>469</v>
      </c>
      <c r="C13" s="965">
        <f>SUM('3c.m.'!D288)</f>
        <v>10000</v>
      </c>
      <c r="D13" s="728">
        <f t="shared" si="0"/>
        <v>10000</v>
      </c>
      <c r="E13" s="728">
        <v>10000</v>
      </c>
      <c r="F13" s="733"/>
      <c r="G13" s="734"/>
      <c r="H13" s="734"/>
      <c r="I13" s="734"/>
      <c r="J13" s="734"/>
      <c r="K13" s="734"/>
      <c r="L13" s="734"/>
      <c r="M13" s="968"/>
    </row>
    <row r="14" spans="1:13" ht="18" customHeight="1">
      <c r="A14" s="1014">
        <v>3207</v>
      </c>
      <c r="B14" s="732" t="s">
        <v>256</v>
      </c>
      <c r="C14" s="965">
        <f>SUM('3c.m.'!D296)</f>
        <v>34350</v>
      </c>
      <c r="D14" s="728">
        <f t="shared" si="0"/>
        <v>34350</v>
      </c>
      <c r="E14" s="728">
        <v>32000</v>
      </c>
      <c r="F14" s="733"/>
      <c r="G14" s="734"/>
      <c r="H14" s="734"/>
      <c r="I14" s="734"/>
      <c r="J14" s="734"/>
      <c r="K14" s="734">
        <v>2350</v>
      </c>
      <c r="L14" s="734"/>
      <c r="M14" s="968"/>
    </row>
    <row r="15" spans="1:13" ht="18" customHeight="1">
      <c r="A15" s="1014">
        <v>3209</v>
      </c>
      <c r="B15" s="732" t="s">
        <v>800</v>
      </c>
      <c r="C15" s="965">
        <f>SUM('3c.m.'!D313)</f>
        <v>258</v>
      </c>
      <c r="D15" s="728">
        <f t="shared" si="0"/>
        <v>258</v>
      </c>
      <c r="E15" s="728"/>
      <c r="F15" s="733"/>
      <c r="G15" s="734"/>
      <c r="H15" s="734"/>
      <c r="I15" s="734"/>
      <c r="J15" s="734"/>
      <c r="K15" s="734">
        <v>258</v>
      </c>
      <c r="L15" s="734"/>
      <c r="M15" s="968"/>
    </row>
    <row r="16" spans="1:13" ht="18" customHeight="1">
      <c r="A16" s="1014">
        <v>3217</v>
      </c>
      <c r="B16" s="732" t="s">
        <v>1104</v>
      </c>
      <c r="C16" s="965">
        <f>SUM('3c.m.'!D361)</f>
        <v>143188</v>
      </c>
      <c r="D16" s="728">
        <f t="shared" si="0"/>
        <v>143188</v>
      </c>
      <c r="E16" s="728"/>
      <c r="F16" s="733">
        <f>121220+12700</f>
        <v>133920</v>
      </c>
      <c r="G16" s="734"/>
      <c r="H16" s="734"/>
      <c r="I16" s="734"/>
      <c r="J16" s="734"/>
      <c r="K16" s="734">
        <v>9268</v>
      </c>
      <c r="L16" s="734"/>
      <c r="M16" s="968"/>
    </row>
    <row r="17" spans="1:13" ht="18" customHeight="1">
      <c r="A17" s="1014">
        <v>3221</v>
      </c>
      <c r="B17" s="1016" t="s">
        <v>536</v>
      </c>
      <c r="C17" s="965">
        <f>SUM('3c.m.'!D377)</f>
        <v>2413</v>
      </c>
      <c r="D17" s="728">
        <f t="shared" si="0"/>
        <v>2413</v>
      </c>
      <c r="E17" s="728"/>
      <c r="F17" s="733"/>
      <c r="G17" s="734">
        <v>214</v>
      </c>
      <c r="H17" s="734"/>
      <c r="I17" s="734"/>
      <c r="J17" s="734"/>
      <c r="K17" s="734">
        <v>2199</v>
      </c>
      <c r="L17" s="734"/>
      <c r="M17" s="968"/>
    </row>
    <row r="18" spans="1:13" ht="18" customHeight="1">
      <c r="A18" s="1014">
        <v>3224</v>
      </c>
      <c r="B18" s="1016" t="s">
        <v>1180</v>
      </c>
      <c r="C18" s="965">
        <f>SUM('3c.m.'!D395)</f>
        <v>20192</v>
      </c>
      <c r="D18" s="728">
        <f t="shared" si="0"/>
        <v>20192</v>
      </c>
      <c r="E18" s="728">
        <v>3431</v>
      </c>
      <c r="F18" s="733"/>
      <c r="G18" s="734">
        <v>12434</v>
      </c>
      <c r="H18" s="734"/>
      <c r="I18" s="734"/>
      <c r="J18" s="734"/>
      <c r="K18" s="734">
        <v>4327</v>
      </c>
      <c r="L18" s="734"/>
      <c r="M18" s="968"/>
    </row>
    <row r="19" spans="1:13" ht="18" customHeight="1">
      <c r="A19" s="1014">
        <v>3225</v>
      </c>
      <c r="B19" s="1016" t="s">
        <v>1173</v>
      </c>
      <c r="C19" s="965">
        <f>SUM('3c.m.'!D404)</f>
        <v>8664</v>
      </c>
      <c r="D19" s="728">
        <f t="shared" si="0"/>
        <v>8664</v>
      </c>
      <c r="E19" s="728"/>
      <c r="F19" s="733"/>
      <c r="G19" s="734">
        <v>8664</v>
      </c>
      <c r="H19" s="734"/>
      <c r="I19" s="734"/>
      <c r="J19" s="734"/>
      <c r="K19" s="734"/>
      <c r="L19" s="734"/>
      <c r="M19" s="968"/>
    </row>
    <row r="20" spans="1:13" ht="18" customHeight="1">
      <c r="A20" s="1014">
        <v>3302</v>
      </c>
      <c r="B20" s="732" t="s">
        <v>332</v>
      </c>
      <c r="C20" s="965">
        <v>297694</v>
      </c>
      <c r="D20" s="728">
        <f t="shared" si="0"/>
        <v>297694</v>
      </c>
      <c r="E20" s="728">
        <v>297694</v>
      </c>
      <c r="F20" s="733"/>
      <c r="G20" s="734"/>
      <c r="H20" s="734"/>
      <c r="I20" s="734"/>
      <c r="J20" s="734"/>
      <c r="K20" s="734"/>
      <c r="L20" s="734"/>
      <c r="M20" s="968"/>
    </row>
    <row r="21" spans="1:13" ht="18" customHeight="1">
      <c r="A21" s="1014">
        <v>3303</v>
      </c>
      <c r="B21" s="732" t="s">
        <v>1346</v>
      </c>
      <c r="C21" s="965">
        <f>'3c.m.'!D441</f>
        <v>121</v>
      </c>
      <c r="D21" s="728">
        <f t="shared" si="0"/>
        <v>121</v>
      </c>
      <c r="E21" s="728"/>
      <c r="F21" s="733"/>
      <c r="G21" s="734"/>
      <c r="H21" s="734"/>
      <c r="I21" s="734"/>
      <c r="J21" s="734"/>
      <c r="K21" s="734">
        <v>121</v>
      </c>
      <c r="L21" s="734"/>
      <c r="M21" s="968"/>
    </row>
    <row r="22" spans="1:13" ht="18" customHeight="1">
      <c r="A22" s="1014">
        <v>3304</v>
      </c>
      <c r="B22" s="732" t="s">
        <v>511</v>
      </c>
      <c r="C22" s="965">
        <f>'3c.m.'!D450</f>
        <v>2293</v>
      </c>
      <c r="D22" s="728">
        <f t="shared" si="0"/>
        <v>2293</v>
      </c>
      <c r="E22" s="728"/>
      <c r="F22" s="733"/>
      <c r="G22" s="734"/>
      <c r="H22" s="734"/>
      <c r="I22" s="734"/>
      <c r="J22" s="734"/>
      <c r="K22" s="734">
        <v>2293</v>
      </c>
      <c r="L22" s="734"/>
      <c r="M22" s="968"/>
    </row>
    <row r="23" spans="1:13" ht="18" customHeight="1">
      <c r="A23" s="1014">
        <v>3306</v>
      </c>
      <c r="B23" s="732" t="s">
        <v>1088</v>
      </c>
      <c r="C23" s="965">
        <f>SUM('3c.m.'!D468)</f>
        <v>16054</v>
      </c>
      <c r="D23" s="728">
        <f t="shared" si="0"/>
        <v>16054</v>
      </c>
      <c r="E23" s="728">
        <v>16000</v>
      </c>
      <c r="F23" s="733"/>
      <c r="G23" s="734"/>
      <c r="H23" s="734"/>
      <c r="I23" s="734"/>
      <c r="J23" s="734"/>
      <c r="K23" s="734">
        <v>54</v>
      </c>
      <c r="L23" s="734"/>
      <c r="M23" s="968"/>
    </row>
    <row r="24" spans="1:13" ht="18" customHeight="1">
      <c r="A24" s="1014">
        <v>3307</v>
      </c>
      <c r="B24" s="732" t="s">
        <v>173</v>
      </c>
      <c r="C24" s="965">
        <f>SUM('3c.m.'!D477)</f>
        <v>3063</v>
      </c>
      <c r="D24" s="728">
        <f t="shared" si="0"/>
        <v>3063</v>
      </c>
      <c r="E24" s="728">
        <v>2000</v>
      </c>
      <c r="F24" s="733"/>
      <c r="G24" s="734"/>
      <c r="H24" s="734"/>
      <c r="I24" s="734"/>
      <c r="J24" s="734"/>
      <c r="K24" s="734">
        <v>1063</v>
      </c>
      <c r="L24" s="734"/>
      <c r="M24" s="968"/>
    </row>
    <row r="25" spans="1:13" ht="18" customHeight="1">
      <c r="A25" s="1014">
        <v>3309</v>
      </c>
      <c r="B25" s="732" t="s">
        <v>1105</v>
      </c>
      <c r="C25" s="965">
        <f>SUM('3c.m.'!D485)</f>
        <v>28881</v>
      </c>
      <c r="D25" s="728">
        <f t="shared" si="0"/>
        <v>28881</v>
      </c>
      <c r="E25" s="728">
        <v>28000</v>
      </c>
      <c r="F25" s="733"/>
      <c r="G25" s="734"/>
      <c r="H25" s="734"/>
      <c r="I25" s="734"/>
      <c r="J25" s="734"/>
      <c r="K25" s="734">
        <v>881</v>
      </c>
      <c r="L25" s="734"/>
      <c r="M25" s="968"/>
    </row>
    <row r="26" spans="1:13" ht="18" customHeight="1">
      <c r="A26" s="1014">
        <v>3312</v>
      </c>
      <c r="B26" s="732" t="s">
        <v>334</v>
      </c>
      <c r="C26" s="965">
        <f>SUM('3c.m.'!D509)</f>
        <v>35958</v>
      </c>
      <c r="D26" s="728">
        <f t="shared" si="0"/>
        <v>35958</v>
      </c>
      <c r="E26" s="728">
        <v>35900</v>
      </c>
      <c r="F26" s="733"/>
      <c r="G26" s="734"/>
      <c r="H26" s="734"/>
      <c r="I26" s="734"/>
      <c r="J26" s="734"/>
      <c r="K26" s="734">
        <v>58</v>
      </c>
      <c r="L26" s="734"/>
      <c r="M26" s="968"/>
    </row>
    <row r="27" spans="1:13" ht="18" customHeight="1">
      <c r="A27" s="1014">
        <v>3313</v>
      </c>
      <c r="B27" s="735" t="s">
        <v>10</v>
      </c>
      <c r="C27" s="965">
        <f>SUM('3c.m.'!D517)</f>
        <v>5170</v>
      </c>
      <c r="D27" s="728">
        <f t="shared" si="0"/>
        <v>5170</v>
      </c>
      <c r="E27" s="728">
        <v>5150</v>
      </c>
      <c r="F27" s="733"/>
      <c r="G27" s="734"/>
      <c r="H27" s="734"/>
      <c r="I27" s="734"/>
      <c r="J27" s="734"/>
      <c r="K27" s="734">
        <v>20</v>
      </c>
      <c r="L27" s="734"/>
      <c r="M27" s="968"/>
    </row>
    <row r="28" spans="1:13" ht="18" customHeight="1">
      <c r="A28" s="1014">
        <v>3316</v>
      </c>
      <c r="B28" s="735" t="s">
        <v>115</v>
      </c>
      <c r="C28" s="965">
        <f>SUM('3c.m.'!D533)</f>
        <v>6000</v>
      </c>
      <c r="D28" s="728">
        <f t="shared" si="0"/>
        <v>6000</v>
      </c>
      <c r="E28" s="728">
        <v>6000</v>
      </c>
      <c r="F28" s="733"/>
      <c r="G28" s="734"/>
      <c r="H28" s="734"/>
      <c r="I28" s="734"/>
      <c r="J28" s="734"/>
      <c r="K28" s="734"/>
      <c r="L28" s="734"/>
      <c r="M28" s="968"/>
    </row>
    <row r="29" spans="1:13" ht="18" customHeight="1">
      <c r="A29" s="1014">
        <v>3317</v>
      </c>
      <c r="B29" s="736" t="s">
        <v>1089</v>
      </c>
      <c r="C29" s="965">
        <f>SUM('3c.m.'!D541)</f>
        <v>50045</v>
      </c>
      <c r="D29" s="728">
        <f t="shared" si="0"/>
        <v>50045</v>
      </c>
      <c r="E29" s="728">
        <v>34051</v>
      </c>
      <c r="F29" s="733">
        <v>15949</v>
      </c>
      <c r="G29" s="734"/>
      <c r="H29" s="734"/>
      <c r="I29" s="734"/>
      <c r="J29" s="734"/>
      <c r="K29" s="734">
        <v>45</v>
      </c>
      <c r="L29" s="734"/>
      <c r="M29" s="968"/>
    </row>
    <row r="30" spans="1:13" ht="18" customHeight="1">
      <c r="A30" s="1014">
        <v>3325</v>
      </c>
      <c r="B30" s="732" t="s">
        <v>439</v>
      </c>
      <c r="C30" s="965">
        <f>SUM('3c.m.'!D574)</f>
        <v>25635</v>
      </c>
      <c r="D30" s="728">
        <f t="shared" si="0"/>
        <v>25635</v>
      </c>
      <c r="E30" s="728">
        <v>25600</v>
      </c>
      <c r="F30" s="733"/>
      <c r="G30" s="734"/>
      <c r="H30" s="734"/>
      <c r="I30" s="734"/>
      <c r="J30" s="734"/>
      <c r="K30" s="734">
        <v>35</v>
      </c>
      <c r="L30" s="734"/>
      <c r="M30" s="968"/>
    </row>
    <row r="31" spans="1:13" ht="18" customHeight="1">
      <c r="A31" s="1014">
        <v>3352</v>
      </c>
      <c r="B31" s="732" t="s">
        <v>801</v>
      </c>
      <c r="C31" s="965">
        <f>SUM('3c.m.'!D697)</f>
        <v>25724</v>
      </c>
      <c r="D31" s="728">
        <f t="shared" si="0"/>
        <v>25724</v>
      </c>
      <c r="E31" s="728">
        <v>24000</v>
      </c>
      <c r="F31" s="733"/>
      <c r="G31" s="734"/>
      <c r="H31" s="734"/>
      <c r="I31" s="734"/>
      <c r="J31" s="734"/>
      <c r="K31" s="734">
        <v>1724</v>
      </c>
      <c r="L31" s="734"/>
      <c r="M31" s="968"/>
    </row>
    <row r="32" spans="1:13" ht="18" customHeight="1">
      <c r="A32" s="1014">
        <v>3343</v>
      </c>
      <c r="B32" s="732" t="s">
        <v>1290</v>
      </c>
      <c r="C32" s="965">
        <f>'3c.m.'!D632</f>
        <v>11715</v>
      </c>
      <c r="D32" s="728">
        <f t="shared" si="0"/>
        <v>11715</v>
      </c>
      <c r="E32" s="728">
        <v>11715</v>
      </c>
      <c r="F32" s="733"/>
      <c r="G32" s="734"/>
      <c r="H32" s="734"/>
      <c r="I32" s="734"/>
      <c r="J32" s="734"/>
      <c r="K32" s="734"/>
      <c r="L32" s="734"/>
      <c r="M32" s="968"/>
    </row>
    <row r="33" spans="1:13" ht="18" customHeight="1">
      <c r="A33" s="1014">
        <v>3353</v>
      </c>
      <c r="B33" s="732" t="s">
        <v>1119</v>
      </c>
      <c r="C33" s="965">
        <f>SUM('3c.m.'!D706)</f>
        <v>1500</v>
      </c>
      <c r="D33" s="728">
        <f t="shared" si="0"/>
        <v>1500</v>
      </c>
      <c r="E33" s="728">
        <v>1500</v>
      </c>
      <c r="F33" s="733"/>
      <c r="G33" s="734"/>
      <c r="H33" s="734"/>
      <c r="I33" s="734"/>
      <c r="J33" s="734"/>
      <c r="K33" s="734"/>
      <c r="L33" s="734"/>
      <c r="M33" s="968"/>
    </row>
    <row r="34" spans="1:13" ht="18" customHeight="1">
      <c r="A34" s="1014">
        <v>3355</v>
      </c>
      <c r="B34" s="732" t="s">
        <v>31</v>
      </c>
      <c r="C34" s="965">
        <f>SUM('3c.m.'!D714)</f>
        <v>10447</v>
      </c>
      <c r="D34" s="728">
        <f t="shared" si="0"/>
        <v>10447</v>
      </c>
      <c r="E34" s="728">
        <v>6000</v>
      </c>
      <c r="F34" s="733"/>
      <c r="G34" s="734"/>
      <c r="H34" s="734"/>
      <c r="I34" s="734"/>
      <c r="J34" s="734"/>
      <c r="K34" s="734">
        <v>4447</v>
      </c>
      <c r="L34" s="734"/>
      <c r="M34" s="968"/>
    </row>
    <row r="35" spans="1:13" ht="24.95" customHeight="1">
      <c r="A35" s="1014">
        <v>3356</v>
      </c>
      <c r="B35" s="737" t="s">
        <v>802</v>
      </c>
      <c r="C35" s="965">
        <f>SUM('3c.m.'!D722)</f>
        <v>8399</v>
      </c>
      <c r="D35" s="728">
        <f t="shared" si="0"/>
        <v>8399</v>
      </c>
      <c r="E35" s="728">
        <v>5000</v>
      </c>
      <c r="F35" s="733"/>
      <c r="G35" s="734"/>
      <c r="H35" s="734"/>
      <c r="I35" s="734"/>
      <c r="J35" s="734"/>
      <c r="K35" s="734">
        <v>3399</v>
      </c>
      <c r="L35" s="734"/>
      <c r="M35" s="968"/>
    </row>
    <row r="36" spans="1:13" ht="24.95" customHeight="1">
      <c r="A36" s="1014">
        <v>3411</v>
      </c>
      <c r="B36" s="737" t="s">
        <v>1357</v>
      </c>
      <c r="C36" s="965">
        <f>'3c.m.'!D749</f>
        <v>25000</v>
      </c>
      <c r="D36" s="728">
        <f t="shared" si="0"/>
        <v>25000</v>
      </c>
      <c r="E36" s="728"/>
      <c r="F36" s="733"/>
      <c r="G36" s="734"/>
      <c r="H36" s="734"/>
      <c r="I36" s="734"/>
      <c r="J36" s="734"/>
      <c r="K36" s="734">
        <v>25000</v>
      </c>
      <c r="L36" s="734"/>
      <c r="M36" s="968"/>
    </row>
    <row r="37" spans="1:13" ht="18" customHeight="1">
      <c r="A37" s="1014">
        <v>3416</v>
      </c>
      <c r="B37" s="732" t="s">
        <v>146</v>
      </c>
      <c r="C37" s="965">
        <f>SUM('3c.m.'!D783)</f>
        <v>27500</v>
      </c>
      <c r="D37" s="728">
        <f t="shared" si="0"/>
        <v>27500</v>
      </c>
      <c r="E37" s="728">
        <v>20000</v>
      </c>
      <c r="F37" s="733"/>
      <c r="G37" s="734"/>
      <c r="H37" s="734"/>
      <c r="I37" s="734"/>
      <c r="J37" s="734"/>
      <c r="K37" s="734">
        <v>7500</v>
      </c>
      <c r="L37" s="734"/>
      <c r="M37" s="968"/>
    </row>
    <row r="38" spans="1:13" ht="18" customHeight="1">
      <c r="A38" s="1014">
        <v>3421</v>
      </c>
      <c r="B38" s="732" t="s">
        <v>349</v>
      </c>
      <c r="C38" s="965">
        <f>SUM('3c.m.'!D792)</f>
        <v>41634</v>
      </c>
      <c r="D38" s="728">
        <f t="shared" si="0"/>
        <v>41634</v>
      </c>
      <c r="E38" s="728">
        <v>20000</v>
      </c>
      <c r="F38" s="733"/>
      <c r="G38" s="734"/>
      <c r="H38" s="734"/>
      <c r="I38" s="734"/>
      <c r="J38" s="734"/>
      <c r="K38" s="734">
        <v>21634</v>
      </c>
      <c r="L38" s="734"/>
      <c r="M38" s="968"/>
    </row>
    <row r="39" spans="1:13" ht="18" customHeight="1">
      <c r="A39" s="1014">
        <v>3422</v>
      </c>
      <c r="B39" s="732" t="s">
        <v>119</v>
      </c>
      <c r="C39" s="965">
        <f>SUM('3c.m.'!D800)</f>
        <v>39036</v>
      </c>
      <c r="D39" s="728">
        <f t="shared" si="0"/>
        <v>39036</v>
      </c>
      <c r="E39" s="728"/>
      <c r="F39" s="733">
        <f>15700-15000</f>
        <v>700</v>
      </c>
      <c r="G39" s="734"/>
      <c r="H39" s="734"/>
      <c r="I39" s="734"/>
      <c r="J39" s="734"/>
      <c r="K39" s="734">
        <v>38336</v>
      </c>
      <c r="L39" s="734"/>
      <c r="M39" s="968"/>
    </row>
    <row r="40" spans="1:13" ht="18" customHeight="1">
      <c r="A40" s="1014">
        <v>3423</v>
      </c>
      <c r="B40" s="732" t="s">
        <v>118</v>
      </c>
      <c r="C40" s="965">
        <f>SUM('3c.m.'!D808)</f>
        <v>14491</v>
      </c>
      <c r="D40" s="728">
        <f t="shared" si="0"/>
        <v>14491</v>
      </c>
      <c r="E40" s="728">
        <f>7000+7000</f>
        <v>14000</v>
      </c>
      <c r="F40" s="733"/>
      <c r="G40" s="734"/>
      <c r="H40" s="734"/>
      <c r="I40" s="734"/>
      <c r="J40" s="734"/>
      <c r="K40" s="734">
        <v>491</v>
      </c>
      <c r="L40" s="734"/>
      <c r="M40" s="968"/>
    </row>
    <row r="41" spans="1:13" ht="18" customHeight="1">
      <c r="A41" s="1014">
        <v>3424</v>
      </c>
      <c r="B41" s="732" t="s">
        <v>1295</v>
      </c>
      <c r="C41" s="965">
        <f>'3c.m.'!D816</f>
        <v>15300</v>
      </c>
      <c r="D41" s="728">
        <f t="shared" si="0"/>
        <v>15300</v>
      </c>
      <c r="E41" s="728">
        <v>15300</v>
      </c>
      <c r="F41" s="733"/>
      <c r="G41" s="734"/>
      <c r="H41" s="734"/>
      <c r="I41" s="734"/>
      <c r="J41" s="734"/>
      <c r="K41" s="734"/>
      <c r="L41" s="734"/>
      <c r="M41" s="968"/>
    </row>
    <row r="42" spans="1:13" ht="18" customHeight="1">
      <c r="A42" s="1014">
        <v>3425</v>
      </c>
      <c r="B42" s="732" t="s">
        <v>1347</v>
      </c>
      <c r="C42" s="965">
        <f>'3c.m.'!D824</f>
        <v>4939</v>
      </c>
      <c r="D42" s="728">
        <f t="shared" si="0"/>
        <v>4939</v>
      </c>
      <c r="E42" s="728"/>
      <c r="F42" s="733"/>
      <c r="G42" s="734"/>
      <c r="H42" s="734"/>
      <c r="I42" s="734"/>
      <c r="J42" s="734"/>
      <c r="K42" s="734">
        <v>4939</v>
      </c>
      <c r="L42" s="734"/>
      <c r="M42" s="968"/>
    </row>
    <row r="43" spans="1:13" ht="18" customHeight="1">
      <c r="A43" s="1014">
        <v>3426</v>
      </c>
      <c r="B43" s="732" t="s">
        <v>1369</v>
      </c>
      <c r="C43" s="965">
        <f>'3c.m.'!D832</f>
        <v>3000</v>
      </c>
      <c r="D43" s="728">
        <f t="shared" si="0"/>
        <v>3000</v>
      </c>
      <c r="E43" s="728"/>
      <c r="F43" s="733"/>
      <c r="G43" s="734"/>
      <c r="H43" s="734"/>
      <c r="I43" s="734"/>
      <c r="J43" s="734"/>
      <c r="K43" s="734">
        <v>3000</v>
      </c>
      <c r="L43" s="734"/>
      <c r="M43" s="968"/>
    </row>
    <row r="44" spans="1:13" ht="18" customHeight="1">
      <c r="A44" s="1014">
        <v>3427</v>
      </c>
      <c r="B44" s="732" t="s">
        <v>1358</v>
      </c>
      <c r="C44" s="965">
        <f>'3c.m.'!D840</f>
        <v>3000</v>
      </c>
      <c r="D44" s="728">
        <f t="shared" si="0"/>
        <v>3000</v>
      </c>
      <c r="E44" s="728"/>
      <c r="F44" s="733"/>
      <c r="G44" s="734"/>
      <c r="H44" s="734"/>
      <c r="I44" s="734"/>
      <c r="J44" s="734"/>
      <c r="K44" s="734">
        <v>3000</v>
      </c>
      <c r="L44" s="734"/>
      <c r="M44" s="968"/>
    </row>
    <row r="45" spans="1:13" ht="18" customHeight="1">
      <c r="A45" s="1014">
        <v>3433</v>
      </c>
      <c r="B45" s="732" t="s">
        <v>1378</v>
      </c>
      <c r="C45" s="965">
        <f>'3c.m.'!D880</f>
        <v>15000</v>
      </c>
      <c r="D45" s="728">
        <f t="shared" si="0"/>
        <v>15000</v>
      </c>
      <c r="E45" s="728"/>
      <c r="F45" s="733">
        <v>15000</v>
      </c>
      <c r="G45" s="734"/>
      <c r="H45" s="734"/>
      <c r="I45" s="734"/>
      <c r="J45" s="734"/>
      <c r="K45" s="734"/>
      <c r="L45" s="734"/>
      <c r="M45" s="968"/>
    </row>
    <row r="46" spans="1:13" ht="18" customHeight="1">
      <c r="A46" s="1014">
        <v>3924</v>
      </c>
      <c r="B46" s="732" t="s">
        <v>803</v>
      </c>
      <c r="C46" s="965">
        <f>SUM('3d.m.'!D12)</f>
        <v>9000</v>
      </c>
      <c r="D46" s="728">
        <f t="shared" si="0"/>
        <v>9000</v>
      </c>
      <c r="E46" s="728">
        <v>9000</v>
      </c>
      <c r="F46" s="966"/>
      <c r="G46" s="967"/>
      <c r="H46" s="967"/>
      <c r="I46" s="967"/>
      <c r="J46" s="967"/>
      <c r="K46" s="967"/>
      <c r="L46" s="967"/>
      <c r="M46" s="968"/>
    </row>
    <row r="47" spans="1:13" ht="18" customHeight="1">
      <c r="A47" s="1014">
        <v>3926</v>
      </c>
      <c r="B47" s="732" t="s">
        <v>1270</v>
      </c>
      <c r="C47" s="965">
        <f>'3d.m.'!D14</f>
        <v>2000</v>
      </c>
      <c r="D47" s="728">
        <f t="shared" si="0"/>
        <v>2000</v>
      </c>
      <c r="E47" s="728"/>
      <c r="F47" s="966">
        <v>2000</v>
      </c>
      <c r="G47" s="967"/>
      <c r="H47" s="967"/>
      <c r="I47" s="967"/>
      <c r="J47" s="967"/>
      <c r="K47" s="967"/>
      <c r="L47" s="967"/>
      <c r="M47" s="968"/>
    </row>
    <row r="48" spans="1:13" ht="18" customHeight="1">
      <c r="A48" s="1014">
        <v>3927</v>
      </c>
      <c r="B48" s="732" t="s">
        <v>476</v>
      </c>
      <c r="C48" s="965">
        <f>SUM('3d.m.'!D15)</f>
        <v>3000</v>
      </c>
      <c r="D48" s="728">
        <f t="shared" si="0"/>
        <v>3000</v>
      </c>
      <c r="E48" s="728">
        <v>3000</v>
      </c>
      <c r="F48" s="966"/>
      <c r="G48" s="967"/>
      <c r="H48" s="967"/>
      <c r="I48" s="967"/>
      <c r="J48" s="967"/>
      <c r="K48" s="967"/>
      <c r="L48" s="967"/>
      <c r="M48" s="968"/>
    </row>
    <row r="49" spans="1:13" ht="18" customHeight="1">
      <c r="A49" s="1010">
        <v>3928</v>
      </c>
      <c r="B49" s="967" t="s">
        <v>130</v>
      </c>
      <c r="C49" s="965">
        <f>SUM('3d.m.'!D16)</f>
        <v>182932</v>
      </c>
      <c r="D49" s="728">
        <f t="shared" si="0"/>
        <v>182932</v>
      </c>
      <c r="E49" s="728">
        <v>10000</v>
      </c>
      <c r="F49" s="966">
        <v>103000</v>
      </c>
      <c r="G49" s="967"/>
      <c r="H49" s="967"/>
      <c r="I49" s="967"/>
      <c r="J49" s="967"/>
      <c r="K49" s="967">
        <v>69932</v>
      </c>
      <c r="L49" s="967"/>
      <c r="M49" s="968"/>
    </row>
    <row r="50" spans="1:13" ht="18" customHeight="1">
      <c r="A50" s="1014">
        <v>3932</v>
      </c>
      <c r="B50" s="732" t="s">
        <v>804</v>
      </c>
      <c r="C50" s="965">
        <f>SUM('3d.m.'!D25)</f>
        <v>12500</v>
      </c>
      <c r="D50" s="728">
        <f t="shared" si="0"/>
        <v>12500</v>
      </c>
      <c r="E50" s="728"/>
      <c r="F50" s="966">
        <v>12500</v>
      </c>
      <c r="G50" s="967"/>
      <c r="H50" s="967"/>
      <c r="I50" s="967"/>
      <c r="J50" s="967"/>
      <c r="K50" s="967"/>
      <c r="L50" s="967"/>
      <c r="M50" s="968"/>
    </row>
    <row r="51" spans="1:13" ht="24" customHeight="1">
      <c r="A51" s="1014">
        <v>3941</v>
      </c>
      <c r="B51" s="737" t="s">
        <v>805</v>
      </c>
      <c r="C51" s="965">
        <f>SUM('3d.m.'!D28)</f>
        <v>587000</v>
      </c>
      <c r="D51" s="728">
        <f t="shared" si="0"/>
        <v>587000</v>
      </c>
      <c r="E51" s="728"/>
      <c r="F51" s="966">
        <v>587000</v>
      </c>
      <c r="G51" s="967"/>
      <c r="H51" s="967"/>
      <c r="I51" s="967"/>
      <c r="J51" s="967"/>
      <c r="K51" s="967"/>
      <c r="L51" s="967"/>
      <c r="M51" s="968"/>
    </row>
    <row r="52" spans="1:13" ht="18" customHeight="1">
      <c r="A52" s="1010">
        <v>3943</v>
      </c>
      <c r="B52" s="967" t="s">
        <v>6</v>
      </c>
      <c r="C52" s="965">
        <f>SUM('3d.m.'!D29)</f>
        <v>1500</v>
      </c>
      <c r="D52" s="728">
        <f t="shared" si="0"/>
        <v>1500</v>
      </c>
      <c r="E52" s="728"/>
      <c r="F52" s="966">
        <v>1000</v>
      </c>
      <c r="G52" s="967"/>
      <c r="H52" s="967"/>
      <c r="I52" s="967"/>
      <c r="J52" s="967"/>
      <c r="K52" s="967">
        <v>500</v>
      </c>
      <c r="L52" s="967"/>
      <c r="M52" s="968"/>
    </row>
    <row r="53" spans="1:13" ht="18" customHeight="1">
      <c r="A53" s="1010">
        <v>3972</v>
      </c>
      <c r="B53" s="967" t="s">
        <v>806</v>
      </c>
      <c r="C53" s="965">
        <f>SUM('3d.m.'!D37)</f>
        <v>32583</v>
      </c>
      <c r="D53" s="728">
        <f t="shared" si="0"/>
        <v>32583</v>
      </c>
      <c r="E53" s="728"/>
      <c r="F53" s="966">
        <v>30000</v>
      </c>
      <c r="G53" s="967"/>
      <c r="H53" s="967"/>
      <c r="I53" s="967"/>
      <c r="J53" s="967"/>
      <c r="K53" s="967">
        <v>2583</v>
      </c>
      <c r="L53" s="967"/>
      <c r="M53" s="969"/>
    </row>
    <row r="54" spans="1:13" ht="18" customHeight="1">
      <c r="A54" s="1010">
        <v>3973</v>
      </c>
      <c r="B54" s="967" t="s">
        <v>1150</v>
      </c>
      <c r="C54" s="965">
        <f>SUM('3d.m.'!D38)</f>
        <v>7546</v>
      </c>
      <c r="D54" s="728">
        <f t="shared" si="0"/>
        <v>7546</v>
      </c>
      <c r="E54" s="728"/>
      <c r="F54" s="966">
        <v>5100</v>
      </c>
      <c r="G54" s="967"/>
      <c r="H54" s="967"/>
      <c r="I54" s="967"/>
      <c r="J54" s="967"/>
      <c r="K54" s="967">
        <v>2446</v>
      </c>
      <c r="L54" s="967"/>
      <c r="M54" s="969"/>
    </row>
    <row r="55" spans="1:13" ht="18" customHeight="1">
      <c r="A55" s="1010">
        <v>3974</v>
      </c>
      <c r="B55" s="967" t="s">
        <v>1151</v>
      </c>
      <c r="C55" s="965">
        <f>SUM('3d.m.'!D42)</f>
        <v>10000</v>
      </c>
      <c r="D55" s="728">
        <f t="shared" si="0"/>
        <v>10000</v>
      </c>
      <c r="E55" s="728"/>
      <c r="F55" s="966">
        <v>10000</v>
      </c>
      <c r="G55" s="967"/>
      <c r="H55" s="967"/>
      <c r="I55" s="967"/>
      <c r="J55" s="967"/>
      <c r="K55" s="967"/>
      <c r="L55" s="967"/>
      <c r="M55" s="969"/>
    </row>
    <row r="56" spans="1:13" ht="18" customHeight="1">
      <c r="A56" s="1010">
        <v>3975</v>
      </c>
      <c r="B56" s="967" t="s">
        <v>1271</v>
      </c>
      <c r="C56" s="965">
        <f>'3d.m.'!D43</f>
        <v>10000</v>
      </c>
      <c r="D56" s="728">
        <f t="shared" si="0"/>
        <v>10000</v>
      </c>
      <c r="E56" s="728"/>
      <c r="F56" s="966">
        <v>10000</v>
      </c>
      <c r="G56" s="967"/>
      <c r="H56" s="967"/>
      <c r="I56" s="967"/>
      <c r="J56" s="967"/>
      <c r="K56" s="967"/>
      <c r="L56" s="967"/>
      <c r="M56" s="969"/>
    </row>
    <row r="57" spans="1:13" ht="18" customHeight="1">
      <c r="A57" s="1010">
        <v>3988</v>
      </c>
      <c r="B57" s="1017" t="s">
        <v>807</v>
      </c>
      <c r="C57" s="965">
        <f>SUM('3d.m.'!D46)</f>
        <v>800</v>
      </c>
      <c r="D57" s="728">
        <f t="shared" si="0"/>
        <v>800</v>
      </c>
      <c r="E57" s="728"/>
      <c r="F57" s="966">
        <v>800</v>
      </c>
      <c r="G57" s="967"/>
      <c r="H57" s="967"/>
      <c r="I57" s="967"/>
      <c r="J57" s="967"/>
      <c r="K57" s="967"/>
      <c r="L57" s="967"/>
      <c r="M57" s="969"/>
    </row>
    <row r="58" spans="1:13" ht="18" customHeight="1">
      <c r="A58" s="1010">
        <v>3989</v>
      </c>
      <c r="B58" s="1017" t="s">
        <v>316</v>
      </c>
      <c r="C58" s="965">
        <f>SUM('3d.m.'!D47)</f>
        <v>3000</v>
      </c>
      <c r="D58" s="728">
        <f t="shared" si="0"/>
        <v>3000</v>
      </c>
      <c r="E58" s="728"/>
      <c r="F58" s="966">
        <v>3000</v>
      </c>
      <c r="G58" s="967"/>
      <c r="H58" s="967"/>
      <c r="I58" s="967"/>
      <c r="J58" s="967"/>
      <c r="K58" s="967"/>
      <c r="L58" s="967"/>
      <c r="M58" s="969"/>
    </row>
    <row r="59" spans="1:13" ht="18" customHeight="1">
      <c r="A59" s="1010">
        <v>3990</v>
      </c>
      <c r="B59" s="1018" t="s">
        <v>274</v>
      </c>
      <c r="C59" s="965">
        <f>SUM('3d.m.'!D48)</f>
        <v>1000</v>
      </c>
      <c r="D59" s="728">
        <f t="shared" si="0"/>
        <v>1000</v>
      </c>
      <c r="E59" s="728"/>
      <c r="F59" s="966">
        <v>1000</v>
      </c>
      <c r="G59" s="967"/>
      <c r="H59" s="967"/>
      <c r="I59" s="967"/>
      <c r="J59" s="967"/>
      <c r="K59" s="967"/>
      <c r="L59" s="967"/>
      <c r="M59" s="969"/>
    </row>
    <row r="60" spans="1:13" ht="18" customHeight="1">
      <c r="A60" s="1010">
        <v>3991</v>
      </c>
      <c r="B60" s="1018" t="s">
        <v>313</v>
      </c>
      <c r="C60" s="965">
        <f>SUM('3d.m.'!D49)</f>
        <v>4820</v>
      </c>
      <c r="D60" s="728">
        <f t="shared" si="0"/>
        <v>4820</v>
      </c>
      <c r="E60" s="728"/>
      <c r="F60" s="966">
        <v>4820</v>
      </c>
      <c r="G60" s="967"/>
      <c r="H60" s="967"/>
      <c r="I60" s="967"/>
      <c r="J60" s="967"/>
      <c r="K60" s="967"/>
      <c r="L60" s="967"/>
      <c r="M60" s="969"/>
    </row>
    <row r="61" spans="1:13" ht="18" customHeight="1">
      <c r="A61" s="1019">
        <v>3992</v>
      </c>
      <c r="B61" s="1018" t="s">
        <v>275</v>
      </c>
      <c r="C61" s="965">
        <f>SUM('3d.m.'!D50)</f>
        <v>1400</v>
      </c>
      <c r="D61" s="728">
        <f t="shared" si="0"/>
        <v>1400</v>
      </c>
      <c r="E61" s="728"/>
      <c r="F61" s="966">
        <v>1400</v>
      </c>
      <c r="G61" s="967"/>
      <c r="H61" s="967"/>
      <c r="I61" s="967"/>
      <c r="J61" s="967"/>
      <c r="K61" s="967"/>
      <c r="L61" s="967"/>
      <c r="M61" s="969"/>
    </row>
    <row r="62" spans="1:13" ht="18" customHeight="1">
      <c r="A62" s="1010">
        <v>3993</v>
      </c>
      <c r="B62" s="1018" t="s">
        <v>276</v>
      </c>
      <c r="C62" s="965">
        <f>SUM('3d.m.'!D51)</f>
        <v>900</v>
      </c>
      <c r="D62" s="728">
        <f t="shared" si="0"/>
        <v>900</v>
      </c>
      <c r="E62" s="728"/>
      <c r="F62" s="966">
        <v>900</v>
      </c>
      <c r="G62" s="967"/>
      <c r="H62" s="967"/>
      <c r="I62" s="967"/>
      <c r="J62" s="967"/>
      <c r="K62" s="967"/>
      <c r="L62" s="967"/>
      <c r="M62" s="969"/>
    </row>
    <row r="63" spans="1:13" ht="18" customHeight="1">
      <c r="A63" s="1010">
        <v>3994</v>
      </c>
      <c r="B63" s="1018" t="s">
        <v>85</v>
      </c>
      <c r="C63" s="965">
        <f>SUM('3d.m.'!D52)</f>
        <v>900</v>
      </c>
      <c r="D63" s="728">
        <f t="shared" si="0"/>
        <v>900</v>
      </c>
      <c r="E63" s="728"/>
      <c r="F63" s="966">
        <v>900</v>
      </c>
      <c r="G63" s="967"/>
      <c r="H63" s="967"/>
      <c r="I63" s="967"/>
      <c r="J63" s="967"/>
      <c r="K63" s="967"/>
      <c r="L63" s="967"/>
      <c r="M63" s="969"/>
    </row>
    <row r="64" spans="1:13" ht="18" customHeight="1">
      <c r="A64" s="1010">
        <v>3995</v>
      </c>
      <c r="B64" s="1018" t="s">
        <v>86</v>
      </c>
      <c r="C64" s="965">
        <f>SUM('3d.m.'!D53)</f>
        <v>900</v>
      </c>
      <c r="D64" s="728">
        <f t="shared" si="0"/>
        <v>900</v>
      </c>
      <c r="E64" s="728"/>
      <c r="F64" s="966">
        <v>900</v>
      </c>
      <c r="G64" s="967"/>
      <c r="H64" s="967"/>
      <c r="I64" s="967"/>
      <c r="J64" s="967"/>
      <c r="K64" s="967"/>
      <c r="L64" s="967"/>
      <c r="M64" s="969"/>
    </row>
    <row r="65" spans="1:13" ht="18" customHeight="1">
      <c r="A65" s="1010">
        <v>3997</v>
      </c>
      <c r="B65" s="1018" t="s">
        <v>87</v>
      </c>
      <c r="C65" s="965">
        <f>SUM('3d.m.'!D54)</f>
        <v>900</v>
      </c>
      <c r="D65" s="728">
        <f t="shared" si="0"/>
        <v>900</v>
      </c>
      <c r="E65" s="728"/>
      <c r="F65" s="966">
        <v>900</v>
      </c>
      <c r="G65" s="967"/>
      <c r="H65" s="967"/>
      <c r="I65" s="967"/>
      <c r="J65" s="967"/>
      <c r="K65" s="967"/>
      <c r="L65" s="967"/>
      <c r="M65" s="969"/>
    </row>
    <row r="66" spans="1:13" ht="18" customHeight="1">
      <c r="A66" s="1010">
        <v>3998</v>
      </c>
      <c r="B66" s="1018" t="s">
        <v>88</v>
      </c>
      <c r="C66" s="965">
        <f>SUM('3d.m.'!D55)</f>
        <v>900</v>
      </c>
      <c r="D66" s="728">
        <f t="shared" si="0"/>
        <v>900</v>
      </c>
      <c r="E66" s="728"/>
      <c r="F66" s="966">
        <v>900</v>
      </c>
      <c r="G66" s="967"/>
      <c r="H66" s="967"/>
      <c r="I66" s="967"/>
      <c r="J66" s="967"/>
      <c r="K66" s="967"/>
      <c r="L66" s="967"/>
      <c r="M66" s="969"/>
    </row>
    <row r="67" spans="1:13" ht="18" customHeight="1">
      <c r="A67" s="1010">
        <v>3999</v>
      </c>
      <c r="B67" s="1018" t="s">
        <v>89</v>
      </c>
      <c r="C67" s="965">
        <f>SUM('3d.m.'!D56)</f>
        <v>1000</v>
      </c>
      <c r="D67" s="728">
        <f t="shared" si="0"/>
        <v>1000</v>
      </c>
      <c r="E67" s="728"/>
      <c r="F67" s="966">
        <v>1000</v>
      </c>
      <c r="G67" s="967"/>
      <c r="H67" s="967"/>
      <c r="I67" s="967"/>
      <c r="J67" s="967"/>
      <c r="K67" s="967"/>
      <c r="L67" s="967"/>
      <c r="M67" s="969"/>
    </row>
    <row r="68" spans="1:13" ht="18" customHeight="1">
      <c r="A68" s="1010">
        <v>4020</v>
      </c>
      <c r="B68" s="1018" t="s">
        <v>1147</v>
      </c>
      <c r="C68" s="965">
        <f>SUM('4.mell.'!D16)</f>
        <v>25461</v>
      </c>
      <c r="D68" s="728">
        <f t="shared" si="0"/>
        <v>25461</v>
      </c>
      <c r="E68" s="728"/>
      <c r="F68" s="966">
        <v>20000</v>
      </c>
      <c r="G68" s="967"/>
      <c r="H68" s="967"/>
      <c r="I68" s="967"/>
      <c r="J68" s="967"/>
      <c r="K68" s="967">
        <v>5461</v>
      </c>
      <c r="L68" s="967"/>
      <c r="M68" s="969"/>
    </row>
    <row r="69" spans="1:13" ht="18" customHeight="1">
      <c r="A69" s="1010">
        <v>4119</v>
      </c>
      <c r="B69" s="1018" t="s">
        <v>1373</v>
      </c>
      <c r="C69" s="965">
        <f>'4.mell.'!D23</f>
        <v>77000</v>
      </c>
      <c r="D69" s="728">
        <f t="shared" si="0"/>
        <v>77000</v>
      </c>
      <c r="E69" s="728"/>
      <c r="F69" s="966"/>
      <c r="G69" s="967"/>
      <c r="H69" s="967"/>
      <c r="I69" s="967"/>
      <c r="J69" s="967"/>
      <c r="K69" s="967">
        <v>77000</v>
      </c>
      <c r="L69" s="967"/>
      <c r="M69" s="969"/>
    </row>
    <row r="70" spans="1:13" ht="18" customHeight="1">
      <c r="A70" s="1010">
        <v>4132</v>
      </c>
      <c r="B70" s="967" t="s">
        <v>106</v>
      </c>
      <c r="C70" s="965">
        <f>SUM('4.mell.'!D46)</f>
        <v>23666</v>
      </c>
      <c r="D70" s="728">
        <f t="shared" si="0"/>
        <v>23666</v>
      </c>
      <c r="E70" s="728"/>
      <c r="F70" s="966"/>
      <c r="G70" s="967"/>
      <c r="H70" s="967"/>
      <c r="I70" s="967"/>
      <c r="J70" s="967"/>
      <c r="K70" s="967">
        <v>17666</v>
      </c>
      <c r="L70" s="967"/>
      <c r="M70" s="969">
        <v>6000</v>
      </c>
    </row>
    <row r="71" spans="1:13" ht="18" customHeight="1">
      <c r="A71" s="1010">
        <v>4120</v>
      </c>
      <c r="B71" s="1020" t="s">
        <v>808</v>
      </c>
      <c r="C71" s="965">
        <f>SUM('4.mell.'!D25)</f>
        <v>589289</v>
      </c>
      <c r="D71" s="728">
        <f t="shared" si="0"/>
        <v>589289</v>
      </c>
      <c r="E71" s="728"/>
      <c r="F71" s="966"/>
      <c r="G71" s="967"/>
      <c r="H71" s="967">
        <v>5000</v>
      </c>
      <c r="I71" s="967"/>
      <c r="J71" s="967"/>
      <c r="K71" s="967">
        <f>570421+13868</f>
        <v>584289</v>
      </c>
      <c r="L71" s="967"/>
      <c r="M71" s="969"/>
    </row>
    <row r="72" spans="1:13" ht="18" customHeight="1">
      <c r="A72" s="1010">
        <v>4140</v>
      </c>
      <c r="B72" s="1020" t="s">
        <v>1252</v>
      </c>
      <c r="C72" s="965">
        <f>SUM('4.mell.'!D48)</f>
        <v>20000</v>
      </c>
      <c r="D72" s="728">
        <f t="shared" si="0"/>
        <v>20000</v>
      </c>
      <c r="E72" s="728">
        <v>11245</v>
      </c>
      <c r="F72" s="966">
        <v>3755</v>
      </c>
      <c r="G72" s="967"/>
      <c r="H72" s="967"/>
      <c r="I72" s="967"/>
      <c r="J72" s="967"/>
      <c r="K72" s="967">
        <v>5000</v>
      </c>
      <c r="L72" s="967"/>
      <c r="M72" s="969"/>
    </row>
    <row r="73" spans="1:13" ht="18" customHeight="1">
      <c r="A73" s="1010">
        <v>4228</v>
      </c>
      <c r="B73" s="1020" t="s">
        <v>1279</v>
      </c>
      <c r="C73" s="965">
        <f>'4.mell.'!D64</f>
        <v>5000</v>
      </c>
      <c r="D73" s="728">
        <f t="shared" si="0"/>
        <v>5000</v>
      </c>
      <c r="E73" s="728"/>
      <c r="F73" s="966">
        <v>5000</v>
      </c>
      <c r="G73" s="967"/>
      <c r="H73" s="967"/>
      <c r="I73" s="967"/>
      <c r="J73" s="967"/>
      <c r="K73" s="967"/>
      <c r="L73" s="967"/>
      <c r="M73" s="969"/>
    </row>
    <row r="74" spans="1:13" ht="18" customHeight="1">
      <c r="A74" s="1010">
        <v>4264</v>
      </c>
      <c r="B74" s="1020" t="s">
        <v>1377</v>
      </c>
      <c r="C74" s="965">
        <f>'4.mell.'!D66</f>
        <v>20000</v>
      </c>
      <c r="D74" s="728">
        <f t="shared" si="0"/>
        <v>20000</v>
      </c>
      <c r="E74" s="728"/>
      <c r="F74" s="966">
        <v>20000</v>
      </c>
      <c r="G74" s="967"/>
      <c r="H74" s="967"/>
      <c r="I74" s="967"/>
      <c r="J74" s="967"/>
      <c r="K74" s="967"/>
      <c r="L74" s="967"/>
      <c r="M74" s="969"/>
    </row>
    <row r="75" spans="1:13" ht="18" customHeight="1">
      <c r="A75" s="1010">
        <v>4323</v>
      </c>
      <c r="B75" s="1020" t="s">
        <v>809</v>
      </c>
      <c r="C75" s="965">
        <f>SUM('4.mell.'!D75)</f>
        <v>153640</v>
      </c>
      <c r="D75" s="728">
        <f t="shared" si="0"/>
        <v>153640</v>
      </c>
      <c r="E75" s="728"/>
      <c r="F75" s="966"/>
      <c r="G75" s="967"/>
      <c r="H75" s="967"/>
      <c r="I75" s="967"/>
      <c r="J75" s="967"/>
      <c r="K75" s="967">
        <v>153640</v>
      </c>
      <c r="L75" s="967"/>
      <c r="M75" s="969"/>
    </row>
    <row r="76" spans="1:13" ht="18" customHeight="1">
      <c r="A76" s="1010">
        <v>4324</v>
      </c>
      <c r="B76" s="1020" t="s">
        <v>810</v>
      </c>
      <c r="C76" s="965">
        <f>SUM('4.mell.'!D76)</f>
        <v>3041482</v>
      </c>
      <c r="D76" s="728">
        <f t="shared" si="0"/>
        <v>3041482</v>
      </c>
      <c r="E76" s="728"/>
      <c r="F76" s="966"/>
      <c r="G76" s="967"/>
      <c r="H76" s="967">
        <v>19052</v>
      </c>
      <c r="I76" s="967"/>
      <c r="J76" s="967"/>
      <c r="K76" s="967">
        <v>618149</v>
      </c>
      <c r="L76" s="967">
        <v>2404281</v>
      </c>
      <c r="M76" s="969"/>
    </row>
    <row r="77" spans="1:13" ht="18" customHeight="1">
      <c r="A77" s="1010">
        <v>5011</v>
      </c>
      <c r="B77" s="1020" t="s">
        <v>1251</v>
      </c>
      <c r="C77" s="965">
        <f>SUM('5.mell. '!D11)</f>
        <v>65000</v>
      </c>
      <c r="D77" s="728">
        <f t="shared" si="0"/>
        <v>65000</v>
      </c>
      <c r="E77" s="728"/>
      <c r="F77" s="966">
        <v>65000</v>
      </c>
      <c r="G77" s="967"/>
      <c r="H77" s="967"/>
      <c r="I77" s="967"/>
      <c r="J77" s="967"/>
      <c r="K77" s="967"/>
      <c r="L77" s="967"/>
      <c r="M77" s="969"/>
    </row>
    <row r="78" spans="1:13" ht="18" customHeight="1">
      <c r="A78" s="1010">
        <v>5012</v>
      </c>
      <c r="B78" s="1020" t="s">
        <v>1294</v>
      </c>
      <c r="C78" s="965">
        <f>'5.mell. '!D12</f>
        <v>1000</v>
      </c>
      <c r="D78" s="728">
        <f t="shared" si="0"/>
        <v>1000</v>
      </c>
      <c r="E78" s="728"/>
      <c r="F78" s="966">
        <v>1000</v>
      </c>
      <c r="G78" s="967"/>
      <c r="H78" s="967"/>
      <c r="I78" s="967"/>
      <c r="J78" s="967"/>
      <c r="K78" s="967"/>
      <c r="L78" s="967"/>
      <c r="M78" s="969"/>
    </row>
    <row r="79" spans="1:13" ht="18" customHeight="1">
      <c r="A79" s="1010">
        <v>5013</v>
      </c>
      <c r="B79" s="738" t="s">
        <v>446</v>
      </c>
      <c r="C79" s="965">
        <f>SUM('5.mell. '!D13)</f>
        <v>50000</v>
      </c>
      <c r="D79" s="728">
        <f t="shared" si="0"/>
        <v>50000</v>
      </c>
      <c r="E79" s="728"/>
      <c r="F79" s="966">
        <v>25000</v>
      </c>
      <c r="G79" s="967"/>
      <c r="H79" s="967"/>
      <c r="I79" s="967"/>
      <c r="J79" s="967"/>
      <c r="K79" s="967">
        <v>25000</v>
      </c>
      <c r="L79" s="967"/>
      <c r="M79" s="969"/>
    </row>
    <row r="80" spans="1:13" ht="18" customHeight="1">
      <c r="A80" s="1010">
        <v>5014</v>
      </c>
      <c r="B80" s="739" t="s">
        <v>448</v>
      </c>
      <c r="C80" s="965">
        <f>SUM('5.mell. '!D14)</f>
        <v>30000</v>
      </c>
      <c r="D80" s="728">
        <f t="shared" si="0"/>
        <v>30000</v>
      </c>
      <c r="E80" s="728"/>
      <c r="F80" s="966">
        <v>10000</v>
      </c>
      <c r="G80" s="967"/>
      <c r="H80" s="967"/>
      <c r="I80" s="967"/>
      <c r="J80" s="967"/>
      <c r="K80" s="967">
        <v>20000</v>
      </c>
      <c r="L80" s="967"/>
      <c r="M80" s="969"/>
    </row>
    <row r="81" spans="1:13" ht="18" customHeight="1">
      <c r="A81" s="1010">
        <v>5015</v>
      </c>
      <c r="B81" s="738" t="s">
        <v>451</v>
      </c>
      <c r="C81" s="965">
        <f>SUM('5.mell. '!D15)</f>
        <v>7802</v>
      </c>
      <c r="D81" s="728">
        <f t="shared" si="0"/>
        <v>7802</v>
      </c>
      <c r="E81" s="728"/>
      <c r="F81" s="966">
        <v>5000</v>
      </c>
      <c r="G81" s="967"/>
      <c r="H81" s="967"/>
      <c r="I81" s="967"/>
      <c r="J81" s="967"/>
      <c r="K81" s="967">
        <v>2802</v>
      </c>
      <c r="L81" s="967"/>
      <c r="M81" s="969"/>
    </row>
    <row r="82" spans="1:13" ht="18" customHeight="1">
      <c r="A82" s="1010">
        <v>5016</v>
      </c>
      <c r="B82" s="1020" t="s">
        <v>811</v>
      </c>
      <c r="C82" s="965">
        <f>SUM('5.mell. '!D16)</f>
        <v>30869</v>
      </c>
      <c r="D82" s="728">
        <f t="shared" si="0"/>
        <v>30869</v>
      </c>
      <c r="E82" s="728"/>
      <c r="F82" s="966"/>
      <c r="G82" s="967"/>
      <c r="H82" s="967"/>
      <c r="I82" s="967"/>
      <c r="J82" s="967"/>
      <c r="K82" s="967">
        <v>30869</v>
      </c>
      <c r="L82" s="967"/>
      <c r="M82" s="969"/>
    </row>
    <row r="83" spans="1:13" ht="18" customHeight="1">
      <c r="A83" s="1010">
        <v>5018</v>
      </c>
      <c r="B83" s="1020" t="s">
        <v>1123</v>
      </c>
      <c r="C83" s="965">
        <f>SUM('5.mell. '!D18)</f>
        <v>26105</v>
      </c>
      <c r="D83" s="728">
        <f t="shared" si="0"/>
        <v>26105</v>
      </c>
      <c r="E83" s="728"/>
      <c r="F83" s="966">
        <v>25000</v>
      </c>
      <c r="G83" s="967"/>
      <c r="H83" s="967"/>
      <c r="I83" s="967"/>
      <c r="J83" s="967"/>
      <c r="K83" s="967">
        <v>1105</v>
      </c>
      <c r="L83" s="967"/>
      <c r="M83" s="969"/>
    </row>
    <row r="84" spans="1:13" ht="18" customHeight="1">
      <c r="A84" s="1010">
        <v>5019</v>
      </c>
      <c r="B84" s="1020" t="s">
        <v>1124</v>
      </c>
      <c r="C84" s="965">
        <f>SUM('5.mell. '!D19)</f>
        <v>63111</v>
      </c>
      <c r="D84" s="728">
        <f t="shared" si="0"/>
        <v>63111</v>
      </c>
      <c r="E84" s="728"/>
      <c r="F84" s="966">
        <v>60000</v>
      </c>
      <c r="G84" s="967"/>
      <c r="H84" s="967"/>
      <c r="I84" s="967"/>
      <c r="J84" s="967"/>
      <c r="K84" s="967">
        <v>3111</v>
      </c>
      <c r="L84" s="967"/>
      <c r="M84" s="969"/>
    </row>
    <row r="85" spans="1:13" ht="18" customHeight="1">
      <c r="A85" s="1010">
        <v>5020</v>
      </c>
      <c r="B85" s="1020" t="s">
        <v>1362</v>
      </c>
      <c r="C85" s="965">
        <f>'5.mell. '!D22</f>
        <v>40000</v>
      </c>
      <c r="D85" s="728">
        <f t="shared" si="0"/>
        <v>40000</v>
      </c>
      <c r="E85" s="728"/>
      <c r="F85" s="966"/>
      <c r="G85" s="967"/>
      <c r="H85" s="967"/>
      <c r="I85" s="967"/>
      <c r="J85" s="967"/>
      <c r="K85" s="967">
        <v>40000</v>
      </c>
      <c r="L85" s="967"/>
      <c r="M85" s="969"/>
    </row>
    <row r="86" spans="1:13" ht="18" customHeight="1">
      <c r="A86" s="1010">
        <v>5023</v>
      </c>
      <c r="B86" s="1020" t="s">
        <v>1371</v>
      </c>
      <c r="C86" s="965">
        <f>'5.mell. '!D25</f>
        <v>315000</v>
      </c>
      <c r="D86" s="728">
        <f t="shared" si="0"/>
        <v>315000</v>
      </c>
      <c r="E86" s="728"/>
      <c r="F86" s="966"/>
      <c r="G86" s="967"/>
      <c r="H86" s="967"/>
      <c r="I86" s="967"/>
      <c r="J86" s="967"/>
      <c r="K86" s="967">
        <f>465000-150000</f>
        <v>315000</v>
      </c>
      <c r="L86" s="967"/>
      <c r="M86" s="969"/>
    </row>
    <row r="87" spans="1:13" ht="18" customHeight="1">
      <c r="A87" s="1010">
        <v>5024</v>
      </c>
      <c r="B87" s="1020" t="s">
        <v>1350</v>
      </c>
      <c r="C87" s="965">
        <f>'5.mell. '!D26</f>
        <v>4660</v>
      </c>
      <c r="D87" s="728">
        <f t="shared" si="0"/>
        <v>4660</v>
      </c>
      <c r="E87" s="728"/>
      <c r="F87" s="966"/>
      <c r="G87" s="967"/>
      <c r="H87" s="967"/>
      <c r="I87" s="967"/>
      <c r="J87" s="967"/>
      <c r="K87" s="967">
        <v>4660</v>
      </c>
      <c r="L87" s="967"/>
      <c r="M87" s="969"/>
    </row>
    <row r="88" spans="1:13" ht="18" customHeight="1">
      <c r="A88" s="1010">
        <v>5034</v>
      </c>
      <c r="B88" s="1020" t="s">
        <v>1376</v>
      </c>
      <c r="C88" s="965">
        <f>'5.mell. '!D33</f>
        <v>10000</v>
      </c>
      <c r="D88" s="728">
        <f t="shared" si="0"/>
        <v>10000</v>
      </c>
      <c r="E88" s="728"/>
      <c r="F88" s="966">
        <v>10000</v>
      </c>
      <c r="G88" s="967"/>
      <c r="H88" s="967"/>
      <c r="I88" s="967"/>
      <c r="J88" s="967"/>
      <c r="K88" s="967"/>
      <c r="L88" s="967"/>
      <c r="M88" s="969"/>
    </row>
    <row r="89" spans="1:13" ht="18" customHeight="1">
      <c r="A89" s="1010">
        <v>5062</v>
      </c>
      <c r="B89" s="1020" t="s">
        <v>351</v>
      </c>
      <c r="C89" s="965">
        <f>'5.mell. '!D41</f>
        <v>28</v>
      </c>
      <c r="D89" s="728">
        <f t="shared" si="0"/>
        <v>28</v>
      </c>
      <c r="E89" s="728"/>
      <c r="F89" s="966">
        <v>28</v>
      </c>
      <c r="G89" s="967"/>
      <c r="H89" s="967"/>
      <c r="I89" s="967"/>
      <c r="J89" s="967"/>
      <c r="K89" s="967"/>
      <c r="L89" s="967"/>
      <c r="M89" s="969"/>
    </row>
    <row r="90" spans="1:13" ht="15.75" customHeight="1">
      <c r="A90" s="1010">
        <v>5070</v>
      </c>
      <c r="B90" s="740" t="s">
        <v>532</v>
      </c>
      <c r="C90" s="965">
        <f>SUM('5.mell. '!D44)</f>
        <v>10950</v>
      </c>
      <c r="D90" s="728">
        <f t="shared" si="0"/>
        <v>10950</v>
      </c>
      <c r="E90" s="728"/>
      <c r="F90" s="966"/>
      <c r="G90" s="967"/>
      <c r="H90" s="967"/>
      <c r="I90" s="967"/>
      <c r="J90" s="967"/>
      <c r="K90" s="967">
        <v>10950</v>
      </c>
      <c r="L90" s="967"/>
      <c r="M90" s="969"/>
    </row>
    <row r="91" spans="1:13" ht="15.75" customHeight="1">
      <c r="A91" s="1010">
        <v>6137</v>
      </c>
      <c r="B91" s="740" t="s">
        <v>1370</v>
      </c>
      <c r="C91" s="965">
        <f>'6.mell. '!D19</f>
        <v>157300</v>
      </c>
      <c r="D91" s="728">
        <f t="shared" si="0"/>
        <v>157300</v>
      </c>
      <c r="E91" s="728"/>
      <c r="F91" s="966"/>
      <c r="G91" s="967"/>
      <c r="H91" s="967"/>
      <c r="I91" s="967"/>
      <c r="J91" s="967"/>
      <c r="K91" s="967">
        <f>200000-42700</f>
        <v>157300</v>
      </c>
      <c r="L91" s="967"/>
      <c r="M91" s="969"/>
    </row>
    <row r="92" spans="1:13" ht="18" customHeight="1">
      <c r="A92" s="1010">
        <v>6136</v>
      </c>
      <c r="B92" s="1021" t="s">
        <v>1280</v>
      </c>
      <c r="C92" s="965">
        <f>'6.mell. '!D18</f>
        <v>20000</v>
      </c>
      <c r="D92" s="728">
        <f t="shared" si="0"/>
        <v>20000</v>
      </c>
      <c r="E92" s="728"/>
      <c r="F92" s="966">
        <v>20000</v>
      </c>
      <c r="G92" s="967"/>
      <c r="H92" s="967"/>
      <c r="I92" s="967"/>
      <c r="J92" s="967"/>
      <c r="K92" s="967"/>
      <c r="L92" s="967"/>
      <c r="M92" s="969"/>
    </row>
    <row r="93" spans="1:14" ht="21" customHeight="1">
      <c r="A93" s="1022"/>
      <c r="B93" s="1023" t="s">
        <v>128</v>
      </c>
      <c r="C93" s="970">
        <f>SUM(C7:C92)</f>
        <v>6986417</v>
      </c>
      <c r="D93" s="970">
        <f>SUM(D7:D92)</f>
        <v>6986417</v>
      </c>
      <c r="E93" s="970">
        <f aca="true" t="shared" si="1" ref="E93:M93">SUM(E7:E92)</f>
        <v>998570</v>
      </c>
      <c r="F93" s="970">
        <f>SUM(F7:F92)</f>
        <v>1228982</v>
      </c>
      <c r="G93" s="970">
        <f t="shared" si="1"/>
        <v>30789</v>
      </c>
      <c r="H93" s="970">
        <f t="shared" si="1"/>
        <v>24052</v>
      </c>
      <c r="I93" s="970">
        <f t="shared" si="1"/>
        <v>0</v>
      </c>
      <c r="J93" s="970">
        <f t="shared" si="1"/>
        <v>0</v>
      </c>
      <c r="K93" s="970">
        <f t="shared" si="1"/>
        <v>2293743</v>
      </c>
      <c r="L93" s="970">
        <f t="shared" si="1"/>
        <v>2404281</v>
      </c>
      <c r="M93" s="970">
        <f t="shared" si="1"/>
        <v>6000</v>
      </c>
      <c r="N93" s="1024"/>
    </row>
  </sheetData>
  <mergeCells count="13">
    <mergeCell ref="K5:K6"/>
    <mergeCell ref="L5:L6"/>
    <mergeCell ref="M5:M6"/>
    <mergeCell ref="A1:M1"/>
    <mergeCell ref="B2:L2"/>
    <mergeCell ref="B3:L3"/>
    <mergeCell ref="B5:B6"/>
    <mergeCell ref="C5:C6"/>
    <mergeCell ref="D5:D6"/>
    <mergeCell ref="E5:E6"/>
    <mergeCell ref="F5:F6"/>
    <mergeCell ref="G5:H5"/>
    <mergeCell ref="I5:J5"/>
  </mergeCells>
  <printOptions/>
  <pageMargins left="1.1811023622047245" right="0.7874015748031497" top="0.3937007874015748" bottom="0.1968503937007874" header="0.31496062992125984" footer="0"/>
  <pageSetup firstPageNumber="49" useFirstPageNumber="1" horizontalDpi="600" verticalDpi="600" orientation="landscape" paperSize="9" scale="65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 topLeftCell="A1">
      <selection activeCell="E19" sqref="E1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428" t="s">
        <v>812</v>
      </c>
      <c r="C3" s="1428"/>
      <c r="D3" s="1428"/>
      <c r="E3" s="1428"/>
      <c r="F3" s="1428"/>
      <c r="G3" s="1428"/>
    </row>
    <row r="4" spans="2:7" ht="18.75" customHeight="1">
      <c r="B4" s="1429" t="s">
        <v>813</v>
      </c>
      <c r="C4" s="1429"/>
      <c r="D4" s="1429"/>
      <c r="E4" s="1429"/>
      <c r="F4" s="1429"/>
      <c r="G4" s="1429"/>
    </row>
    <row r="5" spans="2:6" ht="18.75">
      <c r="B5" s="1430" t="s">
        <v>1209</v>
      </c>
      <c r="C5" s="1430"/>
      <c r="D5" s="1430"/>
      <c r="E5" s="1430"/>
      <c r="F5" s="1430"/>
    </row>
    <row r="6" spans="2:6" ht="18.75">
      <c r="B6" s="741"/>
      <c r="C6" s="741"/>
      <c r="D6" s="741"/>
      <c r="E6" s="741"/>
      <c r="F6" s="741"/>
    </row>
    <row r="7" ht="12.75">
      <c r="G7" s="742" t="s">
        <v>524</v>
      </c>
    </row>
    <row r="8" spans="2:7" ht="132.75" customHeight="1">
      <c r="B8" s="743" t="s">
        <v>814</v>
      </c>
      <c r="C8" s="727" t="s">
        <v>1342</v>
      </c>
      <c r="D8" s="744" t="s">
        <v>793</v>
      </c>
      <c r="E8" s="743" t="s">
        <v>815</v>
      </c>
      <c r="F8" s="743" t="s">
        <v>816</v>
      </c>
      <c r="G8" s="727" t="s">
        <v>817</v>
      </c>
    </row>
    <row r="9" spans="2:7" ht="14.25">
      <c r="B9" s="743" t="s">
        <v>248</v>
      </c>
      <c r="C9" s="745"/>
      <c r="D9" s="746"/>
      <c r="E9" s="743"/>
      <c r="F9" s="743"/>
      <c r="G9" s="727"/>
    </row>
    <row r="10" spans="2:7" ht="23.25" customHeight="1">
      <c r="B10" s="747" t="s">
        <v>1100</v>
      </c>
      <c r="C10" s="963">
        <v>211920</v>
      </c>
      <c r="D10" s="748">
        <v>211920</v>
      </c>
      <c r="E10" s="749"/>
      <c r="F10" s="749"/>
      <c r="G10" s="729">
        <v>211920</v>
      </c>
    </row>
    <row r="11" spans="2:7" ht="18" customHeight="1">
      <c r="B11" s="749"/>
      <c r="C11" s="749"/>
      <c r="D11" s="749"/>
      <c r="E11" s="749"/>
      <c r="F11" s="749"/>
      <c r="G11" s="749"/>
    </row>
    <row r="12" spans="2:7" ht="23.25" customHeight="1">
      <c r="B12" s="750" t="s">
        <v>128</v>
      </c>
      <c r="C12" s="751">
        <f>SUM(C10:C11)</f>
        <v>211920</v>
      </c>
      <c r="D12" s="751">
        <f>SUM(D10:D11)</f>
        <v>211920</v>
      </c>
      <c r="E12" s="751">
        <f>SUM(E10:E11)</f>
        <v>0</v>
      </c>
      <c r="F12" s="750"/>
      <c r="G12" s="752">
        <f>SUM(G10:G11)</f>
        <v>211920</v>
      </c>
    </row>
    <row r="14" ht="12.75">
      <c r="D14" s="55"/>
    </row>
  </sheetData>
  <mergeCells count="3">
    <mergeCell ref="B3:G3"/>
    <mergeCell ref="B4:G4"/>
    <mergeCell ref="B5:F5"/>
  </mergeCells>
  <printOptions/>
  <pageMargins left="0.3937007874015748" right="0.3937007874015748" top="0.984251968503937" bottom="0.984251968503937" header="0.5118110236220472" footer="0.5118110236220472"/>
  <pageSetup firstPageNumber="51" useFirstPageNumber="1" horizontalDpi="600" verticalDpi="600" orientation="landscape" paperSize="9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="90" zoomScaleNormal="90" workbookViewId="0" topLeftCell="A22">
      <selection activeCell="K30" sqref="K30:K31"/>
    </sheetView>
  </sheetViews>
  <sheetFormatPr defaultColWidth="9.125" defaultRowHeight="12.75"/>
  <cols>
    <col min="1" max="1" width="9.125" style="753" customWidth="1"/>
    <col min="2" max="2" width="22.125" style="753" customWidth="1"/>
    <col min="3" max="3" width="9.875" style="753" customWidth="1"/>
    <col min="4" max="4" width="10.00390625" style="753" customWidth="1"/>
    <col min="5" max="5" width="9.25390625" style="753" customWidth="1"/>
    <col min="6" max="7" width="8.875" style="753" customWidth="1"/>
    <col min="8" max="8" width="9.625" style="753" customWidth="1"/>
    <col min="9" max="9" width="9.875" style="753" customWidth="1"/>
    <col min="10" max="11" width="10.00390625" style="753" customWidth="1"/>
    <col min="12" max="12" width="10.125" style="753" customWidth="1"/>
    <col min="13" max="13" width="10.875" style="753" customWidth="1"/>
    <col min="14" max="14" width="9.875" style="753" customWidth="1"/>
    <col min="15" max="15" width="10.125" style="753" customWidth="1"/>
    <col min="16" max="16" width="9.125" style="753" customWidth="1"/>
    <col min="17" max="17" width="10.125" style="753" bestFit="1" customWidth="1"/>
    <col min="18" max="16384" width="9.125" style="753" customWidth="1"/>
  </cols>
  <sheetData>
    <row r="1" spans="1:15" ht="12.75">
      <c r="A1" s="1460" t="s">
        <v>818</v>
      </c>
      <c r="B1" s="1461"/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</row>
    <row r="2" spans="1:15" ht="12.75">
      <c r="A2" s="1462" t="s">
        <v>1198</v>
      </c>
      <c r="B2" s="1461"/>
      <c r="C2" s="1461"/>
      <c r="D2" s="1461"/>
      <c r="E2" s="1461"/>
      <c r="F2" s="1461"/>
      <c r="G2" s="1461"/>
      <c r="H2" s="1461"/>
      <c r="I2" s="1461"/>
      <c r="J2" s="1461"/>
      <c r="K2" s="1461"/>
      <c r="L2" s="1461"/>
      <c r="M2" s="1461"/>
      <c r="N2" s="1461"/>
      <c r="O2" s="1461"/>
    </row>
    <row r="3" spans="1:15" ht="13.5" thickBot="1">
      <c r="A3" s="754"/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5" t="s">
        <v>154</v>
      </c>
    </row>
    <row r="4" spans="1:15" ht="15" customHeight="1" thickBot="1">
      <c r="A4" s="1463" t="s">
        <v>138</v>
      </c>
      <c r="B4" s="1464"/>
      <c r="C4" s="756" t="s">
        <v>819</v>
      </c>
      <c r="D4" s="756" t="s">
        <v>820</v>
      </c>
      <c r="E4" s="756" t="s">
        <v>821</v>
      </c>
      <c r="F4" s="756" t="s">
        <v>822</v>
      </c>
      <c r="G4" s="756" t="s">
        <v>823</v>
      </c>
      <c r="H4" s="756" t="s">
        <v>824</v>
      </c>
      <c r="I4" s="756" t="s">
        <v>825</v>
      </c>
      <c r="J4" s="756" t="s">
        <v>826</v>
      </c>
      <c r="K4" s="756" t="s">
        <v>827</v>
      </c>
      <c r="L4" s="756" t="s">
        <v>828</v>
      </c>
      <c r="M4" s="756" t="s">
        <v>829</v>
      </c>
      <c r="N4" s="756" t="s">
        <v>830</v>
      </c>
      <c r="O4" s="756" t="s">
        <v>150</v>
      </c>
    </row>
    <row r="5" spans="1:15" ht="15" customHeight="1" thickBot="1">
      <c r="A5" s="757" t="s">
        <v>149</v>
      </c>
      <c r="B5" s="758"/>
      <c r="C5" s="759"/>
      <c r="D5" s="759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1"/>
    </row>
    <row r="6" spans="1:15" ht="15" customHeight="1">
      <c r="A6" s="1465" t="s">
        <v>831</v>
      </c>
      <c r="B6" s="1466"/>
      <c r="C6" s="1467">
        <f>275000+12797</f>
        <v>287797</v>
      </c>
      <c r="D6" s="1467">
        <f>220000+15438</f>
        <v>235438</v>
      </c>
      <c r="E6" s="1467">
        <f>250000+16391</f>
        <v>266391</v>
      </c>
      <c r="F6" s="1467">
        <f>230000+16370</f>
        <v>246370</v>
      </c>
      <c r="G6" s="1467">
        <f>350000+10768</f>
        <v>360768</v>
      </c>
      <c r="H6" s="1450">
        <v>240000</v>
      </c>
      <c r="I6" s="1450">
        <v>245000</v>
      </c>
      <c r="J6" s="1450">
        <v>240000</v>
      </c>
      <c r="K6" s="1450">
        <v>250000</v>
      </c>
      <c r="L6" s="1450">
        <v>260000</v>
      </c>
      <c r="M6" s="1450">
        <v>265000</v>
      </c>
      <c r="N6" s="1450">
        <v>366289</v>
      </c>
      <c r="O6" s="1469">
        <f>SUM(C6:N7)</f>
        <v>3263053</v>
      </c>
    </row>
    <row r="7" spans="1:15" ht="13.5" customHeight="1">
      <c r="A7" s="1458"/>
      <c r="B7" s="1459"/>
      <c r="C7" s="1468"/>
      <c r="D7" s="1468"/>
      <c r="E7" s="1468"/>
      <c r="F7" s="1468"/>
      <c r="G7" s="1468"/>
      <c r="H7" s="1446"/>
      <c r="I7" s="1446"/>
      <c r="J7" s="1446"/>
      <c r="K7" s="1446"/>
      <c r="L7" s="1446"/>
      <c r="M7" s="1446"/>
      <c r="N7" s="1446"/>
      <c r="O7" s="1436"/>
    </row>
    <row r="8" spans="1:15" ht="12" customHeight="1">
      <c r="A8" s="1456" t="s">
        <v>832</v>
      </c>
      <c r="B8" s="1457"/>
      <c r="C8" s="1441">
        <v>309000</v>
      </c>
      <c r="D8" s="1441">
        <v>220000</v>
      </c>
      <c r="E8" s="1441">
        <v>1800000</v>
      </c>
      <c r="F8" s="1441">
        <v>1450000</v>
      </c>
      <c r="G8" s="1441">
        <v>850000</v>
      </c>
      <c r="H8" s="1441">
        <v>350000</v>
      </c>
      <c r="I8" s="1441">
        <v>200000</v>
      </c>
      <c r="J8" s="1441">
        <v>250000</v>
      </c>
      <c r="K8" s="1441">
        <v>1200000</v>
      </c>
      <c r="L8" s="1441">
        <v>1600000</v>
      </c>
      <c r="M8" s="1441">
        <v>853727</v>
      </c>
      <c r="N8" s="1441">
        <v>815000</v>
      </c>
      <c r="O8" s="1434">
        <f>SUM(C8:N8)</f>
        <v>9897727</v>
      </c>
    </row>
    <row r="9" spans="1:15" ht="15.75" customHeight="1">
      <c r="A9" s="1458"/>
      <c r="B9" s="1459"/>
      <c r="C9" s="1446"/>
      <c r="D9" s="1446"/>
      <c r="E9" s="1446"/>
      <c r="F9" s="1446"/>
      <c r="G9" s="1446"/>
      <c r="H9" s="1446"/>
      <c r="I9" s="1446"/>
      <c r="J9" s="1446"/>
      <c r="K9" s="1446"/>
      <c r="L9" s="1446"/>
      <c r="M9" s="1446"/>
      <c r="N9" s="1446"/>
      <c r="O9" s="1436"/>
    </row>
    <row r="10" spans="1:15" ht="17.25" customHeight="1">
      <c r="A10" s="1456" t="s">
        <v>833</v>
      </c>
      <c r="B10" s="1438"/>
      <c r="C10" s="1441">
        <v>150000</v>
      </c>
      <c r="D10" s="1441">
        <v>170000</v>
      </c>
      <c r="E10" s="1441">
        <v>256292</v>
      </c>
      <c r="F10" s="1441">
        <v>150000</v>
      </c>
      <c r="G10" s="1441">
        <v>150000</v>
      </c>
      <c r="H10" s="1441">
        <v>185000</v>
      </c>
      <c r="I10" s="1441">
        <v>100000</v>
      </c>
      <c r="J10" s="1441">
        <v>100000</v>
      </c>
      <c r="K10" s="1441">
        <v>352561</v>
      </c>
      <c r="L10" s="1441">
        <v>306082</v>
      </c>
      <c r="M10" s="1441">
        <v>421335</v>
      </c>
      <c r="N10" s="1441">
        <v>332747</v>
      </c>
      <c r="O10" s="1434">
        <f>SUM(C10:N10)</f>
        <v>2674017</v>
      </c>
    </row>
    <row r="11" spans="1:15" ht="22.5" customHeight="1">
      <c r="A11" s="1439"/>
      <c r="B11" s="1440"/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36"/>
    </row>
    <row r="12" spans="1:15" ht="20.25" customHeight="1">
      <c r="A12" s="1456" t="s">
        <v>834</v>
      </c>
      <c r="B12" s="1438"/>
      <c r="C12" s="1441"/>
      <c r="D12" s="1441"/>
      <c r="E12" s="1441">
        <v>296493</v>
      </c>
      <c r="F12" s="1441"/>
      <c r="G12" s="1441">
        <v>2404281</v>
      </c>
      <c r="H12" s="1441"/>
      <c r="I12" s="1441"/>
      <c r="J12" s="1441"/>
      <c r="K12" s="1441"/>
      <c r="L12" s="1441"/>
      <c r="M12" s="1441"/>
      <c r="N12" s="1441"/>
      <c r="O12" s="1434">
        <f>SUM(C12:N12)</f>
        <v>2700774</v>
      </c>
    </row>
    <row r="13" spans="1:15" ht="15" customHeight="1">
      <c r="A13" s="1439"/>
      <c r="B13" s="1440"/>
      <c r="C13" s="1446"/>
      <c r="D13" s="1446"/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36"/>
    </row>
    <row r="14" spans="1:15" ht="14.25" customHeight="1">
      <c r="A14" s="1437" t="s">
        <v>835</v>
      </c>
      <c r="B14" s="1438"/>
      <c r="C14" s="1441">
        <v>20000</v>
      </c>
      <c r="D14" s="1441">
        <v>20000</v>
      </c>
      <c r="E14" s="1441">
        <v>20000</v>
      </c>
      <c r="F14" s="1441">
        <v>20000</v>
      </c>
      <c r="G14" s="1441">
        <v>20000</v>
      </c>
      <c r="H14" s="1441">
        <v>20000</v>
      </c>
      <c r="I14" s="1441">
        <v>20000</v>
      </c>
      <c r="J14" s="1441">
        <v>20000</v>
      </c>
      <c r="K14" s="1441">
        <v>40000</v>
      </c>
      <c r="L14" s="1441">
        <v>20000</v>
      </c>
      <c r="M14" s="1441">
        <v>20000</v>
      </c>
      <c r="N14" s="1441">
        <v>50000</v>
      </c>
      <c r="O14" s="1434">
        <f>SUM(C14:N14)</f>
        <v>290000</v>
      </c>
    </row>
    <row r="15" spans="1:15" ht="14.25" customHeight="1">
      <c r="A15" s="1439"/>
      <c r="B15" s="1440"/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36"/>
    </row>
    <row r="16" spans="1:15" ht="12" customHeight="1">
      <c r="A16" s="1437" t="s">
        <v>836</v>
      </c>
      <c r="B16" s="1438"/>
      <c r="C16" s="1441">
        <v>1400</v>
      </c>
      <c r="D16" s="1441">
        <v>1400</v>
      </c>
      <c r="E16" s="1441">
        <v>1400</v>
      </c>
      <c r="F16" s="1441">
        <v>1400</v>
      </c>
      <c r="G16" s="1441">
        <v>1916</v>
      </c>
      <c r="H16" s="1441">
        <v>1400</v>
      </c>
      <c r="I16" s="1441">
        <v>1916</v>
      </c>
      <c r="J16" s="1441">
        <v>1916</v>
      </c>
      <c r="K16" s="1441">
        <v>1916</v>
      </c>
      <c r="L16" s="1441">
        <v>1536</v>
      </c>
      <c r="M16" s="1441">
        <v>1400</v>
      </c>
      <c r="N16" s="1441">
        <v>1400</v>
      </c>
      <c r="O16" s="1434">
        <f>SUM(C16:N16)</f>
        <v>19000</v>
      </c>
    </row>
    <row r="17" spans="1:15" ht="17.25" customHeight="1">
      <c r="A17" s="1439"/>
      <c r="B17" s="1440"/>
      <c r="C17" s="1446"/>
      <c r="D17" s="1446"/>
      <c r="E17" s="1446"/>
      <c r="F17" s="1446"/>
      <c r="G17" s="1446"/>
      <c r="H17" s="1446"/>
      <c r="I17" s="1446"/>
      <c r="J17" s="1446"/>
      <c r="K17" s="1446"/>
      <c r="L17" s="1446"/>
      <c r="M17" s="1446"/>
      <c r="N17" s="1446"/>
      <c r="O17" s="1436"/>
    </row>
    <row r="18" spans="1:15" ht="14.25" customHeight="1">
      <c r="A18" s="1437" t="s">
        <v>837</v>
      </c>
      <c r="B18" s="1438"/>
      <c r="C18" s="1441"/>
      <c r="D18" s="1441">
        <v>1908586</v>
      </c>
      <c r="E18" s="1441"/>
      <c r="F18" s="1441"/>
      <c r="G18" s="1454">
        <v>4211374</v>
      </c>
      <c r="H18" s="1441"/>
      <c r="I18" s="1441"/>
      <c r="J18" s="1441"/>
      <c r="K18" s="1441"/>
      <c r="L18" s="1441"/>
      <c r="M18" s="1441"/>
      <c r="N18" s="1441"/>
      <c r="O18" s="1434">
        <f>SUM(C18:N18)</f>
        <v>6119960</v>
      </c>
    </row>
    <row r="19" spans="1:15" ht="14.25" customHeight="1" thickBot="1">
      <c r="A19" s="1443"/>
      <c r="B19" s="1444"/>
      <c r="C19" s="1445"/>
      <c r="D19" s="1445"/>
      <c r="E19" s="1445"/>
      <c r="F19" s="1445"/>
      <c r="G19" s="1455"/>
      <c r="H19" s="1445"/>
      <c r="I19" s="1445"/>
      <c r="J19" s="1445"/>
      <c r="K19" s="1445"/>
      <c r="L19" s="1445"/>
      <c r="M19" s="1445"/>
      <c r="N19" s="1445"/>
      <c r="O19" s="1435"/>
    </row>
    <row r="20" spans="1:15" ht="18" customHeight="1" thickBot="1">
      <c r="A20" s="762" t="s">
        <v>838</v>
      </c>
      <c r="B20" s="763"/>
      <c r="C20" s="764">
        <f aca="true" t="shared" si="0" ref="C20:O20">SUM(C6:C19)</f>
        <v>768197</v>
      </c>
      <c r="D20" s="764">
        <f t="shared" si="0"/>
        <v>2555424</v>
      </c>
      <c r="E20" s="764">
        <f t="shared" si="0"/>
        <v>2640576</v>
      </c>
      <c r="F20" s="764">
        <f t="shared" si="0"/>
        <v>1867770</v>
      </c>
      <c r="G20" s="764">
        <f t="shared" si="0"/>
        <v>7998339</v>
      </c>
      <c r="H20" s="764">
        <f t="shared" si="0"/>
        <v>796400</v>
      </c>
      <c r="I20" s="764">
        <f t="shared" si="0"/>
        <v>566916</v>
      </c>
      <c r="J20" s="764">
        <f t="shared" si="0"/>
        <v>611916</v>
      </c>
      <c r="K20" s="764">
        <f t="shared" si="0"/>
        <v>1844477</v>
      </c>
      <c r="L20" s="764">
        <f t="shared" si="0"/>
        <v>2187618</v>
      </c>
      <c r="M20" s="764">
        <f t="shared" si="0"/>
        <v>1561462</v>
      </c>
      <c r="N20" s="764">
        <f t="shared" si="0"/>
        <v>1565436</v>
      </c>
      <c r="O20" s="765">
        <f t="shared" si="0"/>
        <v>24964531</v>
      </c>
    </row>
    <row r="21" spans="1:15" ht="15" customHeight="1" thickBot="1">
      <c r="A21" s="766" t="s">
        <v>265</v>
      </c>
      <c r="B21" s="759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8"/>
    </row>
    <row r="22" spans="1:15" ht="12" customHeight="1">
      <c r="A22" s="1452" t="s">
        <v>839</v>
      </c>
      <c r="B22" s="1453"/>
      <c r="C22" s="1450">
        <v>570000</v>
      </c>
      <c r="D22" s="1450">
        <v>450000</v>
      </c>
      <c r="E22" s="1450">
        <v>450000</v>
      </c>
      <c r="F22" s="1450">
        <v>450000</v>
      </c>
      <c r="G22" s="1450">
        <v>604337</v>
      </c>
      <c r="H22" s="1450">
        <v>450000</v>
      </c>
      <c r="I22" s="1450">
        <v>600000</v>
      </c>
      <c r="J22" s="1450">
        <v>450000</v>
      </c>
      <c r="K22" s="1450">
        <v>458933</v>
      </c>
      <c r="L22" s="1450">
        <v>450000</v>
      </c>
      <c r="M22" s="1450">
        <v>477230</v>
      </c>
      <c r="N22" s="1450">
        <v>464909</v>
      </c>
      <c r="O22" s="1434">
        <f>SUM(C22:N23)</f>
        <v>5875409</v>
      </c>
    </row>
    <row r="23" spans="1:16" ht="12.75" customHeight="1">
      <c r="A23" s="1439"/>
      <c r="B23" s="1440"/>
      <c r="C23" s="1451"/>
      <c r="D23" s="1451"/>
      <c r="E23" s="1451"/>
      <c r="F23" s="1451"/>
      <c r="G23" s="1451"/>
      <c r="H23" s="1451"/>
      <c r="I23" s="1451"/>
      <c r="J23" s="1451"/>
      <c r="K23" s="1451"/>
      <c r="L23" s="1451"/>
      <c r="M23" s="1451"/>
      <c r="N23" s="1451"/>
      <c r="O23" s="1436"/>
      <c r="P23" s="980"/>
    </row>
    <row r="24" spans="1:16" ht="15" customHeight="1">
      <c r="A24" s="1437" t="s">
        <v>840</v>
      </c>
      <c r="B24" s="1438"/>
      <c r="C24" s="1441">
        <v>65000</v>
      </c>
      <c r="D24" s="1441">
        <v>65000</v>
      </c>
      <c r="E24" s="1441">
        <v>88014</v>
      </c>
      <c r="F24" s="1441">
        <v>106311</v>
      </c>
      <c r="G24" s="1441">
        <v>55676</v>
      </c>
      <c r="H24" s="1441">
        <v>75000</v>
      </c>
      <c r="I24" s="1441">
        <v>65000</v>
      </c>
      <c r="J24" s="1441">
        <v>82330</v>
      </c>
      <c r="K24" s="1441">
        <v>81936</v>
      </c>
      <c r="L24" s="1441">
        <v>75724</v>
      </c>
      <c r="M24" s="1441">
        <v>82839</v>
      </c>
      <c r="N24" s="1441">
        <v>64700</v>
      </c>
      <c r="O24" s="1434">
        <f>SUM(C24:N25)</f>
        <v>907530</v>
      </c>
      <c r="P24" s="980"/>
    </row>
    <row r="25" spans="1:16" ht="14.25" customHeight="1">
      <c r="A25" s="1439"/>
      <c r="B25" s="1440"/>
      <c r="C25" s="1442"/>
      <c r="D25" s="1442"/>
      <c r="E25" s="1442"/>
      <c r="F25" s="1442"/>
      <c r="G25" s="1442"/>
      <c r="H25" s="1442"/>
      <c r="I25" s="1442"/>
      <c r="J25" s="1442"/>
      <c r="K25" s="1442"/>
      <c r="L25" s="1442"/>
      <c r="M25" s="1442"/>
      <c r="N25" s="1442"/>
      <c r="O25" s="1436"/>
      <c r="P25" s="980"/>
    </row>
    <row r="26" spans="1:16" ht="12" customHeight="1">
      <c r="A26" s="1437" t="s">
        <v>841</v>
      </c>
      <c r="B26" s="1438"/>
      <c r="C26" s="1441">
        <v>400000</v>
      </c>
      <c r="D26" s="1441">
        <v>400000</v>
      </c>
      <c r="E26" s="1441">
        <v>500000</v>
      </c>
      <c r="F26" s="1441">
        <v>400000</v>
      </c>
      <c r="G26" s="1431">
        <v>400000</v>
      </c>
      <c r="H26" s="1431">
        <f>587026+12700</f>
        <v>599726</v>
      </c>
      <c r="I26" s="1431">
        <v>430000</v>
      </c>
      <c r="J26" s="1431">
        <v>450000</v>
      </c>
      <c r="K26" s="1431">
        <v>529611</v>
      </c>
      <c r="L26" s="1431">
        <v>650000</v>
      </c>
      <c r="M26" s="1431">
        <v>630092</v>
      </c>
      <c r="N26" s="1431">
        <v>1465669</v>
      </c>
      <c r="O26" s="1434">
        <f>SUM(C26:N27)</f>
        <v>6855098</v>
      </c>
      <c r="P26" s="980"/>
    </row>
    <row r="27" spans="1:16" ht="15" customHeight="1">
      <c r="A27" s="1439"/>
      <c r="B27" s="1440"/>
      <c r="C27" s="1442"/>
      <c r="D27" s="1442"/>
      <c r="E27" s="1442"/>
      <c r="F27" s="1442"/>
      <c r="G27" s="1433"/>
      <c r="H27" s="1433"/>
      <c r="I27" s="1433"/>
      <c r="J27" s="1433"/>
      <c r="K27" s="1433"/>
      <c r="L27" s="1433"/>
      <c r="M27" s="1433"/>
      <c r="N27" s="1433"/>
      <c r="O27" s="1436"/>
      <c r="P27" s="980"/>
    </row>
    <row r="28" spans="1:16" ht="12" customHeight="1">
      <c r="A28" s="1437" t="s">
        <v>842</v>
      </c>
      <c r="B28" s="1438"/>
      <c r="C28" s="1441">
        <v>15000</v>
      </c>
      <c r="D28" s="1441">
        <v>15000</v>
      </c>
      <c r="E28" s="1441">
        <v>15000</v>
      </c>
      <c r="F28" s="1441">
        <v>15000</v>
      </c>
      <c r="G28" s="1431">
        <v>15000</v>
      </c>
      <c r="H28" s="1431">
        <f>15000</f>
        <v>15000</v>
      </c>
      <c r="I28" s="1431">
        <v>15000</v>
      </c>
      <c r="J28" s="1431">
        <v>15000</v>
      </c>
      <c r="K28" s="1431">
        <v>20000</v>
      </c>
      <c r="L28" s="1431">
        <v>20000</v>
      </c>
      <c r="M28" s="1431">
        <v>20000</v>
      </c>
      <c r="N28" s="1431">
        <v>23299</v>
      </c>
      <c r="O28" s="1434">
        <f>SUM(C28:N29)</f>
        <v>203299</v>
      </c>
      <c r="P28" s="980"/>
    </row>
    <row r="29" spans="1:16" ht="15.75" customHeight="1">
      <c r="A29" s="1439"/>
      <c r="B29" s="1440"/>
      <c r="C29" s="1442"/>
      <c r="D29" s="1442"/>
      <c r="E29" s="1442"/>
      <c r="F29" s="1442"/>
      <c r="G29" s="1433"/>
      <c r="H29" s="1433"/>
      <c r="I29" s="1433"/>
      <c r="J29" s="1433"/>
      <c r="K29" s="1433"/>
      <c r="L29" s="1433"/>
      <c r="M29" s="1433"/>
      <c r="N29" s="1433"/>
      <c r="O29" s="1436"/>
      <c r="P29" s="980"/>
    </row>
    <row r="30" spans="1:16" ht="12" customHeight="1">
      <c r="A30" s="1437" t="s">
        <v>843</v>
      </c>
      <c r="B30" s="1438"/>
      <c r="C30" s="1441">
        <v>145000</v>
      </c>
      <c r="D30" s="1441">
        <v>110005</v>
      </c>
      <c r="E30" s="1441">
        <v>140370</v>
      </c>
      <c r="F30" s="1441">
        <v>170000</v>
      </c>
      <c r="G30" s="1431">
        <v>200000</v>
      </c>
      <c r="H30" s="1431">
        <f>284250-42700</f>
        <v>241550</v>
      </c>
      <c r="I30" s="1431">
        <v>200000</v>
      </c>
      <c r="J30" s="1431">
        <v>213160</v>
      </c>
      <c r="K30" s="1431">
        <v>203111</v>
      </c>
      <c r="L30" s="1431">
        <v>230000</v>
      </c>
      <c r="M30" s="1431">
        <v>244023</v>
      </c>
      <c r="N30" s="1431">
        <v>476582</v>
      </c>
      <c r="O30" s="1448">
        <f>SUM(C30:N31)</f>
        <v>2573801</v>
      </c>
      <c r="P30" s="980"/>
    </row>
    <row r="31" spans="1:16" ht="12" customHeight="1">
      <c r="A31" s="1439"/>
      <c r="B31" s="1440"/>
      <c r="C31" s="1446"/>
      <c r="D31" s="1446"/>
      <c r="E31" s="1446"/>
      <c r="F31" s="1446"/>
      <c r="G31" s="1447"/>
      <c r="H31" s="1447"/>
      <c r="I31" s="1447"/>
      <c r="J31" s="1447"/>
      <c r="K31" s="1447"/>
      <c r="L31" s="1447"/>
      <c r="M31" s="1447"/>
      <c r="N31" s="1447"/>
      <c r="O31" s="1449"/>
      <c r="P31" s="980"/>
    </row>
    <row r="32" spans="1:16" ht="12" customHeight="1">
      <c r="A32" s="1437" t="s">
        <v>844</v>
      </c>
      <c r="B32" s="1438"/>
      <c r="C32" s="1441">
        <v>15000</v>
      </c>
      <c r="D32" s="1441">
        <v>85000</v>
      </c>
      <c r="E32" s="1441">
        <v>400000</v>
      </c>
      <c r="F32" s="1441">
        <v>130000</v>
      </c>
      <c r="G32" s="1431">
        <v>120000</v>
      </c>
      <c r="H32" s="1431">
        <f>20000+10000</f>
        <v>30000</v>
      </c>
      <c r="I32" s="1431">
        <v>35294</v>
      </c>
      <c r="J32" s="1431">
        <v>171379</v>
      </c>
      <c r="K32" s="1431">
        <v>20000</v>
      </c>
      <c r="L32" s="1431">
        <v>20000</v>
      </c>
      <c r="M32" s="1431">
        <v>20000</v>
      </c>
      <c r="N32" s="1431">
        <f>964753-150000</f>
        <v>814753</v>
      </c>
      <c r="O32" s="1434">
        <f>SUM(C32:N33)</f>
        <v>1861426</v>
      </c>
      <c r="P32" s="980"/>
    </row>
    <row r="33" spans="1:16" ht="14.25" customHeight="1">
      <c r="A33" s="1439"/>
      <c r="B33" s="1440"/>
      <c r="C33" s="1442"/>
      <c r="D33" s="1442"/>
      <c r="E33" s="1442"/>
      <c r="F33" s="1442"/>
      <c r="G33" s="1433"/>
      <c r="H33" s="1433"/>
      <c r="I33" s="1433"/>
      <c r="J33" s="1433"/>
      <c r="K33" s="1433"/>
      <c r="L33" s="1433"/>
      <c r="M33" s="1433"/>
      <c r="N33" s="1433"/>
      <c r="O33" s="1436"/>
      <c r="P33" s="980"/>
    </row>
    <row r="34" spans="1:16" ht="15" customHeight="1">
      <c r="A34" s="1437" t="s">
        <v>845</v>
      </c>
      <c r="B34" s="1438"/>
      <c r="C34" s="1441">
        <v>100000</v>
      </c>
      <c r="D34" s="1441">
        <v>100000</v>
      </c>
      <c r="E34" s="1441">
        <v>300000</v>
      </c>
      <c r="F34" s="1441">
        <v>300000</v>
      </c>
      <c r="G34" s="1431">
        <v>358000</v>
      </c>
      <c r="H34" s="1431">
        <f>300000+20000</f>
        <v>320000</v>
      </c>
      <c r="I34" s="1431">
        <v>110000</v>
      </c>
      <c r="J34" s="1431">
        <v>828435</v>
      </c>
      <c r="K34" s="1431">
        <v>400000</v>
      </c>
      <c r="L34" s="1431">
        <v>450000</v>
      </c>
      <c r="M34" s="1431">
        <v>917000</v>
      </c>
      <c r="N34" s="1431">
        <v>1615773</v>
      </c>
      <c r="O34" s="1434">
        <f>SUM(C34:N35)</f>
        <v>5799208</v>
      </c>
      <c r="P34" s="980"/>
    </row>
    <row r="35" spans="1:16" ht="15" customHeight="1">
      <c r="A35" s="1439"/>
      <c r="B35" s="1440"/>
      <c r="C35" s="1442"/>
      <c r="D35" s="1442"/>
      <c r="E35" s="1442"/>
      <c r="F35" s="1442"/>
      <c r="G35" s="1433"/>
      <c r="H35" s="1433"/>
      <c r="I35" s="1433"/>
      <c r="J35" s="1433"/>
      <c r="K35" s="1433"/>
      <c r="L35" s="1433"/>
      <c r="M35" s="1433"/>
      <c r="N35" s="1433"/>
      <c r="O35" s="1436"/>
      <c r="P35" s="980"/>
    </row>
    <row r="36" spans="1:16" ht="15" customHeight="1">
      <c r="A36" s="1437" t="s">
        <v>846</v>
      </c>
      <c r="B36" s="1438"/>
      <c r="C36" s="1441"/>
      <c r="D36" s="1441">
        <v>30000</v>
      </c>
      <c r="E36" s="1441">
        <v>30000</v>
      </c>
      <c r="F36" s="1441">
        <v>30000</v>
      </c>
      <c r="G36" s="1431">
        <v>32700</v>
      </c>
      <c r="H36" s="1431">
        <v>34800</v>
      </c>
      <c r="I36" s="1431"/>
      <c r="J36" s="1431"/>
      <c r="K36" s="1431"/>
      <c r="L36" s="1431">
        <v>110000</v>
      </c>
      <c r="M36" s="1431">
        <f>202397</f>
        <v>202397</v>
      </c>
      <c r="N36" s="1431">
        <v>150000</v>
      </c>
      <c r="O36" s="1434">
        <f>SUM(C36:N37)</f>
        <v>619897</v>
      </c>
      <c r="P36" s="980"/>
    </row>
    <row r="37" spans="1:16" ht="15" customHeight="1">
      <c r="A37" s="1439"/>
      <c r="B37" s="1440"/>
      <c r="C37" s="1442"/>
      <c r="D37" s="1442"/>
      <c r="E37" s="1442"/>
      <c r="F37" s="1442"/>
      <c r="G37" s="1433"/>
      <c r="H37" s="1433"/>
      <c r="I37" s="1433"/>
      <c r="J37" s="1433"/>
      <c r="K37" s="1433"/>
      <c r="L37" s="1433"/>
      <c r="M37" s="1433"/>
      <c r="N37" s="1433"/>
      <c r="O37" s="1436"/>
      <c r="P37" s="980"/>
    </row>
    <row r="38" spans="1:16" ht="14.25" customHeight="1">
      <c r="A38" s="1437" t="s">
        <v>847</v>
      </c>
      <c r="B38" s="1438"/>
      <c r="C38" s="1441">
        <v>100272</v>
      </c>
      <c r="D38" s="1441"/>
      <c r="E38" s="1441">
        <v>12000</v>
      </c>
      <c r="F38" s="1441">
        <v>120591</v>
      </c>
      <c r="G38" s="1431"/>
      <c r="H38" s="1431">
        <v>12000</v>
      </c>
      <c r="I38" s="1431"/>
      <c r="J38" s="1431"/>
      <c r="K38" s="1431">
        <v>12000</v>
      </c>
      <c r="L38" s="1431"/>
      <c r="M38" s="1431"/>
      <c r="N38" s="1431">
        <v>12000</v>
      </c>
      <c r="O38" s="1434">
        <f>SUM(C38:N39)</f>
        <v>268863</v>
      </c>
      <c r="P38" s="980"/>
    </row>
    <row r="39" spans="1:16" ht="27.75" customHeight="1" thickBot="1">
      <c r="A39" s="1443"/>
      <c r="B39" s="1444"/>
      <c r="C39" s="1445"/>
      <c r="D39" s="1445"/>
      <c r="E39" s="1445"/>
      <c r="F39" s="1445"/>
      <c r="G39" s="1432"/>
      <c r="H39" s="1432"/>
      <c r="I39" s="1432"/>
      <c r="J39" s="1432"/>
      <c r="K39" s="1432"/>
      <c r="L39" s="1432"/>
      <c r="M39" s="1432"/>
      <c r="N39" s="1432"/>
      <c r="O39" s="1435"/>
      <c r="P39" s="980"/>
    </row>
    <row r="40" spans="1:17" ht="18" customHeight="1" thickBot="1">
      <c r="A40" s="769" t="s">
        <v>848</v>
      </c>
      <c r="B40" s="770"/>
      <c r="C40" s="764">
        <f aca="true" t="shared" si="1" ref="C40:N40">SUM(C22:C39)</f>
        <v>1410272</v>
      </c>
      <c r="D40" s="764">
        <f t="shared" si="1"/>
        <v>1255005</v>
      </c>
      <c r="E40" s="764">
        <f t="shared" si="1"/>
        <v>1935384</v>
      </c>
      <c r="F40" s="764">
        <f t="shared" si="1"/>
        <v>1721902</v>
      </c>
      <c r="G40" s="1002">
        <f t="shared" si="1"/>
        <v>1785713</v>
      </c>
      <c r="H40" s="1002">
        <f t="shared" si="1"/>
        <v>1778076</v>
      </c>
      <c r="I40" s="1002">
        <f t="shared" si="1"/>
        <v>1455294</v>
      </c>
      <c r="J40" s="1002">
        <f t="shared" si="1"/>
        <v>2210304</v>
      </c>
      <c r="K40" s="1002">
        <f t="shared" si="1"/>
        <v>1725591</v>
      </c>
      <c r="L40" s="1002">
        <f t="shared" si="1"/>
        <v>2005724</v>
      </c>
      <c r="M40" s="1002">
        <f t="shared" si="1"/>
        <v>2593581</v>
      </c>
      <c r="N40" s="1002">
        <f t="shared" si="1"/>
        <v>5087685</v>
      </c>
      <c r="O40" s="765">
        <f>SUM(O22:O39)</f>
        <v>24964531</v>
      </c>
      <c r="P40" s="980"/>
      <c r="Q40" s="980"/>
    </row>
    <row r="41" spans="1:15" ht="12.75">
      <c r="A41" s="771"/>
      <c r="B41" s="771"/>
      <c r="C41" s="771"/>
      <c r="D41" s="771"/>
      <c r="E41" s="771"/>
      <c r="F41" s="771"/>
      <c r="G41" s="1003"/>
      <c r="H41" s="1003"/>
      <c r="I41" s="1003"/>
      <c r="J41" s="1003"/>
      <c r="K41" s="1003"/>
      <c r="L41" s="1003"/>
      <c r="M41" s="1003"/>
      <c r="N41" s="1003"/>
      <c r="O41" s="771"/>
    </row>
  </sheetData>
  <mergeCells count="227">
    <mergeCell ref="A1:O1"/>
    <mergeCell ref="A2:O2"/>
    <mergeCell ref="A4:B4"/>
    <mergeCell ref="A6:B7"/>
    <mergeCell ref="C6:C7"/>
    <mergeCell ref="D6:D7"/>
    <mergeCell ref="E6:E7"/>
    <mergeCell ref="F6:F7"/>
    <mergeCell ref="G6:G7"/>
    <mergeCell ref="H6:H7"/>
    <mergeCell ref="O6:O7"/>
    <mergeCell ref="I6:I7"/>
    <mergeCell ref="J6:J7"/>
    <mergeCell ref="K6:K7"/>
    <mergeCell ref="L6:L7"/>
    <mergeCell ref="M6:M7"/>
    <mergeCell ref="N6:N7"/>
    <mergeCell ref="N8:N9"/>
    <mergeCell ref="O8:O9"/>
    <mergeCell ref="A10:B11"/>
    <mergeCell ref="C10:C11"/>
    <mergeCell ref="D10:D11"/>
    <mergeCell ref="E10:E11"/>
    <mergeCell ref="F10:F11"/>
    <mergeCell ref="M10:M11"/>
    <mergeCell ref="N10:N11"/>
    <mergeCell ref="O10:O11"/>
    <mergeCell ref="I10:I11"/>
    <mergeCell ref="J10:J11"/>
    <mergeCell ref="K10:K11"/>
    <mergeCell ref="L10:L11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E12:E13"/>
    <mergeCell ref="F12:F13"/>
    <mergeCell ref="G12:G13"/>
    <mergeCell ref="H12:H13"/>
    <mergeCell ref="G10:G11"/>
    <mergeCell ref="H10:H11"/>
    <mergeCell ref="K8:K9"/>
    <mergeCell ref="L8:L9"/>
    <mergeCell ref="M8:M9"/>
    <mergeCell ref="O12:O13"/>
    <mergeCell ref="A14:B15"/>
    <mergeCell ref="C14:C15"/>
    <mergeCell ref="D14:D15"/>
    <mergeCell ref="E14:E15"/>
    <mergeCell ref="F14:F15"/>
    <mergeCell ref="G14:G15"/>
    <mergeCell ref="H14:H15"/>
    <mergeCell ref="I14:I15"/>
    <mergeCell ref="J14:J15"/>
    <mergeCell ref="I12:I13"/>
    <mergeCell ref="J12:J13"/>
    <mergeCell ref="K12:K13"/>
    <mergeCell ref="L12:L13"/>
    <mergeCell ref="M12:M13"/>
    <mergeCell ref="N12:N13"/>
    <mergeCell ref="K14:K15"/>
    <mergeCell ref="L14:L15"/>
    <mergeCell ref="M14:M15"/>
    <mergeCell ref="N14:N15"/>
    <mergeCell ref="O14:O15"/>
    <mergeCell ref="A12:B13"/>
    <mergeCell ref="C12:C13"/>
    <mergeCell ref="D12:D13"/>
    <mergeCell ref="A16:B17"/>
    <mergeCell ref="C16:C17"/>
    <mergeCell ref="D16:D17"/>
    <mergeCell ref="E16:E17"/>
    <mergeCell ref="F16:F17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L16:L17"/>
    <mergeCell ref="O18:O19"/>
    <mergeCell ref="I18:I19"/>
    <mergeCell ref="J18:J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K18:K19"/>
    <mergeCell ref="L18:L19"/>
    <mergeCell ref="M18:M19"/>
    <mergeCell ref="N18:N19"/>
    <mergeCell ref="K22:K23"/>
    <mergeCell ref="L22:L23"/>
    <mergeCell ref="M22:M23"/>
    <mergeCell ref="N22:N23"/>
    <mergeCell ref="O22:O23"/>
    <mergeCell ref="A24:B25"/>
    <mergeCell ref="C24:C25"/>
    <mergeCell ref="D24:D25"/>
    <mergeCell ref="E24:E25"/>
    <mergeCell ref="F24:F25"/>
    <mergeCell ref="M24:M25"/>
    <mergeCell ref="N24:N25"/>
    <mergeCell ref="O24:O25"/>
    <mergeCell ref="A26:B27"/>
    <mergeCell ref="C26:C27"/>
    <mergeCell ref="D26:D27"/>
    <mergeCell ref="E26:E27"/>
    <mergeCell ref="F26:F27"/>
    <mergeCell ref="G26:G27"/>
    <mergeCell ref="H26:H27"/>
    <mergeCell ref="G24:G25"/>
    <mergeCell ref="H24:H25"/>
    <mergeCell ref="I24:I25"/>
    <mergeCell ref="J24:J25"/>
    <mergeCell ref="K24:K25"/>
    <mergeCell ref="L24:L25"/>
    <mergeCell ref="O26:O27"/>
    <mergeCell ref="I26:I27"/>
    <mergeCell ref="J26:J27"/>
    <mergeCell ref="A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6:K27"/>
    <mergeCell ref="L26:L27"/>
    <mergeCell ref="M26:M27"/>
    <mergeCell ref="N26:N27"/>
    <mergeCell ref="K28:K29"/>
    <mergeCell ref="L28:L29"/>
    <mergeCell ref="M28:M29"/>
    <mergeCell ref="N28:N29"/>
    <mergeCell ref="O28:O29"/>
    <mergeCell ref="A30:B31"/>
    <mergeCell ref="C30:C31"/>
    <mergeCell ref="D30:D31"/>
    <mergeCell ref="E30:E31"/>
    <mergeCell ref="F30:F31"/>
    <mergeCell ref="M30:M31"/>
    <mergeCell ref="N30:N31"/>
    <mergeCell ref="O30:O31"/>
    <mergeCell ref="A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O32:O33"/>
    <mergeCell ref="I32:I33"/>
    <mergeCell ref="J32:J3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2:K33"/>
    <mergeCell ref="L32:L33"/>
    <mergeCell ref="M32:M33"/>
    <mergeCell ref="N32:N33"/>
    <mergeCell ref="K34:K35"/>
    <mergeCell ref="L34:L35"/>
    <mergeCell ref="M34:M35"/>
    <mergeCell ref="N34:N35"/>
    <mergeCell ref="O34:O35"/>
    <mergeCell ref="A36:B37"/>
    <mergeCell ref="C36:C37"/>
    <mergeCell ref="D36:D37"/>
    <mergeCell ref="E36:E37"/>
    <mergeCell ref="F36:F37"/>
    <mergeCell ref="A38:B39"/>
    <mergeCell ref="C38:C39"/>
    <mergeCell ref="D38:D39"/>
    <mergeCell ref="E38:E39"/>
    <mergeCell ref="F38:F39"/>
    <mergeCell ref="G38:G39"/>
    <mergeCell ref="H38:H39"/>
    <mergeCell ref="G36:G37"/>
    <mergeCell ref="H36:H37"/>
    <mergeCell ref="O38:O39"/>
    <mergeCell ref="I38:I39"/>
    <mergeCell ref="J38:J39"/>
    <mergeCell ref="K38:K39"/>
    <mergeCell ref="L38:L39"/>
    <mergeCell ref="M38:M39"/>
    <mergeCell ref="N38:N39"/>
    <mergeCell ref="M36:M37"/>
    <mergeCell ref="N36:N37"/>
    <mergeCell ref="O36:O37"/>
    <mergeCell ref="I36:I37"/>
    <mergeCell ref="J36:J37"/>
    <mergeCell ref="K36:K37"/>
    <mergeCell ref="L36:L37"/>
  </mergeCells>
  <printOptions horizontalCentered="1" verticalCentered="1"/>
  <pageMargins left="0" right="0" top="0" bottom="0.3937007874015748" header="0" footer="0.1968503937007874"/>
  <pageSetup firstPageNumber="52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 topLeftCell="A4">
      <selection activeCell="I27" sqref="I27"/>
    </sheetView>
  </sheetViews>
  <sheetFormatPr defaultColWidth="9.125" defaultRowHeight="12.75"/>
  <cols>
    <col min="1" max="1" width="9.125" style="772" customWidth="1"/>
    <col min="2" max="2" width="31.875" style="772" customWidth="1"/>
    <col min="3" max="3" width="14.75390625" style="772" customWidth="1"/>
    <col min="4" max="4" width="14.125" style="772" customWidth="1"/>
    <col min="5" max="5" width="12.875" style="772" customWidth="1"/>
    <col min="6" max="6" width="13.125" style="772" customWidth="1"/>
    <col min="7" max="7" width="13.875" style="772" customWidth="1"/>
    <col min="8" max="16384" width="9.125" style="772" customWidth="1"/>
  </cols>
  <sheetData>
    <row r="2" spans="2:7" ht="12.75">
      <c r="B2" s="1488" t="s">
        <v>849</v>
      </c>
      <c r="C2" s="1488"/>
      <c r="D2" s="1488"/>
      <c r="E2" s="1489"/>
      <c r="F2" s="1489"/>
      <c r="G2" s="1489"/>
    </row>
    <row r="3" spans="2:7" ht="12.75">
      <c r="B3" s="1490" t="s">
        <v>850</v>
      </c>
      <c r="C3" s="1490"/>
      <c r="D3" s="1490"/>
      <c r="E3" s="1491"/>
      <c r="F3" s="1491"/>
      <c r="G3" s="1491"/>
    </row>
    <row r="4" spans="2:7" ht="12.75">
      <c r="B4" s="1491"/>
      <c r="C4" s="1491"/>
      <c r="D4" s="1491"/>
      <c r="E4" s="1491"/>
      <c r="F4" s="1491"/>
      <c r="G4" s="1491"/>
    </row>
    <row r="5" spans="2:7" ht="12.75">
      <c r="B5" s="773"/>
      <c r="C5" s="773"/>
      <c r="D5" s="773"/>
      <c r="E5" s="773"/>
      <c r="F5" s="773"/>
      <c r="G5" s="773"/>
    </row>
    <row r="6" ht="12.75">
      <c r="G6" s="774" t="s">
        <v>524</v>
      </c>
    </row>
    <row r="7" spans="2:7" ht="12.75" customHeight="1">
      <c r="B7" s="1492" t="s">
        <v>851</v>
      </c>
      <c r="C7" s="1495" t="s">
        <v>1343</v>
      </c>
      <c r="D7" s="1495" t="s">
        <v>1199</v>
      </c>
      <c r="E7" s="1493" t="s">
        <v>852</v>
      </c>
      <c r="F7" s="1493" t="s">
        <v>1106</v>
      </c>
      <c r="G7" s="1493" t="s">
        <v>1200</v>
      </c>
    </row>
    <row r="8" spans="2:7" ht="30.75" customHeight="1">
      <c r="B8" s="1492"/>
      <c r="C8" s="1495"/>
      <c r="D8" s="1495"/>
      <c r="E8" s="1494"/>
      <c r="F8" s="1494"/>
      <c r="G8" s="1494"/>
    </row>
    <row r="9" spans="2:7" ht="12.75" customHeight="1">
      <c r="B9" s="1480" t="s">
        <v>853</v>
      </c>
      <c r="C9" s="1487">
        <v>9155681</v>
      </c>
      <c r="D9" s="1479">
        <v>9155681</v>
      </c>
      <c r="E9" s="1479">
        <v>9497965</v>
      </c>
      <c r="F9" s="1479">
        <v>9497965</v>
      </c>
      <c r="G9" s="1479">
        <v>9497965</v>
      </c>
    </row>
    <row r="10" spans="2:7" ht="12.75" customHeight="1">
      <c r="B10" s="1480"/>
      <c r="C10" s="1487"/>
      <c r="D10" s="1479"/>
      <c r="E10" s="1479"/>
      <c r="F10" s="1479"/>
      <c r="G10" s="1479"/>
    </row>
    <row r="11" spans="2:8" ht="27" customHeight="1">
      <c r="B11" s="1480"/>
      <c r="C11" s="1487"/>
      <c r="D11" s="1479"/>
      <c r="E11" s="1479"/>
      <c r="F11" s="1479"/>
      <c r="G11" s="1479"/>
      <c r="H11" s="775"/>
    </row>
    <row r="12" spans="2:7" ht="13.15" customHeight="1">
      <c r="B12" s="1480" t="s">
        <v>854</v>
      </c>
      <c r="C12" s="1487">
        <v>684000</v>
      </c>
      <c r="D12" s="1479">
        <v>684000</v>
      </c>
      <c r="E12" s="1479">
        <v>718200</v>
      </c>
      <c r="F12" s="1479">
        <v>754110</v>
      </c>
      <c r="G12" s="1479">
        <v>791815</v>
      </c>
    </row>
    <row r="13" spans="2:7" ht="13.15" customHeight="1">
      <c r="B13" s="1480"/>
      <c r="C13" s="1487"/>
      <c r="D13" s="1479"/>
      <c r="E13" s="1479"/>
      <c r="F13" s="1479"/>
      <c r="G13" s="1479"/>
    </row>
    <row r="14" spans="2:8" ht="60" customHeight="1">
      <c r="B14" s="1480"/>
      <c r="C14" s="1487"/>
      <c r="D14" s="1479"/>
      <c r="E14" s="1479"/>
      <c r="F14" s="1479"/>
      <c r="G14" s="1479"/>
      <c r="H14" s="775"/>
    </row>
    <row r="15" spans="2:7" ht="12.75" customHeight="1">
      <c r="B15" s="1480" t="s">
        <v>855</v>
      </c>
      <c r="C15" s="1484" t="s">
        <v>856</v>
      </c>
      <c r="D15" s="1481" t="s">
        <v>856</v>
      </c>
      <c r="E15" s="1481" t="s">
        <v>856</v>
      </c>
      <c r="F15" s="1481" t="s">
        <v>856</v>
      </c>
      <c r="G15" s="1481" t="s">
        <v>856</v>
      </c>
    </row>
    <row r="16" spans="2:7" ht="12.75" customHeight="1">
      <c r="B16" s="1480"/>
      <c r="C16" s="1485"/>
      <c r="D16" s="1482"/>
      <c r="E16" s="1482"/>
      <c r="F16" s="1482"/>
      <c r="G16" s="1482"/>
    </row>
    <row r="17" spans="2:7" ht="27" customHeight="1">
      <c r="B17" s="1480"/>
      <c r="C17" s="1486"/>
      <c r="D17" s="1483"/>
      <c r="E17" s="1483"/>
      <c r="F17" s="1483"/>
      <c r="G17" s="1483"/>
    </row>
    <row r="18" spans="2:7" ht="12.75" customHeight="1">
      <c r="B18" s="1480" t="s">
        <v>857</v>
      </c>
      <c r="C18" s="1487">
        <v>290000</v>
      </c>
      <c r="D18" s="1479">
        <v>290000</v>
      </c>
      <c r="E18" s="1479">
        <v>290000</v>
      </c>
      <c r="F18" s="1479">
        <v>290000</v>
      </c>
      <c r="G18" s="1479">
        <v>290000</v>
      </c>
    </row>
    <row r="19" spans="2:7" ht="15.75" customHeight="1">
      <c r="B19" s="1480"/>
      <c r="C19" s="1487"/>
      <c r="D19" s="1479"/>
      <c r="E19" s="1479"/>
      <c r="F19" s="1479"/>
      <c r="G19" s="1479"/>
    </row>
    <row r="20" spans="2:7" ht="43.5" customHeight="1">
      <c r="B20" s="1480"/>
      <c r="C20" s="1487"/>
      <c r="D20" s="1479"/>
      <c r="E20" s="1479"/>
      <c r="F20" s="1479"/>
      <c r="G20" s="1479"/>
    </row>
    <row r="21" spans="2:7" ht="12.75" customHeight="1">
      <c r="B21" s="1480" t="s">
        <v>858</v>
      </c>
      <c r="C21" s="1487">
        <v>742096</v>
      </c>
      <c r="D21" s="1479">
        <v>742096</v>
      </c>
      <c r="E21" s="1479">
        <v>745000</v>
      </c>
      <c r="F21" s="1479">
        <v>745000</v>
      </c>
      <c r="G21" s="1479">
        <v>745000</v>
      </c>
    </row>
    <row r="22" spans="2:7" ht="12.75" customHeight="1">
      <c r="B22" s="1480"/>
      <c r="C22" s="1487"/>
      <c r="D22" s="1479"/>
      <c r="E22" s="1479"/>
      <c r="F22" s="1479"/>
      <c r="G22" s="1479"/>
    </row>
    <row r="23" spans="2:8" ht="27" customHeight="1">
      <c r="B23" s="1480"/>
      <c r="C23" s="1487"/>
      <c r="D23" s="1479"/>
      <c r="E23" s="1479"/>
      <c r="F23" s="1479"/>
      <c r="G23" s="1479"/>
      <c r="H23" s="775"/>
    </row>
    <row r="24" spans="2:7" ht="12.75" customHeight="1">
      <c r="B24" s="1480" t="s">
        <v>859</v>
      </c>
      <c r="C24" s="1484" t="s">
        <v>856</v>
      </c>
      <c r="D24" s="1481" t="s">
        <v>856</v>
      </c>
      <c r="E24" s="1481" t="s">
        <v>856</v>
      </c>
      <c r="F24" s="1481" t="s">
        <v>856</v>
      </c>
      <c r="G24" s="1481" t="s">
        <v>856</v>
      </c>
    </row>
    <row r="25" spans="2:7" ht="12.75" customHeight="1">
      <c r="B25" s="1480"/>
      <c r="C25" s="1485"/>
      <c r="D25" s="1482"/>
      <c r="E25" s="1482"/>
      <c r="F25" s="1482"/>
      <c r="G25" s="1482"/>
    </row>
    <row r="26" spans="2:7" ht="27" customHeight="1">
      <c r="B26" s="1480"/>
      <c r="C26" s="1486"/>
      <c r="D26" s="1483"/>
      <c r="E26" s="1483"/>
      <c r="F26" s="1483"/>
      <c r="G26" s="1483"/>
    </row>
    <row r="27" spans="2:7" ht="12.75" customHeight="1">
      <c r="B27" s="1473" t="s">
        <v>150</v>
      </c>
      <c r="C27" s="1476">
        <f aca="true" t="shared" si="0" ref="C27:D27">SUM(C9:C26)</f>
        <v>10871777</v>
      </c>
      <c r="D27" s="1470">
        <f t="shared" si="0"/>
        <v>10871777</v>
      </c>
      <c r="E27" s="1470">
        <f aca="true" t="shared" si="1" ref="E27:G27">SUM(E9:E26)</f>
        <v>11251165</v>
      </c>
      <c r="F27" s="1470">
        <f t="shared" si="1"/>
        <v>11287075</v>
      </c>
      <c r="G27" s="1470">
        <f t="shared" si="1"/>
        <v>11324780</v>
      </c>
    </row>
    <row r="28" spans="2:7" ht="12.75" customHeight="1">
      <c r="B28" s="1473"/>
      <c r="C28" s="1476"/>
      <c r="D28" s="1470"/>
      <c r="E28" s="1470"/>
      <c r="F28" s="1470"/>
      <c r="G28" s="1470"/>
    </row>
    <row r="29" spans="2:7" ht="27.75" customHeight="1" thickBot="1">
      <c r="B29" s="1474"/>
      <c r="C29" s="1477"/>
      <c r="D29" s="1471"/>
      <c r="E29" s="1471"/>
      <c r="F29" s="1471"/>
      <c r="G29" s="1471"/>
    </row>
    <row r="30" spans="2:7" ht="21" customHeight="1" thickTop="1">
      <c r="B30" s="1472" t="s">
        <v>860</v>
      </c>
      <c r="C30" s="1478">
        <v>48812</v>
      </c>
      <c r="D30" s="1475">
        <v>48812</v>
      </c>
      <c r="E30" s="1475">
        <v>48552</v>
      </c>
      <c r="F30" s="1475">
        <v>48292</v>
      </c>
      <c r="G30" s="1475"/>
    </row>
    <row r="31" spans="1:7" ht="18.75" customHeight="1">
      <c r="A31" s="776"/>
      <c r="B31" s="1473"/>
      <c r="C31" s="1476"/>
      <c r="D31" s="1470"/>
      <c r="E31" s="1470"/>
      <c r="F31" s="1470"/>
      <c r="G31" s="1470"/>
    </row>
    <row r="32" spans="2:7" ht="18.75" customHeight="1" thickBot="1">
      <c r="B32" s="1474"/>
      <c r="C32" s="1477"/>
      <c r="D32" s="1471"/>
      <c r="E32" s="1471"/>
      <c r="F32" s="1471"/>
      <c r="G32" s="1471"/>
    </row>
    <row r="33" ht="13.5" thickTop="1"/>
  </sheetData>
  <mergeCells count="56">
    <mergeCell ref="B2:G2"/>
    <mergeCell ref="B3:G4"/>
    <mergeCell ref="B7:B8"/>
    <mergeCell ref="E7:E8"/>
    <mergeCell ref="F7:F8"/>
    <mergeCell ref="G7:G8"/>
    <mergeCell ref="D7:D8"/>
    <mergeCell ref="C7:C8"/>
    <mergeCell ref="F9:F11"/>
    <mergeCell ref="G9:G11"/>
    <mergeCell ref="B12:B14"/>
    <mergeCell ref="E12:E14"/>
    <mergeCell ref="F12:F14"/>
    <mergeCell ref="G12:G14"/>
    <mergeCell ref="B9:B11"/>
    <mergeCell ref="E9:E11"/>
    <mergeCell ref="D9:D11"/>
    <mergeCell ref="D12:D14"/>
    <mergeCell ref="C9:C11"/>
    <mergeCell ref="C12:C14"/>
    <mergeCell ref="F15:F17"/>
    <mergeCell ref="G15:G17"/>
    <mergeCell ref="B18:B20"/>
    <mergeCell ref="E18:E20"/>
    <mergeCell ref="F18:F20"/>
    <mergeCell ref="G18:G20"/>
    <mergeCell ref="B15:B17"/>
    <mergeCell ref="E15:E17"/>
    <mergeCell ref="D15:D17"/>
    <mergeCell ref="D18:D20"/>
    <mergeCell ref="C15:C17"/>
    <mergeCell ref="C18:C20"/>
    <mergeCell ref="F21:F23"/>
    <mergeCell ref="G21:G23"/>
    <mergeCell ref="B24:B26"/>
    <mergeCell ref="E24:E26"/>
    <mergeCell ref="F24:F26"/>
    <mergeCell ref="G24:G26"/>
    <mergeCell ref="B21:B23"/>
    <mergeCell ref="E21:E23"/>
    <mergeCell ref="D21:D23"/>
    <mergeCell ref="D24:D26"/>
    <mergeCell ref="C24:C26"/>
    <mergeCell ref="C21:C23"/>
    <mergeCell ref="F27:F29"/>
    <mergeCell ref="G27:G29"/>
    <mergeCell ref="B30:B32"/>
    <mergeCell ref="E30:E32"/>
    <mergeCell ref="F30:F32"/>
    <mergeCell ref="G30:G32"/>
    <mergeCell ref="B27:B29"/>
    <mergeCell ref="E27:E29"/>
    <mergeCell ref="D27:D29"/>
    <mergeCell ref="D30:D32"/>
    <mergeCell ref="C27:C29"/>
    <mergeCell ref="C30:C32"/>
  </mergeCells>
  <printOptions/>
  <pageMargins left="0.5905511811023623" right="0.7874015748031497" top="0.984251968503937" bottom="0.984251968503937" header="0.5118110236220472" footer="0.5118110236220472"/>
  <pageSetup firstPageNumber="53" useFirstPageNumber="1" horizontalDpi="600" verticalDpi="600" orientation="portrait" paperSize="9" scale="57" r:id="rId1"/>
  <headerFooter alignWithMargins="0">
    <oddFooter>&amp;C&amp;P.oldal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45"/>
  <sheetViews>
    <sheetView showZeros="0" tabSelected="1" view="pageBreakPreview" zoomScaleSheetLayoutView="100" workbookViewId="0" topLeftCell="A4">
      <selection activeCell="B158" sqref="B158"/>
    </sheetView>
  </sheetViews>
  <sheetFormatPr defaultColWidth="9.125" defaultRowHeight="12.75"/>
  <cols>
    <col min="1" max="1" width="8.375" style="140" customWidth="1"/>
    <col min="2" max="2" width="72.125" style="98" customWidth="1"/>
    <col min="3" max="4" width="13.25390625" style="98" customWidth="1"/>
    <col min="5" max="5" width="8.75390625" style="98" customWidth="1"/>
    <col min="6" max="6" width="10.375" style="98" customWidth="1"/>
    <col min="7" max="16384" width="9.125" style="98" customWidth="1"/>
  </cols>
  <sheetData>
    <row r="1" spans="1:5" ht="12.75">
      <c r="A1" s="1220" t="s">
        <v>153</v>
      </c>
      <c r="B1" s="1220"/>
      <c r="C1" s="1221"/>
      <c r="D1" s="1221"/>
      <c r="E1" s="1222"/>
    </row>
    <row r="2" spans="1:5" ht="12.75">
      <c r="A2" s="1220" t="s">
        <v>1181</v>
      </c>
      <c r="B2" s="1220"/>
      <c r="C2" s="1221"/>
      <c r="D2" s="1221"/>
      <c r="E2" s="1222"/>
    </row>
    <row r="3" spans="1:2" ht="12.75">
      <c r="A3" s="96"/>
      <c r="B3" s="97"/>
    </row>
    <row r="4" spans="1:5" ht="11.25" customHeight="1">
      <c r="A4" s="96"/>
      <c r="B4" s="96"/>
      <c r="C4" s="99"/>
      <c r="D4" s="99"/>
      <c r="E4" s="468" t="s">
        <v>154</v>
      </c>
    </row>
    <row r="5" spans="1:5" s="100" customFormat="1" ht="19.5" customHeight="1">
      <c r="A5" s="1227" t="s">
        <v>160</v>
      </c>
      <c r="B5" s="1225" t="s">
        <v>149</v>
      </c>
      <c r="C5" s="1228" t="s">
        <v>1320</v>
      </c>
      <c r="D5" s="1228" t="s">
        <v>1327</v>
      </c>
      <c r="E5" s="1223" t="s">
        <v>1328</v>
      </c>
    </row>
    <row r="6" spans="1:5" s="100" customFormat="1" ht="17.25" customHeight="1">
      <c r="A6" s="1226"/>
      <c r="B6" s="1226"/>
      <c r="C6" s="1229"/>
      <c r="D6" s="1229"/>
      <c r="E6" s="1224"/>
    </row>
    <row r="7" spans="1:5" s="100" customFormat="1" ht="11.25" customHeight="1">
      <c r="A7" s="101" t="s">
        <v>139</v>
      </c>
      <c r="B7" s="102" t="s">
        <v>140</v>
      </c>
      <c r="C7" s="178" t="s">
        <v>522</v>
      </c>
      <c r="D7" s="178" t="s">
        <v>523</v>
      </c>
      <c r="E7" s="178" t="s">
        <v>539</v>
      </c>
    </row>
    <row r="8" spans="1:5" s="105" customFormat="1" ht="16.5" customHeight="1">
      <c r="A8" s="103"/>
      <c r="B8" s="198" t="s">
        <v>305</v>
      </c>
      <c r="C8" s="644"/>
      <c r="D8" s="644"/>
      <c r="E8" s="157"/>
    </row>
    <row r="9" spans="1:5" ht="12" customHeight="1">
      <c r="A9" s="106"/>
      <c r="B9" s="107"/>
      <c r="C9" s="106"/>
      <c r="D9" s="106"/>
      <c r="E9" s="107"/>
    </row>
    <row r="10" spans="1:5" ht="12" customHeight="1">
      <c r="A10" s="110">
        <v>1010</v>
      </c>
      <c r="B10" s="120" t="s">
        <v>177</v>
      </c>
      <c r="C10" s="521">
        <f aca="true" t="shared" si="0" ref="C10">SUM(C11:C16)</f>
        <v>3107321</v>
      </c>
      <c r="D10" s="521">
        <f>SUM(D11:D16)</f>
        <v>3179085</v>
      </c>
      <c r="E10" s="213">
        <f>SUM(D10/C10)</f>
        <v>1.0230951356490043</v>
      </c>
    </row>
    <row r="11" spans="1:5" ht="12" customHeight="1">
      <c r="A11" s="106">
        <v>1011</v>
      </c>
      <c r="B11" s="107" t="s">
        <v>178</v>
      </c>
      <c r="C11" s="520">
        <v>797474</v>
      </c>
      <c r="D11" s="520">
        <v>797474</v>
      </c>
      <c r="E11" s="539">
        <f aca="true" t="shared" si="1" ref="E11:E74">SUM(D11/C11)</f>
        <v>1</v>
      </c>
    </row>
    <row r="12" spans="1:5" ht="12" customHeight="1">
      <c r="A12" s="106">
        <v>1012</v>
      </c>
      <c r="B12" s="107" t="s">
        <v>179</v>
      </c>
      <c r="C12" s="549">
        <v>1032142</v>
      </c>
      <c r="D12" s="549">
        <v>1032142</v>
      </c>
      <c r="E12" s="539">
        <f t="shared" si="1"/>
        <v>1</v>
      </c>
    </row>
    <row r="13" spans="1:6" ht="12" customHeight="1">
      <c r="A13" s="106">
        <v>1013</v>
      </c>
      <c r="B13" s="107" t="s">
        <v>391</v>
      </c>
      <c r="C13" s="549">
        <v>1029737</v>
      </c>
      <c r="D13" s="549">
        <f>1029737+60996</f>
        <v>1090733</v>
      </c>
      <c r="E13" s="539">
        <f t="shared" si="1"/>
        <v>1.0592345424122858</v>
      </c>
      <c r="F13" s="223"/>
    </row>
    <row r="14" spans="1:6" ht="12" customHeight="1">
      <c r="A14" s="106">
        <v>1014</v>
      </c>
      <c r="B14" s="107" t="s">
        <v>180</v>
      </c>
      <c r="C14" s="520">
        <v>247968</v>
      </c>
      <c r="D14" s="520">
        <v>247968</v>
      </c>
      <c r="E14" s="539">
        <f t="shared" si="1"/>
        <v>1</v>
      </c>
      <c r="F14" s="223"/>
    </row>
    <row r="15" spans="1:6" ht="12" customHeight="1">
      <c r="A15" s="106">
        <v>1015</v>
      </c>
      <c r="B15" s="107" t="s">
        <v>2</v>
      </c>
      <c r="C15" s="520"/>
      <c r="D15" s="520"/>
      <c r="E15" s="539"/>
      <c r="F15" s="470"/>
    </row>
    <row r="16" spans="1:6" ht="12" customHeight="1">
      <c r="A16" s="106">
        <v>1016</v>
      </c>
      <c r="B16" s="107" t="s">
        <v>3</v>
      </c>
      <c r="C16" s="520"/>
      <c r="D16" s="520">
        <v>10768</v>
      </c>
      <c r="E16" s="539"/>
      <c r="F16" s="223"/>
    </row>
    <row r="17" spans="1:6" ht="15" customHeight="1">
      <c r="A17" s="110">
        <v>1020</v>
      </c>
      <c r="B17" s="120" t="s">
        <v>181</v>
      </c>
      <c r="C17" s="520"/>
      <c r="D17" s="520"/>
      <c r="E17" s="539"/>
      <c r="F17" s="223"/>
    </row>
    <row r="18" spans="1:6" ht="15" customHeight="1">
      <c r="A18" s="110">
        <v>1029</v>
      </c>
      <c r="B18" s="120" t="s">
        <v>1175</v>
      </c>
      <c r="C18" s="521">
        <v>19052</v>
      </c>
      <c r="D18" s="521">
        <v>19052</v>
      </c>
      <c r="E18" s="539">
        <f t="shared" si="1"/>
        <v>1</v>
      </c>
      <c r="F18" s="223"/>
    </row>
    <row r="19" spans="1:6" ht="15" customHeight="1">
      <c r="A19" s="110">
        <v>1030</v>
      </c>
      <c r="B19" s="120" t="s">
        <v>363</v>
      </c>
      <c r="C19" s="521"/>
      <c r="D19" s="521"/>
      <c r="E19" s="539"/>
      <c r="F19" s="223"/>
    </row>
    <row r="20" spans="1:6" ht="15" customHeight="1">
      <c r="A20" s="110">
        <v>1031</v>
      </c>
      <c r="B20" s="109" t="s">
        <v>535</v>
      </c>
      <c r="C20" s="521">
        <v>2450</v>
      </c>
      <c r="D20" s="521">
        <v>2450</v>
      </c>
      <c r="E20" s="539">
        <f t="shared" si="1"/>
        <v>1</v>
      </c>
      <c r="F20" s="223"/>
    </row>
    <row r="21" spans="1:6" ht="15" customHeight="1" thickBot="1">
      <c r="A21" s="932">
        <v>1032</v>
      </c>
      <c r="B21" s="933" t="s">
        <v>1170</v>
      </c>
      <c r="C21" s="824">
        <v>15865</v>
      </c>
      <c r="D21" s="824">
        <v>15865</v>
      </c>
      <c r="E21" s="894">
        <f t="shared" si="1"/>
        <v>1</v>
      </c>
      <c r="F21" s="223"/>
    </row>
    <row r="22" spans="1:6" ht="16.5" customHeight="1" thickBot="1">
      <c r="A22" s="134"/>
      <c r="B22" s="190" t="s">
        <v>364</v>
      </c>
      <c r="C22" s="522">
        <f>SUM(C10+C21+C20+C18)</f>
        <v>3144688</v>
      </c>
      <c r="D22" s="522">
        <f>SUM(D10+D21+D20+D18)</f>
        <v>3216452</v>
      </c>
      <c r="E22" s="653">
        <f t="shared" si="1"/>
        <v>1.0228207059015075</v>
      </c>
      <c r="F22" s="223"/>
    </row>
    <row r="23" spans="1:5" ht="12" customHeight="1">
      <c r="A23" s="129"/>
      <c r="B23" s="142"/>
      <c r="C23" s="821"/>
      <c r="D23" s="821"/>
      <c r="E23" s="649"/>
    </row>
    <row r="24" spans="1:5" ht="12" customHeight="1">
      <c r="A24" s="108">
        <v>1040</v>
      </c>
      <c r="B24" s="109" t="s">
        <v>183</v>
      </c>
      <c r="C24" s="521">
        <f aca="true" t="shared" si="2" ref="C24">SUM(C25:C26)</f>
        <v>3859000</v>
      </c>
      <c r="D24" s="521">
        <f aca="true" t="shared" si="3" ref="D24">SUM(D25:D26)</f>
        <v>3859000</v>
      </c>
      <c r="E24" s="213">
        <f t="shared" si="1"/>
        <v>1</v>
      </c>
    </row>
    <row r="25" spans="1:6" ht="12" customHeight="1">
      <c r="A25" s="117">
        <v>1041</v>
      </c>
      <c r="B25" s="115" t="s">
        <v>25</v>
      </c>
      <c r="C25" s="520">
        <v>3260000</v>
      </c>
      <c r="D25" s="520">
        <v>3260000</v>
      </c>
      <c r="E25" s="539">
        <f t="shared" si="1"/>
        <v>1</v>
      </c>
      <c r="F25" s="140"/>
    </row>
    <row r="26" spans="1:5" ht="12" customHeight="1">
      <c r="A26" s="117">
        <v>1042</v>
      </c>
      <c r="B26" s="115" t="s">
        <v>26</v>
      </c>
      <c r="C26" s="520">
        <v>599000</v>
      </c>
      <c r="D26" s="520">
        <v>599000</v>
      </c>
      <c r="E26" s="539">
        <f t="shared" si="1"/>
        <v>1</v>
      </c>
    </row>
    <row r="27" spans="1:5" ht="12" customHeight="1">
      <c r="A27" s="112">
        <v>1050</v>
      </c>
      <c r="B27" s="111" t="s">
        <v>184</v>
      </c>
      <c r="C27" s="521">
        <f aca="true" t="shared" si="4" ref="C27">SUM(C28:C30)</f>
        <v>5296631</v>
      </c>
      <c r="D27" s="521">
        <f aca="true" t="shared" si="5" ref="D27">SUM(D28:D30)</f>
        <v>5296631</v>
      </c>
      <c r="E27" s="213">
        <f t="shared" si="1"/>
        <v>1</v>
      </c>
    </row>
    <row r="28" spans="1:5" ht="12.75" customHeight="1">
      <c r="A28" s="118">
        <v>1051</v>
      </c>
      <c r="B28" s="107" t="s">
        <v>155</v>
      </c>
      <c r="C28" s="520">
        <v>5161631</v>
      </c>
      <c r="D28" s="520">
        <v>5161631</v>
      </c>
      <c r="E28" s="539">
        <f t="shared" si="1"/>
        <v>1</v>
      </c>
    </row>
    <row r="29" spans="1:5" ht="12.75" customHeight="1">
      <c r="A29" s="118">
        <v>1052</v>
      </c>
      <c r="B29" s="119" t="s">
        <v>365</v>
      </c>
      <c r="C29" s="520"/>
      <c r="D29" s="520"/>
      <c r="E29" s="539"/>
    </row>
    <row r="30" spans="1:5" ht="12.75" customHeight="1">
      <c r="A30" s="118">
        <v>1053</v>
      </c>
      <c r="B30" s="114" t="s">
        <v>151</v>
      </c>
      <c r="C30" s="520">
        <v>135000</v>
      </c>
      <c r="D30" s="520">
        <v>135000</v>
      </c>
      <c r="E30" s="539">
        <f t="shared" si="1"/>
        <v>1</v>
      </c>
    </row>
    <row r="31" spans="1:5" ht="12" customHeight="1">
      <c r="A31" s="112">
        <v>1070</v>
      </c>
      <c r="B31" s="111" t="s">
        <v>157</v>
      </c>
      <c r="C31" s="521">
        <f>SUM(C32:C41)</f>
        <v>707096</v>
      </c>
      <c r="D31" s="521">
        <f>SUM(D32:D41)</f>
        <v>707096</v>
      </c>
      <c r="E31" s="213">
        <f t="shared" si="1"/>
        <v>1</v>
      </c>
    </row>
    <row r="32" spans="1:5" ht="12" customHeight="1">
      <c r="A32" s="118">
        <v>1071</v>
      </c>
      <c r="B32" s="115" t="s">
        <v>185</v>
      </c>
      <c r="C32" s="520">
        <v>1000</v>
      </c>
      <c r="D32" s="520">
        <v>1000</v>
      </c>
      <c r="E32" s="539">
        <f t="shared" si="1"/>
        <v>1</v>
      </c>
    </row>
    <row r="33" spans="1:5" ht="12" customHeight="1">
      <c r="A33" s="118">
        <v>1073</v>
      </c>
      <c r="B33" s="107" t="s">
        <v>186</v>
      </c>
      <c r="C33" s="520"/>
      <c r="D33" s="520"/>
      <c r="E33" s="539"/>
    </row>
    <row r="34" spans="1:6" ht="12" customHeight="1">
      <c r="A34" s="118">
        <v>1074</v>
      </c>
      <c r="B34" s="107" t="s">
        <v>187</v>
      </c>
      <c r="C34" s="520">
        <v>1000</v>
      </c>
      <c r="D34" s="520">
        <v>1000</v>
      </c>
      <c r="E34" s="539">
        <f t="shared" si="1"/>
        <v>1</v>
      </c>
      <c r="F34" s="516">
        <v>0</v>
      </c>
    </row>
    <row r="35" spans="1:5" ht="12" customHeight="1">
      <c r="A35" s="118">
        <v>1075</v>
      </c>
      <c r="B35" s="114" t="s">
        <v>366</v>
      </c>
      <c r="C35" s="520">
        <v>20000</v>
      </c>
      <c r="D35" s="520">
        <v>20000</v>
      </c>
      <c r="E35" s="539">
        <f t="shared" si="1"/>
        <v>1</v>
      </c>
    </row>
    <row r="36" spans="1:5" ht="12" customHeight="1">
      <c r="A36" s="118">
        <v>1076</v>
      </c>
      <c r="B36" s="114" t="s">
        <v>367</v>
      </c>
      <c r="C36" s="520">
        <v>12116</v>
      </c>
      <c r="D36" s="520">
        <v>12116</v>
      </c>
      <c r="E36" s="539">
        <f t="shared" si="1"/>
        <v>1</v>
      </c>
    </row>
    <row r="37" spans="1:5" ht="12" customHeight="1">
      <c r="A37" s="118">
        <v>1077</v>
      </c>
      <c r="B37" s="119" t="s">
        <v>188</v>
      </c>
      <c r="C37" s="520">
        <v>285980</v>
      </c>
      <c r="D37" s="520">
        <v>285980</v>
      </c>
      <c r="E37" s="539">
        <f t="shared" si="1"/>
        <v>1</v>
      </c>
    </row>
    <row r="38" spans="1:5" ht="12" customHeight="1">
      <c r="A38" s="118">
        <v>1078</v>
      </c>
      <c r="B38" s="115" t="s">
        <v>189</v>
      </c>
      <c r="C38" s="520">
        <v>2000</v>
      </c>
      <c r="D38" s="520">
        <v>2000</v>
      </c>
      <c r="E38" s="539">
        <f t="shared" si="1"/>
        <v>1</v>
      </c>
    </row>
    <row r="39" spans="1:5" ht="12" customHeight="1">
      <c r="A39" s="118">
        <v>1079</v>
      </c>
      <c r="B39" s="115" t="s">
        <v>385</v>
      </c>
      <c r="C39" s="520">
        <v>10000</v>
      </c>
      <c r="D39" s="520">
        <v>10000</v>
      </c>
      <c r="E39" s="539">
        <f t="shared" si="1"/>
        <v>1</v>
      </c>
    </row>
    <row r="40" spans="1:5" ht="12" customHeight="1">
      <c r="A40" s="117">
        <v>1081</v>
      </c>
      <c r="B40" s="115" t="s">
        <v>1112</v>
      </c>
      <c r="C40" s="520">
        <v>375000</v>
      </c>
      <c r="D40" s="520">
        <v>375000</v>
      </c>
      <c r="E40" s="539">
        <f t="shared" si="1"/>
        <v>1</v>
      </c>
    </row>
    <row r="41" spans="1:5" ht="13.5" customHeight="1" thickBot="1">
      <c r="A41" s="133">
        <v>1082</v>
      </c>
      <c r="B41" s="212" t="s">
        <v>142</v>
      </c>
      <c r="C41" s="637"/>
      <c r="D41" s="637"/>
      <c r="E41" s="653"/>
    </row>
    <row r="42" spans="1:5" ht="17.25" customHeight="1" thickBot="1">
      <c r="A42" s="135"/>
      <c r="B42" s="480" t="s">
        <v>190</v>
      </c>
      <c r="C42" s="822">
        <f>SUM(C24+C27+C31)</f>
        <v>9862727</v>
      </c>
      <c r="D42" s="822">
        <f>SUM(D24+D27+D31)</f>
        <v>9862727</v>
      </c>
      <c r="E42" s="540">
        <f t="shared" si="1"/>
        <v>1</v>
      </c>
    </row>
    <row r="43" spans="1:5" ht="12" customHeight="1">
      <c r="A43" s="118"/>
      <c r="B43" s="175"/>
      <c r="C43" s="821"/>
      <c r="D43" s="821"/>
      <c r="E43" s="649"/>
    </row>
    <row r="44" spans="1:5" ht="12" customHeight="1">
      <c r="A44" s="112">
        <v>1090</v>
      </c>
      <c r="B44" s="191" t="s">
        <v>191</v>
      </c>
      <c r="C44" s="521">
        <f>SUM(C45:C52)</f>
        <v>1553520</v>
      </c>
      <c r="D44" s="521">
        <f>SUM(D45:D52)</f>
        <v>1553520</v>
      </c>
      <c r="E44" s="213">
        <f t="shared" si="1"/>
        <v>1</v>
      </c>
    </row>
    <row r="45" spans="1:7" ht="12" customHeight="1">
      <c r="A45" s="118">
        <v>1092</v>
      </c>
      <c r="B45" s="115" t="s">
        <v>143</v>
      </c>
      <c r="C45" s="520">
        <v>815520</v>
      </c>
      <c r="D45" s="520">
        <v>815520</v>
      </c>
      <c r="E45" s="539">
        <f t="shared" si="1"/>
        <v>1</v>
      </c>
      <c r="G45" s="556"/>
    </row>
    <row r="46" spans="1:5" ht="12" customHeight="1">
      <c r="A46" s="118">
        <v>1093</v>
      </c>
      <c r="B46" s="115" t="s">
        <v>415</v>
      </c>
      <c r="C46" s="520">
        <v>8500</v>
      </c>
      <c r="D46" s="520">
        <v>8500</v>
      </c>
      <c r="E46" s="539">
        <f t="shared" si="1"/>
        <v>1</v>
      </c>
    </row>
    <row r="47" spans="1:6" ht="12" customHeight="1">
      <c r="A47" s="118">
        <v>1094</v>
      </c>
      <c r="B47" s="115" t="s">
        <v>416</v>
      </c>
      <c r="C47" s="520">
        <v>35000</v>
      </c>
      <c r="D47" s="520">
        <v>35000</v>
      </c>
      <c r="E47" s="539">
        <f t="shared" si="1"/>
        <v>1</v>
      </c>
      <c r="F47" s="495"/>
    </row>
    <row r="48" spans="1:5" ht="12" customHeight="1">
      <c r="A48" s="118">
        <v>1095</v>
      </c>
      <c r="B48" s="119" t="s">
        <v>288</v>
      </c>
      <c r="C48" s="520">
        <v>350000</v>
      </c>
      <c r="D48" s="520">
        <v>350000</v>
      </c>
      <c r="E48" s="539">
        <f t="shared" si="1"/>
        <v>1</v>
      </c>
    </row>
    <row r="49" spans="1:5" ht="12" customHeight="1">
      <c r="A49" s="118">
        <v>1096</v>
      </c>
      <c r="B49" s="119" t="s">
        <v>272</v>
      </c>
      <c r="C49" s="520">
        <v>331000</v>
      </c>
      <c r="D49" s="520">
        <v>331000</v>
      </c>
      <c r="E49" s="539">
        <f t="shared" si="1"/>
        <v>1</v>
      </c>
    </row>
    <row r="50" spans="1:6" ht="12" customHeight="1">
      <c r="A50" s="118">
        <v>1097</v>
      </c>
      <c r="B50" s="119" t="s">
        <v>0</v>
      </c>
      <c r="C50" s="520">
        <v>3000</v>
      </c>
      <c r="D50" s="520">
        <v>3000</v>
      </c>
      <c r="E50" s="539">
        <f t="shared" si="1"/>
        <v>1</v>
      </c>
      <c r="F50" s="495"/>
    </row>
    <row r="51" spans="1:6" ht="12" customHeight="1">
      <c r="A51" s="118">
        <v>1098</v>
      </c>
      <c r="B51" s="119" t="s">
        <v>4</v>
      </c>
      <c r="C51" s="520">
        <v>2500</v>
      </c>
      <c r="D51" s="520">
        <v>2500</v>
      </c>
      <c r="E51" s="539">
        <f t="shared" si="1"/>
        <v>1</v>
      </c>
      <c r="F51" s="495"/>
    </row>
    <row r="52" spans="1:6" ht="12" customHeight="1">
      <c r="A52" s="118">
        <v>1099</v>
      </c>
      <c r="B52" s="119" t="s">
        <v>1178</v>
      </c>
      <c r="C52" s="520">
        <v>8000</v>
      </c>
      <c r="D52" s="520">
        <v>8000</v>
      </c>
      <c r="E52" s="539">
        <f t="shared" si="1"/>
        <v>1</v>
      </c>
      <c r="F52" s="495"/>
    </row>
    <row r="53" spans="1:5" ht="12" customHeight="1">
      <c r="A53" s="112">
        <v>1100</v>
      </c>
      <c r="B53" s="191" t="s">
        <v>192</v>
      </c>
      <c r="C53" s="521">
        <f aca="true" t="shared" si="6" ref="C53">SUM(C54:C56)</f>
        <v>151569</v>
      </c>
      <c r="D53" s="521">
        <f aca="true" t="shared" si="7" ref="D53">SUM(D54:D56)</f>
        <v>151569</v>
      </c>
      <c r="E53" s="213">
        <f t="shared" si="1"/>
        <v>1</v>
      </c>
    </row>
    <row r="54" spans="1:6" ht="12" customHeight="1">
      <c r="A54" s="118">
        <v>1101</v>
      </c>
      <c r="B54" s="119" t="s">
        <v>1</v>
      </c>
      <c r="C54" s="520">
        <v>20000</v>
      </c>
      <c r="D54" s="520">
        <v>20000</v>
      </c>
      <c r="E54" s="539">
        <f t="shared" si="1"/>
        <v>1</v>
      </c>
      <c r="F54" s="495"/>
    </row>
    <row r="55" spans="1:5" ht="12" customHeight="1">
      <c r="A55" s="118">
        <v>1102</v>
      </c>
      <c r="B55" s="115" t="s">
        <v>193</v>
      </c>
      <c r="C55" s="520">
        <v>100000</v>
      </c>
      <c r="D55" s="520">
        <v>100000</v>
      </c>
      <c r="E55" s="539">
        <f t="shared" si="1"/>
        <v>1</v>
      </c>
    </row>
    <row r="56" spans="1:5" ht="12" customHeight="1">
      <c r="A56" s="118">
        <v>1103</v>
      </c>
      <c r="B56" s="115" t="s">
        <v>194</v>
      </c>
      <c r="C56" s="520">
        <v>31569</v>
      </c>
      <c r="D56" s="520">
        <v>31569</v>
      </c>
      <c r="E56" s="539">
        <f t="shared" si="1"/>
        <v>1</v>
      </c>
    </row>
    <row r="57" spans="1:5" ht="12" customHeight="1">
      <c r="A57" s="434">
        <v>1105</v>
      </c>
      <c r="B57" s="433" t="s">
        <v>310</v>
      </c>
      <c r="C57" s="521"/>
      <c r="D57" s="521"/>
      <c r="E57" s="539"/>
    </row>
    <row r="58" spans="1:5" ht="12" customHeight="1">
      <c r="A58" s="112">
        <v>1110</v>
      </c>
      <c r="B58" s="120" t="s">
        <v>195</v>
      </c>
      <c r="C58" s="520"/>
      <c r="D58" s="520"/>
      <c r="E58" s="539"/>
    </row>
    <row r="59" spans="1:5" ht="12" customHeight="1">
      <c r="A59" s="112">
        <v>1120</v>
      </c>
      <c r="B59" s="120" t="s">
        <v>196</v>
      </c>
      <c r="C59" s="521">
        <f aca="true" t="shared" si="8" ref="C59">SUM(C60:C62)</f>
        <v>460374</v>
      </c>
      <c r="D59" s="521">
        <f aca="true" t="shared" si="9" ref="D59">SUM(D60:D62)</f>
        <v>460374</v>
      </c>
      <c r="E59" s="213">
        <f t="shared" si="1"/>
        <v>1</v>
      </c>
    </row>
    <row r="60" spans="1:7" ht="12" customHeight="1">
      <c r="A60" s="118">
        <v>1121</v>
      </c>
      <c r="B60" s="107" t="s">
        <v>268</v>
      </c>
      <c r="C60" s="520">
        <v>20790</v>
      </c>
      <c r="D60" s="520">
        <v>20790</v>
      </c>
      <c r="E60" s="539">
        <f t="shared" si="1"/>
        <v>1</v>
      </c>
      <c r="G60" s="556"/>
    </row>
    <row r="61" spans="1:5" ht="12" customHeight="1">
      <c r="A61" s="118">
        <v>1122</v>
      </c>
      <c r="B61" s="107" t="s">
        <v>369</v>
      </c>
      <c r="C61" s="520">
        <v>210870</v>
      </c>
      <c r="D61" s="520">
        <v>210870</v>
      </c>
      <c r="E61" s="539">
        <f t="shared" si="1"/>
        <v>1</v>
      </c>
    </row>
    <row r="62" spans="1:5" ht="12" customHeight="1">
      <c r="A62" s="118">
        <v>1123</v>
      </c>
      <c r="B62" s="114" t="s">
        <v>279</v>
      </c>
      <c r="C62" s="520">
        <v>228714</v>
      </c>
      <c r="D62" s="520">
        <v>228714</v>
      </c>
      <c r="E62" s="539">
        <f t="shared" si="1"/>
        <v>1</v>
      </c>
    </row>
    <row r="63" spans="1:5" ht="12" customHeight="1">
      <c r="A63" s="112">
        <v>1130</v>
      </c>
      <c r="B63" s="111" t="s">
        <v>197</v>
      </c>
      <c r="C63" s="521"/>
      <c r="D63" s="521"/>
      <c r="E63" s="539"/>
    </row>
    <row r="64" spans="1:5" ht="12" customHeight="1">
      <c r="A64" s="112">
        <v>1140</v>
      </c>
      <c r="B64" s="113" t="s">
        <v>389</v>
      </c>
      <c r="C64" s="521">
        <f aca="true" t="shared" si="10" ref="C64:D64">SUM(C65)</f>
        <v>6000</v>
      </c>
      <c r="D64" s="521">
        <f t="shared" si="10"/>
        <v>6000</v>
      </c>
      <c r="E64" s="213">
        <f t="shared" si="1"/>
        <v>1</v>
      </c>
    </row>
    <row r="65" spans="1:5" ht="12" customHeight="1">
      <c r="A65" s="118">
        <v>1141</v>
      </c>
      <c r="B65" s="115" t="s">
        <v>79</v>
      </c>
      <c r="C65" s="520">
        <v>6000</v>
      </c>
      <c r="D65" s="520">
        <v>6000</v>
      </c>
      <c r="E65" s="539">
        <f t="shared" si="1"/>
        <v>1</v>
      </c>
    </row>
    <row r="66" spans="1:5" ht="12" customHeight="1">
      <c r="A66" s="110">
        <v>1150</v>
      </c>
      <c r="B66" s="120" t="s">
        <v>198</v>
      </c>
      <c r="C66" s="521">
        <v>100000</v>
      </c>
      <c r="D66" s="521">
        <v>100000</v>
      </c>
      <c r="E66" s="213">
        <f t="shared" si="1"/>
        <v>1</v>
      </c>
    </row>
    <row r="67" spans="1:5" ht="12" customHeight="1" thickBot="1">
      <c r="A67" s="134">
        <v>1151</v>
      </c>
      <c r="B67" s="482" t="s">
        <v>368</v>
      </c>
      <c r="C67" s="522">
        <v>20425</v>
      </c>
      <c r="D67" s="522">
        <v>20425</v>
      </c>
      <c r="E67" s="893">
        <f t="shared" si="1"/>
        <v>1</v>
      </c>
    </row>
    <row r="68" spans="1:5" ht="18.75" customHeight="1" thickBot="1">
      <c r="A68" s="135"/>
      <c r="B68" s="200" t="s">
        <v>308</v>
      </c>
      <c r="C68" s="822">
        <f>SUM(C64+C66+C63+C59+C58+C53+C44+C57+C67)</f>
        <v>2291888</v>
      </c>
      <c r="D68" s="822">
        <f>SUM(D64+D66+D63+D59+D58+D53+D44+D57+D67)</f>
        <v>2291888</v>
      </c>
      <c r="E68" s="540">
        <f t="shared" si="1"/>
        <v>1</v>
      </c>
    </row>
    <row r="69" spans="1:5" ht="12" customHeight="1">
      <c r="A69" s="130"/>
      <c r="B69" s="192"/>
      <c r="C69" s="821"/>
      <c r="D69" s="821"/>
      <c r="E69" s="892"/>
    </row>
    <row r="70" spans="1:5" ht="15" customHeight="1">
      <c r="A70" s="117">
        <v>1160</v>
      </c>
      <c r="B70" s="115" t="s">
        <v>199</v>
      </c>
      <c r="C70" s="520"/>
      <c r="D70" s="520"/>
      <c r="E70" s="539"/>
    </row>
    <row r="71" spans="1:5" ht="15" customHeight="1">
      <c r="A71" s="117">
        <v>1161</v>
      </c>
      <c r="B71" s="115" t="s">
        <v>512</v>
      </c>
      <c r="C71" s="520"/>
      <c r="D71" s="520"/>
      <c r="E71" s="539"/>
    </row>
    <row r="72" spans="1:5" ht="15" customHeight="1">
      <c r="A72" s="117">
        <v>1163</v>
      </c>
      <c r="B72" s="115" t="s">
        <v>1329</v>
      </c>
      <c r="C72" s="520"/>
      <c r="D72" s="520"/>
      <c r="E72" s="539"/>
    </row>
    <row r="73" spans="1:5" ht="15" customHeight="1" thickBot="1">
      <c r="A73" s="133">
        <v>1033</v>
      </c>
      <c r="B73" s="139" t="s">
        <v>1173</v>
      </c>
      <c r="C73" s="522">
        <v>5233</v>
      </c>
      <c r="D73" s="522">
        <v>5233</v>
      </c>
      <c r="E73" s="655">
        <f t="shared" si="1"/>
        <v>1</v>
      </c>
    </row>
    <row r="74" spans="1:5" ht="18" customHeight="1" thickBot="1">
      <c r="A74" s="135"/>
      <c r="B74" s="190" t="s">
        <v>200</v>
      </c>
      <c r="C74" s="522">
        <f>SUM(C73)</f>
        <v>5233</v>
      </c>
      <c r="D74" s="522">
        <f>SUM(D70:D73)</f>
        <v>5233</v>
      </c>
      <c r="E74" s="895">
        <f t="shared" si="1"/>
        <v>1</v>
      </c>
    </row>
    <row r="75" spans="1:5" ht="12" customHeight="1" thickBot="1">
      <c r="A75" s="135"/>
      <c r="B75" s="151"/>
      <c r="C75" s="823"/>
      <c r="D75" s="823"/>
      <c r="E75" s="895"/>
    </row>
    <row r="76" spans="1:5" ht="18.75" customHeight="1" thickBot="1">
      <c r="A76" s="135"/>
      <c r="B76" s="193" t="s">
        <v>54</v>
      </c>
      <c r="C76" s="483">
        <f>SUM(C68+C42+C22+C74)</f>
        <v>15304536</v>
      </c>
      <c r="D76" s="946">
        <f>SUM(D68+D42+D22+D74)</f>
        <v>15376300</v>
      </c>
      <c r="E76" s="653">
        <f aca="true" t="shared" si="11" ref="E76:E134">SUM(D76/C76)</f>
        <v>1.0046890673457856</v>
      </c>
    </row>
    <row r="77" spans="1:5" ht="12" customHeight="1">
      <c r="A77" s="118"/>
      <c r="B77" s="177"/>
      <c r="C77" s="821"/>
      <c r="D77" s="821"/>
      <c r="E77" s="892"/>
    </row>
    <row r="78" spans="1:5" ht="12" customHeight="1">
      <c r="A78" s="110">
        <v>1165</v>
      </c>
      <c r="B78" s="120" t="s">
        <v>201</v>
      </c>
      <c r="C78" s="521"/>
      <c r="D78" s="521"/>
      <c r="E78" s="539"/>
    </row>
    <row r="79" spans="1:5" ht="12" customHeight="1">
      <c r="A79" s="110">
        <v>1166</v>
      </c>
      <c r="B79" s="120" t="s">
        <v>1175</v>
      </c>
      <c r="C79" s="521">
        <v>2404281</v>
      </c>
      <c r="D79" s="521">
        <v>2404281</v>
      </c>
      <c r="E79" s="539">
        <f t="shared" si="11"/>
        <v>1</v>
      </c>
    </row>
    <row r="80" spans="1:5" ht="12" customHeight="1">
      <c r="A80" s="110">
        <v>1170</v>
      </c>
      <c r="B80" s="109" t="s">
        <v>202</v>
      </c>
      <c r="C80" s="521"/>
      <c r="D80" s="521"/>
      <c r="E80" s="539"/>
    </row>
    <row r="81" spans="1:5" ht="12" customHeight="1">
      <c r="A81" s="110">
        <v>1180</v>
      </c>
      <c r="B81" s="126" t="s">
        <v>348</v>
      </c>
      <c r="C81" s="521">
        <f aca="true" t="shared" si="12" ref="C81">SUM(C82:C83)</f>
        <v>296493</v>
      </c>
      <c r="D81" s="521">
        <f aca="true" t="shared" si="13" ref="D81">SUM(D82:D83)</f>
        <v>296493</v>
      </c>
      <c r="E81" s="213">
        <f t="shared" si="11"/>
        <v>1</v>
      </c>
    </row>
    <row r="82" spans="1:5" ht="12" customHeight="1">
      <c r="A82" s="117">
        <v>1182</v>
      </c>
      <c r="B82" s="115" t="s">
        <v>417</v>
      </c>
      <c r="C82" s="520">
        <v>296493</v>
      </c>
      <c r="D82" s="520">
        <v>296493</v>
      </c>
      <c r="E82" s="539">
        <f t="shared" si="11"/>
        <v>1</v>
      </c>
    </row>
    <row r="83" spans="1:5" ht="12" customHeight="1">
      <c r="A83" s="117">
        <v>1183</v>
      </c>
      <c r="B83" s="115" t="s">
        <v>444</v>
      </c>
      <c r="C83" s="520"/>
      <c r="D83" s="520"/>
      <c r="E83" s="539"/>
    </row>
    <row r="84" spans="1:5" ht="12" customHeight="1" thickBot="1">
      <c r="A84" s="134">
        <v>1185</v>
      </c>
      <c r="B84" s="214" t="s">
        <v>392</v>
      </c>
      <c r="C84" s="824"/>
      <c r="D84" s="824"/>
      <c r="E84" s="894"/>
    </row>
    <row r="85" spans="1:5" ht="15" customHeight="1" thickBot="1">
      <c r="A85" s="125"/>
      <c r="B85" s="151" t="s">
        <v>370</v>
      </c>
      <c r="C85" s="522">
        <f>SUM(C80+C81+C78+C8+C729+C79)</f>
        <v>2700774</v>
      </c>
      <c r="D85" s="522">
        <f>SUM(D80+D81+D78+D8+D729+D79)</f>
        <v>2700774</v>
      </c>
      <c r="E85" s="540">
        <f t="shared" si="11"/>
        <v>1</v>
      </c>
    </row>
    <row r="86" spans="1:5" ht="12" customHeight="1">
      <c r="A86" s="112"/>
      <c r="B86" s="119"/>
      <c r="C86" s="821"/>
      <c r="D86" s="821"/>
      <c r="E86" s="892"/>
    </row>
    <row r="87" spans="1:5" ht="12" customHeight="1">
      <c r="A87" s="110">
        <v>1190</v>
      </c>
      <c r="B87" s="113" t="s">
        <v>205</v>
      </c>
      <c r="C87" s="521">
        <f aca="true" t="shared" si="14" ref="C87">SUM(C88+C89+C90)</f>
        <v>290000</v>
      </c>
      <c r="D87" s="521">
        <f aca="true" t="shared" si="15" ref="D87">SUM(D88+D89+D90)</f>
        <v>290000</v>
      </c>
      <c r="E87" s="213">
        <f t="shared" si="11"/>
        <v>1</v>
      </c>
    </row>
    <row r="88" spans="1:5" ht="12" customHeight="1">
      <c r="A88" s="117">
        <v>1191</v>
      </c>
      <c r="B88" s="107" t="s">
        <v>422</v>
      </c>
      <c r="C88" s="520"/>
      <c r="D88" s="520"/>
      <c r="E88" s="539"/>
    </row>
    <row r="89" spans="1:5" ht="12" customHeight="1">
      <c r="A89" s="117">
        <v>1194</v>
      </c>
      <c r="B89" s="107" t="s">
        <v>156</v>
      </c>
      <c r="C89" s="520">
        <v>50000</v>
      </c>
      <c r="D89" s="520">
        <v>50000</v>
      </c>
      <c r="E89" s="539">
        <f t="shared" si="11"/>
        <v>1</v>
      </c>
    </row>
    <row r="90" spans="1:5" ht="12" customHeight="1" thickBot="1">
      <c r="A90" s="117">
        <v>1195</v>
      </c>
      <c r="B90" s="107" t="s">
        <v>253</v>
      </c>
      <c r="C90" s="547">
        <v>240000</v>
      </c>
      <c r="D90" s="547">
        <v>240000</v>
      </c>
      <c r="E90" s="894">
        <f t="shared" si="11"/>
        <v>1</v>
      </c>
    </row>
    <row r="91" spans="1:5" ht="15.75" customHeight="1" thickBot="1">
      <c r="A91" s="125"/>
      <c r="B91" s="200" t="s">
        <v>206</v>
      </c>
      <c r="C91" s="825">
        <f aca="true" t="shared" si="16" ref="C91">SUM(C87)</f>
        <v>290000</v>
      </c>
      <c r="D91" s="825">
        <f aca="true" t="shared" si="17" ref="D91">SUM(D87)</f>
        <v>290000</v>
      </c>
      <c r="E91" s="540">
        <f t="shared" si="11"/>
        <v>1</v>
      </c>
    </row>
    <row r="92" spans="1:5" ht="12" customHeight="1">
      <c r="A92" s="110">
        <v>1200</v>
      </c>
      <c r="B92" s="120" t="s">
        <v>393</v>
      </c>
      <c r="C92" s="826">
        <v>15000</v>
      </c>
      <c r="D92" s="826">
        <v>15000</v>
      </c>
      <c r="E92" s="649">
        <f t="shared" si="11"/>
        <v>1</v>
      </c>
    </row>
    <row r="93" spans="1:5" ht="12" customHeight="1">
      <c r="A93" s="117">
        <v>1201</v>
      </c>
      <c r="B93" s="107" t="s">
        <v>283</v>
      </c>
      <c r="C93" s="821"/>
      <c r="D93" s="821"/>
      <c r="E93" s="539"/>
    </row>
    <row r="94" spans="1:5" ht="12" customHeight="1">
      <c r="A94" s="117">
        <v>1202</v>
      </c>
      <c r="B94" s="107" t="s">
        <v>284</v>
      </c>
      <c r="C94" s="520">
        <v>15000</v>
      </c>
      <c r="D94" s="520">
        <v>15000</v>
      </c>
      <c r="E94" s="539">
        <f t="shared" si="11"/>
        <v>1</v>
      </c>
    </row>
    <row r="95" spans="1:5" ht="12" customHeight="1">
      <c r="A95" s="110">
        <v>1210</v>
      </c>
      <c r="B95" s="120" t="s">
        <v>210</v>
      </c>
      <c r="C95" s="521"/>
      <c r="D95" s="521"/>
      <c r="E95" s="539"/>
    </row>
    <row r="96" spans="1:5" ht="12" customHeight="1" thickBot="1">
      <c r="A96" s="497">
        <v>1211</v>
      </c>
      <c r="B96" s="433" t="s">
        <v>326</v>
      </c>
      <c r="C96" s="827"/>
      <c r="D96" s="827"/>
      <c r="E96" s="894"/>
    </row>
    <row r="97" spans="1:5" ht="15.75" customHeight="1" thickBot="1">
      <c r="A97" s="125"/>
      <c r="B97" s="151" t="s">
        <v>211</v>
      </c>
      <c r="C97" s="825">
        <f aca="true" t="shared" si="18" ref="C97">SUM(C92+C95+C96)</f>
        <v>15000</v>
      </c>
      <c r="D97" s="825">
        <f aca="true" t="shared" si="19" ref="D97">SUM(D92+D95+D96)</f>
        <v>15000</v>
      </c>
      <c r="E97" s="540">
        <f t="shared" si="11"/>
        <v>1</v>
      </c>
    </row>
    <row r="98" spans="1:5" ht="12" customHeight="1" thickBot="1">
      <c r="A98" s="125"/>
      <c r="B98" s="124"/>
      <c r="C98" s="637"/>
      <c r="D98" s="637"/>
      <c r="E98" s="895"/>
    </row>
    <row r="99" spans="1:5" ht="24" customHeight="1" thickBot="1">
      <c r="A99" s="125"/>
      <c r="B99" s="196" t="s">
        <v>55</v>
      </c>
      <c r="C99" s="828">
        <f aca="true" t="shared" si="20" ref="C99">SUM(C85+C91+C97)</f>
        <v>3005774</v>
      </c>
      <c r="D99" s="828">
        <f aca="true" t="shared" si="21" ref="D99">SUM(D85+D91+D97)</f>
        <v>3005774</v>
      </c>
      <c r="E99" s="540">
        <f t="shared" si="11"/>
        <v>1</v>
      </c>
    </row>
    <row r="100" spans="1:5" ht="12.75" customHeight="1">
      <c r="A100" s="132"/>
      <c r="B100" s="194"/>
      <c r="C100" s="821"/>
      <c r="D100" s="821"/>
      <c r="E100" s="892"/>
    </row>
    <row r="101" spans="1:5" ht="12" customHeight="1">
      <c r="A101" s="117">
        <v>1215</v>
      </c>
      <c r="B101" s="115" t="s">
        <v>373</v>
      </c>
      <c r="C101" s="520">
        <v>110289</v>
      </c>
      <c r="D101" s="520">
        <f>110289+3018517</f>
        <v>3128806</v>
      </c>
      <c r="E101" s="539">
        <f t="shared" si="11"/>
        <v>28.36915739556982</v>
      </c>
    </row>
    <row r="102" spans="1:5" ht="12" customHeight="1">
      <c r="A102" s="506">
        <v>1216</v>
      </c>
      <c r="B102" s="127" t="s">
        <v>359</v>
      </c>
      <c r="C102" s="637"/>
      <c r="D102" s="637"/>
      <c r="E102" s="539"/>
    </row>
    <row r="103" spans="1:6" ht="12" customHeight="1" thickBot="1">
      <c r="A103" s="122">
        <v>1218</v>
      </c>
      <c r="B103" s="123" t="s">
        <v>514</v>
      </c>
      <c r="C103" s="638"/>
      <c r="D103" s="638">
        <v>120591</v>
      </c>
      <c r="E103" s="894">
        <v>1</v>
      </c>
      <c r="F103" s="223"/>
    </row>
    <row r="104" spans="1:5" ht="21.75" customHeight="1" thickBot="1">
      <c r="A104" s="134"/>
      <c r="B104" s="190" t="s">
        <v>34</v>
      </c>
      <c r="C104" s="522">
        <f>SUM(C101:C103)</f>
        <v>110289</v>
      </c>
      <c r="D104" s="522">
        <f>SUM(D101:D103)</f>
        <v>3249397</v>
      </c>
      <c r="E104" s="540">
        <f t="shared" si="11"/>
        <v>29.462566529753648</v>
      </c>
    </row>
    <row r="105" spans="1:5" ht="12" customHeight="1">
      <c r="A105" s="132"/>
      <c r="B105" s="158"/>
      <c r="C105" s="821"/>
      <c r="D105" s="821"/>
      <c r="E105" s="892"/>
    </row>
    <row r="106" spans="1:5" ht="12" customHeight="1" thickBot="1">
      <c r="A106" s="117">
        <v>1221</v>
      </c>
      <c r="B106" s="123" t="s">
        <v>373</v>
      </c>
      <c r="C106" s="638">
        <v>1798297</v>
      </c>
      <c r="D106" s="638">
        <f>1798297+615278</f>
        <v>2413575</v>
      </c>
      <c r="E106" s="894">
        <f t="shared" si="11"/>
        <v>1.3421448181251483</v>
      </c>
    </row>
    <row r="107" spans="1:5" ht="18" customHeight="1" thickBot="1">
      <c r="A107" s="125"/>
      <c r="B107" s="150" t="s">
        <v>212</v>
      </c>
      <c r="C107" s="522">
        <f>SUM(C106)</f>
        <v>1798297</v>
      </c>
      <c r="D107" s="522">
        <f>SUM(D106)</f>
        <v>2413575</v>
      </c>
      <c r="E107" s="540">
        <f t="shared" si="11"/>
        <v>1.3421448181251483</v>
      </c>
    </row>
    <row r="108" spans="1:5" ht="12" customHeight="1" thickBot="1">
      <c r="A108" s="125"/>
      <c r="B108" s="142"/>
      <c r="C108" s="823"/>
      <c r="D108" s="823"/>
      <c r="E108" s="895"/>
    </row>
    <row r="109" spans="1:5" ht="16.5" customHeight="1" thickBot="1">
      <c r="A109" s="125"/>
      <c r="B109" s="195" t="s">
        <v>306</v>
      </c>
      <c r="C109" s="828">
        <f>SUM(C107+C99+C76+C104)</f>
        <v>20218896</v>
      </c>
      <c r="D109" s="828">
        <f>SUM(D107+D99+D76+D104)</f>
        <v>24045046</v>
      </c>
      <c r="E109" s="540">
        <f t="shared" si="11"/>
        <v>1.189236346039863</v>
      </c>
    </row>
    <row r="110" spans="1:5" ht="12" customHeight="1">
      <c r="A110" s="132"/>
      <c r="B110" s="142"/>
      <c r="C110" s="829"/>
      <c r="D110" s="829"/>
      <c r="E110" s="892"/>
    </row>
    <row r="111" spans="1:5" ht="15.75" customHeight="1">
      <c r="A111" s="110"/>
      <c r="B111" s="199" t="s">
        <v>269</v>
      </c>
      <c r="C111" s="830"/>
      <c r="D111" s="830"/>
      <c r="E111" s="539"/>
    </row>
    <row r="112" spans="1:5" ht="12" customHeight="1">
      <c r="A112" s="110"/>
      <c r="B112" s="197"/>
      <c r="C112" s="831"/>
      <c r="D112" s="831"/>
      <c r="E112" s="539"/>
    </row>
    <row r="113" spans="1:5" ht="12" customHeight="1">
      <c r="A113" s="117">
        <v>1230</v>
      </c>
      <c r="B113" s="115" t="s">
        <v>181</v>
      </c>
      <c r="C113" s="830"/>
      <c r="D113" s="830"/>
      <c r="E113" s="539"/>
    </row>
    <row r="114" spans="1:5" ht="12" customHeight="1" thickBot="1">
      <c r="A114" s="122">
        <v>1231</v>
      </c>
      <c r="B114" s="123" t="s">
        <v>363</v>
      </c>
      <c r="C114" s="638">
        <v>18180</v>
      </c>
      <c r="D114" s="638">
        <v>18180</v>
      </c>
      <c r="E114" s="894">
        <f t="shared" si="11"/>
        <v>1</v>
      </c>
    </row>
    <row r="115" spans="1:5" ht="12" customHeight="1" thickBot="1">
      <c r="A115" s="125"/>
      <c r="B115" s="124" t="s">
        <v>371</v>
      </c>
      <c r="C115" s="825">
        <f>SUM(C114)</f>
        <v>18180</v>
      </c>
      <c r="D115" s="825">
        <f>SUM(D114)</f>
        <v>18180</v>
      </c>
      <c r="E115" s="895">
        <f t="shared" si="11"/>
        <v>1</v>
      </c>
    </row>
    <row r="116" spans="1:5" ht="12" customHeight="1">
      <c r="A116" s="110"/>
      <c r="B116" s="465" t="s">
        <v>157</v>
      </c>
      <c r="C116" s="521"/>
      <c r="D116" s="826"/>
      <c r="E116" s="892"/>
    </row>
    <row r="117" spans="1:5" ht="12" customHeight="1">
      <c r="A117" s="117">
        <v>1205</v>
      </c>
      <c r="B117" s="162" t="s">
        <v>9</v>
      </c>
      <c r="C117" s="549">
        <v>10000</v>
      </c>
      <c r="D117" s="549">
        <v>10000</v>
      </c>
      <c r="E117" s="539">
        <f t="shared" si="11"/>
        <v>1</v>
      </c>
    </row>
    <row r="118" spans="1:5" ht="14.25" customHeight="1" thickBot="1">
      <c r="A118" s="133">
        <v>1206</v>
      </c>
      <c r="B118" s="212" t="s">
        <v>447</v>
      </c>
      <c r="C118" s="548">
        <v>25000</v>
      </c>
      <c r="D118" s="548">
        <v>25000</v>
      </c>
      <c r="E118" s="894">
        <f t="shared" si="11"/>
        <v>1</v>
      </c>
    </row>
    <row r="119" spans="1:5" ht="17.25" customHeight="1" thickBot="1">
      <c r="A119" s="133"/>
      <c r="B119" s="466" t="s">
        <v>190</v>
      </c>
      <c r="C119" s="832">
        <f>SUM(C117:C118)</f>
        <v>35000</v>
      </c>
      <c r="D119" s="832">
        <f>SUM(D117:D118)</f>
        <v>35000</v>
      </c>
      <c r="E119" s="895">
        <f t="shared" si="11"/>
        <v>1</v>
      </c>
    </row>
    <row r="120" spans="1:5" ht="12" customHeight="1">
      <c r="A120" s="112">
        <v>1240</v>
      </c>
      <c r="B120" s="191" t="s">
        <v>191</v>
      </c>
      <c r="C120" s="826">
        <f aca="true" t="shared" si="22" ref="C120">C121+C122</f>
        <v>7000</v>
      </c>
      <c r="D120" s="826">
        <f aca="true" t="shared" si="23" ref="D120">D121+D122</f>
        <v>7000</v>
      </c>
      <c r="E120" s="927">
        <f t="shared" si="11"/>
        <v>1</v>
      </c>
    </row>
    <row r="121" spans="1:5" ht="12" customHeight="1">
      <c r="A121" s="117">
        <v>1241</v>
      </c>
      <c r="B121" s="115" t="s">
        <v>77</v>
      </c>
      <c r="C121" s="520">
        <v>7000</v>
      </c>
      <c r="D121" s="821">
        <v>7000</v>
      </c>
      <c r="E121" s="892">
        <f t="shared" si="11"/>
        <v>1</v>
      </c>
    </row>
    <row r="122" spans="1:5" ht="12" customHeight="1">
      <c r="A122" s="117">
        <v>1242</v>
      </c>
      <c r="B122" s="115" t="s">
        <v>78</v>
      </c>
      <c r="C122" s="520"/>
      <c r="D122" s="520"/>
      <c r="E122" s="539"/>
    </row>
    <row r="123" spans="1:5" ht="12" customHeight="1">
      <c r="A123" s="117">
        <v>1250</v>
      </c>
      <c r="B123" s="162" t="s">
        <v>192</v>
      </c>
      <c r="C123" s="520">
        <v>20000</v>
      </c>
      <c r="D123" s="520">
        <v>20000</v>
      </c>
      <c r="E123" s="539">
        <f t="shared" si="11"/>
        <v>1</v>
      </c>
    </row>
    <row r="124" spans="1:5" ht="12" customHeight="1">
      <c r="A124" s="117">
        <v>1255</v>
      </c>
      <c r="B124" s="115" t="s">
        <v>195</v>
      </c>
      <c r="C124" s="520"/>
      <c r="D124" s="520"/>
      <c r="E124" s="539"/>
    </row>
    <row r="125" spans="1:5" ht="12" customHeight="1">
      <c r="A125" s="117">
        <v>1260</v>
      </c>
      <c r="B125" s="115" t="s">
        <v>196</v>
      </c>
      <c r="C125" s="520">
        <v>7290</v>
      </c>
      <c r="D125" s="520">
        <v>7290</v>
      </c>
      <c r="E125" s="539">
        <f t="shared" si="11"/>
        <v>1</v>
      </c>
    </row>
    <row r="126" spans="1:5" ht="12" customHeight="1">
      <c r="A126" s="117">
        <v>1261</v>
      </c>
      <c r="B126" s="119" t="s">
        <v>197</v>
      </c>
      <c r="C126" s="520"/>
      <c r="D126" s="520"/>
      <c r="E126" s="539"/>
    </row>
    <row r="127" spans="1:5" ht="12" customHeight="1">
      <c r="A127" s="117">
        <v>1262</v>
      </c>
      <c r="B127" s="114" t="s">
        <v>389</v>
      </c>
      <c r="C127" s="520"/>
      <c r="D127" s="520"/>
      <c r="E127" s="539"/>
    </row>
    <row r="128" spans="1:5" ht="12" customHeight="1" thickBot="1">
      <c r="A128" s="122">
        <v>1270</v>
      </c>
      <c r="B128" s="123" t="s">
        <v>198</v>
      </c>
      <c r="C128" s="638">
        <v>450</v>
      </c>
      <c r="D128" s="638">
        <v>450</v>
      </c>
      <c r="E128" s="894">
        <f t="shared" si="11"/>
        <v>1</v>
      </c>
    </row>
    <row r="129" spans="1:5" ht="16.5" customHeight="1" thickBot="1">
      <c r="A129" s="134"/>
      <c r="B129" s="151" t="s">
        <v>308</v>
      </c>
      <c r="C129" s="833">
        <f aca="true" t="shared" si="24" ref="C129">SUM(C120+C123+C125+C127+C124+C128)</f>
        <v>34740</v>
      </c>
      <c r="D129" s="833">
        <f aca="true" t="shared" si="25" ref="D129">SUM(D120+D123+D125+D127+D124+D128)</f>
        <v>34740</v>
      </c>
      <c r="E129" s="540">
        <f t="shared" si="11"/>
        <v>1</v>
      </c>
    </row>
    <row r="130" spans="1:5" ht="12" customHeight="1">
      <c r="A130" s="132"/>
      <c r="B130" s="113"/>
      <c r="C130" s="829"/>
      <c r="D130" s="829"/>
      <c r="E130" s="892"/>
    </row>
    <row r="131" spans="1:5" ht="12" customHeight="1" thickBot="1">
      <c r="A131" s="133">
        <v>1280</v>
      </c>
      <c r="B131" s="139" t="s">
        <v>199</v>
      </c>
      <c r="C131" s="834"/>
      <c r="D131" s="834"/>
      <c r="E131" s="894"/>
    </row>
    <row r="132" spans="1:5" ht="15.75" customHeight="1" thickBot="1">
      <c r="A132" s="125"/>
      <c r="B132" s="190" t="s">
        <v>200</v>
      </c>
      <c r="C132" s="835"/>
      <c r="D132" s="835"/>
      <c r="E132" s="895"/>
    </row>
    <row r="133" spans="1:5" ht="15.75" customHeight="1" thickBot="1">
      <c r="A133" s="125"/>
      <c r="B133" s="177"/>
      <c r="C133" s="835"/>
      <c r="D133" s="835"/>
      <c r="E133" s="895"/>
    </row>
    <row r="134" spans="1:5" ht="15.75" customHeight="1" thickBot="1">
      <c r="A134" s="125"/>
      <c r="B134" s="193" t="s">
        <v>54</v>
      </c>
      <c r="C134" s="836">
        <f>SUM(C129+C132+C115+C119)</f>
        <v>87920</v>
      </c>
      <c r="D134" s="836">
        <f>SUM(D129+D132+D115+D119)</f>
        <v>87920</v>
      </c>
      <c r="E134" s="540">
        <f t="shared" si="11"/>
        <v>1</v>
      </c>
    </row>
    <row r="135" spans="1:5" ht="13.5" customHeight="1">
      <c r="A135" s="112"/>
      <c r="B135" s="177"/>
      <c r="C135" s="829"/>
      <c r="D135" s="829"/>
      <c r="E135" s="892"/>
    </row>
    <row r="136" spans="1:5" ht="12" customHeight="1">
      <c r="A136" s="117">
        <v>1285</v>
      </c>
      <c r="B136" s="115" t="s">
        <v>201</v>
      </c>
      <c r="C136" s="830"/>
      <c r="D136" s="830"/>
      <c r="E136" s="539"/>
    </row>
    <row r="137" spans="1:5" ht="12" customHeight="1" thickBot="1">
      <c r="A137" s="117">
        <v>1286</v>
      </c>
      <c r="B137" s="115" t="s">
        <v>392</v>
      </c>
      <c r="C137" s="834"/>
      <c r="D137" s="834"/>
      <c r="E137" s="894"/>
    </row>
    <row r="138" spans="1:5" ht="16.5" customHeight="1" thickBot="1">
      <c r="A138" s="125"/>
      <c r="B138" s="151" t="s">
        <v>370</v>
      </c>
      <c r="C138" s="835"/>
      <c r="D138" s="835"/>
      <c r="E138" s="895"/>
    </row>
    <row r="139" spans="1:5" ht="12.75" customHeight="1">
      <c r="A139" s="132"/>
      <c r="B139" s="192"/>
      <c r="C139" s="829"/>
      <c r="D139" s="829"/>
      <c r="E139" s="892"/>
    </row>
    <row r="140" spans="1:5" ht="12.75" customHeight="1" thickBot="1">
      <c r="A140" s="122">
        <v>1290</v>
      </c>
      <c r="B140" s="123" t="s">
        <v>213</v>
      </c>
      <c r="C140" s="547"/>
      <c r="D140" s="547"/>
      <c r="E140" s="894"/>
    </row>
    <row r="141" spans="1:5" ht="16.5" customHeight="1" thickBot="1">
      <c r="A141" s="134"/>
      <c r="B141" s="190" t="s">
        <v>206</v>
      </c>
      <c r="C141" s="825"/>
      <c r="D141" s="825"/>
      <c r="E141" s="895"/>
    </row>
    <row r="142" spans="1:5" ht="9" customHeight="1">
      <c r="A142" s="132"/>
      <c r="B142" s="192"/>
      <c r="C142" s="829"/>
      <c r="D142" s="829"/>
      <c r="E142" s="892"/>
    </row>
    <row r="143" spans="1:5" ht="12.95" customHeight="1">
      <c r="A143" s="110"/>
      <c r="B143" s="120" t="s">
        <v>372</v>
      </c>
      <c r="C143" s="830"/>
      <c r="D143" s="830"/>
      <c r="E143" s="539"/>
    </row>
    <row r="144" spans="1:5" ht="13.5" customHeight="1" thickBot="1">
      <c r="A144" s="122">
        <v>1291</v>
      </c>
      <c r="B144" s="503" t="s">
        <v>52</v>
      </c>
      <c r="C144" s="547">
        <v>4000</v>
      </c>
      <c r="D144" s="547">
        <v>4000</v>
      </c>
      <c r="E144" s="894">
        <f aca="true" t="shared" si="26" ref="E144:E154">SUM(D144/C144)</f>
        <v>1</v>
      </c>
    </row>
    <row r="145" spans="1:5" ht="16.5" customHeight="1" thickBot="1">
      <c r="A145" s="125"/>
      <c r="B145" s="151" t="s">
        <v>211</v>
      </c>
      <c r="C145" s="837">
        <f aca="true" t="shared" si="27" ref="C145">SUM(C144)</f>
        <v>4000</v>
      </c>
      <c r="D145" s="837">
        <f aca="true" t="shared" si="28" ref="D145">SUM(D144)</f>
        <v>4000</v>
      </c>
      <c r="E145" s="540">
        <f t="shared" si="26"/>
        <v>1</v>
      </c>
    </row>
    <row r="146" spans="1:7" ht="12.75" customHeight="1">
      <c r="A146" s="132"/>
      <c r="B146" s="192"/>
      <c r="C146" s="821"/>
      <c r="D146" s="821"/>
      <c r="E146" s="892"/>
      <c r="G146" s="98">
        <f>SUM(G144-G145)</f>
        <v>0</v>
      </c>
    </row>
    <row r="147" spans="1:5" ht="12.75" customHeight="1">
      <c r="A147" s="117">
        <v>1292</v>
      </c>
      <c r="B147" s="115" t="s">
        <v>373</v>
      </c>
      <c r="C147" s="520"/>
      <c r="D147" s="520">
        <f>289852-1</f>
        <v>289851</v>
      </c>
      <c r="E147" s="539">
        <v>1</v>
      </c>
    </row>
    <row r="148" spans="1:5" ht="12.75" customHeight="1" thickBot="1">
      <c r="A148" s="117">
        <v>1293</v>
      </c>
      <c r="B148" s="115" t="s">
        <v>401</v>
      </c>
      <c r="C148" s="547">
        <v>2987533</v>
      </c>
      <c r="D148" s="547">
        <f>2987533</f>
        <v>2987533</v>
      </c>
      <c r="E148" s="894">
        <f t="shared" si="26"/>
        <v>1</v>
      </c>
    </row>
    <row r="149" spans="1:5" ht="17.25" customHeight="1" thickBot="1">
      <c r="A149" s="125"/>
      <c r="B149" s="151" t="s">
        <v>34</v>
      </c>
      <c r="C149" s="837">
        <f aca="true" t="shared" si="29" ref="C149">SUM(C147:C148)</f>
        <v>2987533</v>
      </c>
      <c r="D149" s="837">
        <f aca="true" t="shared" si="30" ref="D149">SUM(D147:D148)</f>
        <v>3277384</v>
      </c>
      <c r="E149" s="540">
        <f t="shared" si="26"/>
        <v>1.0970201835427424</v>
      </c>
    </row>
    <row r="150" spans="1:5" ht="12" customHeight="1">
      <c r="A150" s="132"/>
      <c r="B150" s="167"/>
      <c r="C150" s="821"/>
      <c r="D150" s="821"/>
      <c r="E150" s="892"/>
    </row>
    <row r="151" spans="1:5" ht="12" customHeight="1" thickBot="1">
      <c r="A151" s="117">
        <v>1294</v>
      </c>
      <c r="B151" s="115" t="s">
        <v>374</v>
      </c>
      <c r="C151" s="547"/>
      <c r="D151" s="547">
        <v>124394</v>
      </c>
      <c r="E151" s="894">
        <v>1</v>
      </c>
    </row>
    <row r="152" spans="1:5" ht="17.25" customHeight="1" thickBot="1">
      <c r="A152" s="125"/>
      <c r="B152" s="200" t="s">
        <v>212</v>
      </c>
      <c r="C152" s="825">
        <f>C151</f>
        <v>0</v>
      </c>
      <c r="D152" s="825">
        <f>D151</f>
        <v>124394</v>
      </c>
      <c r="E152" s="895">
        <v>1</v>
      </c>
    </row>
    <row r="153" spans="1:5" ht="12" customHeight="1" thickBot="1">
      <c r="A153" s="125"/>
      <c r="B153" s="116"/>
      <c r="C153" s="838"/>
      <c r="D153" s="838"/>
      <c r="E153" s="895"/>
    </row>
    <row r="154" spans="1:5" ht="18" customHeight="1" thickBot="1">
      <c r="A154" s="125"/>
      <c r="B154" s="195" t="s">
        <v>307</v>
      </c>
      <c r="C154" s="828">
        <f>SUM(C152+C149+C134+C141+C145)</f>
        <v>3079453</v>
      </c>
      <c r="D154" s="828">
        <f>SUM(D152+D149+D134+D141+D145)</f>
        <v>3493698</v>
      </c>
      <c r="E154" s="540">
        <f t="shared" si="26"/>
        <v>1.1345190200986994</v>
      </c>
    </row>
    <row r="155" spans="1:5" ht="18" customHeight="1">
      <c r="A155" s="129"/>
      <c r="B155" s="947"/>
      <c r="C155" s="948"/>
      <c r="D155" s="948"/>
      <c r="E155" s="949"/>
    </row>
    <row r="156" spans="1:5" s="100" customFormat="1" ht="15" customHeight="1">
      <c r="A156" s="110"/>
      <c r="B156" s="198" t="s">
        <v>1331</v>
      </c>
      <c r="C156" s="521"/>
      <c r="D156" s="521"/>
      <c r="E156" s="539"/>
    </row>
    <row r="157" spans="1:5" s="100" customFormat="1" ht="12.75" customHeight="1">
      <c r="A157" s="110"/>
      <c r="B157" s="201"/>
      <c r="C157" s="521"/>
      <c r="D157" s="521"/>
      <c r="E157" s="539"/>
    </row>
    <row r="158" spans="1:5" s="100" customFormat="1" ht="12.75">
      <c r="A158" s="117">
        <v>1400</v>
      </c>
      <c r="B158" s="115" t="s">
        <v>181</v>
      </c>
      <c r="C158" s="830"/>
      <c r="D158" s="830"/>
      <c r="E158" s="539"/>
    </row>
    <row r="159" spans="1:5" s="100" customFormat="1" ht="12.75" thickBot="1">
      <c r="A159" s="122">
        <v>1401</v>
      </c>
      <c r="B159" s="123" t="s">
        <v>363</v>
      </c>
      <c r="C159" s="638">
        <f>'2.mell'!C624</f>
        <v>28421</v>
      </c>
      <c r="D159" s="638">
        <f>'2.mell'!D624</f>
        <v>28421</v>
      </c>
      <c r="E159" s="894">
        <f aca="true" t="shared" si="31" ref="E159:E221">SUM(D159/C159)</f>
        <v>1</v>
      </c>
    </row>
    <row r="160" spans="1:5" s="100" customFormat="1" ht="12.75" thickBot="1">
      <c r="A160" s="125"/>
      <c r="B160" s="124" t="s">
        <v>371</v>
      </c>
      <c r="C160" s="522">
        <f aca="true" t="shared" si="32" ref="C160">SUM(C159)</f>
        <v>28421</v>
      </c>
      <c r="D160" s="522">
        <f aca="true" t="shared" si="33" ref="D160">SUM(D159)</f>
        <v>28421</v>
      </c>
      <c r="E160" s="895">
        <f t="shared" si="31"/>
        <v>1</v>
      </c>
    </row>
    <row r="161" spans="1:5" s="100" customFormat="1" ht="12.75">
      <c r="A161" s="130">
        <v>1409</v>
      </c>
      <c r="B161" s="121" t="s">
        <v>357</v>
      </c>
      <c r="C161" s="826">
        <f>'2.mell'!C626</f>
        <v>0</v>
      </c>
      <c r="D161" s="826">
        <f>'2.mell'!D626</f>
        <v>0</v>
      </c>
      <c r="E161" s="892"/>
    </row>
    <row r="162" spans="1:5" s="100" customFormat="1" ht="12.75">
      <c r="A162" s="112">
        <v>1410</v>
      </c>
      <c r="B162" s="191" t="s">
        <v>191</v>
      </c>
      <c r="C162" s="826">
        <f aca="true" t="shared" si="34" ref="C162">SUM(C163:C164)</f>
        <v>65354</v>
      </c>
      <c r="D162" s="826">
        <f aca="true" t="shared" si="35" ref="D162">SUM(D163:D164)</f>
        <v>65354</v>
      </c>
      <c r="E162" s="213">
        <f t="shared" si="31"/>
        <v>1</v>
      </c>
    </row>
    <row r="163" spans="1:5" s="100" customFormat="1" ht="12.75">
      <c r="A163" s="117">
        <v>1411</v>
      </c>
      <c r="B163" s="115" t="s">
        <v>77</v>
      </c>
      <c r="C163" s="520">
        <f>SUM('2.mell'!C628)</f>
        <v>23596</v>
      </c>
      <c r="D163" s="821">
        <f>SUM('2.mell'!D628)</f>
        <v>23596</v>
      </c>
      <c r="E163" s="892">
        <f t="shared" si="31"/>
        <v>1</v>
      </c>
    </row>
    <row r="164" spans="1:5" s="100" customFormat="1" ht="12.75">
      <c r="A164" s="117">
        <v>1412</v>
      </c>
      <c r="B164" s="115" t="s">
        <v>78</v>
      </c>
      <c r="C164" s="520">
        <f>SUM('2.mell'!C629)</f>
        <v>41758</v>
      </c>
      <c r="D164" s="520">
        <f>SUM('2.mell'!D629)</f>
        <v>41758</v>
      </c>
      <c r="E164" s="539">
        <f t="shared" si="31"/>
        <v>1</v>
      </c>
    </row>
    <row r="165" spans="1:5" s="100" customFormat="1" ht="12.75">
      <c r="A165" s="117">
        <v>1420</v>
      </c>
      <c r="B165" s="162" t="s">
        <v>192</v>
      </c>
      <c r="C165" s="520">
        <f>SUM('2.mell'!C630)</f>
        <v>10338</v>
      </c>
      <c r="D165" s="520">
        <f>SUM('2.mell'!D630)</f>
        <v>10338</v>
      </c>
      <c r="E165" s="539">
        <f t="shared" si="31"/>
        <v>1</v>
      </c>
    </row>
    <row r="166" spans="1:5" s="100" customFormat="1" ht="12.75">
      <c r="A166" s="117">
        <v>1421</v>
      </c>
      <c r="B166" s="115" t="s">
        <v>195</v>
      </c>
      <c r="C166" s="520">
        <f>SUM('2.mell'!C631)</f>
        <v>193676</v>
      </c>
      <c r="D166" s="520">
        <f>SUM('2.mell'!D631)</f>
        <v>193676</v>
      </c>
      <c r="E166" s="539">
        <f t="shared" si="31"/>
        <v>1</v>
      </c>
    </row>
    <row r="167" spans="1:5" s="100" customFormat="1" ht="12.75">
      <c r="A167" s="117">
        <v>1422</v>
      </c>
      <c r="B167" s="115" t="s">
        <v>196</v>
      </c>
      <c r="C167" s="520">
        <f>SUM('2.mell'!C632)</f>
        <v>67718</v>
      </c>
      <c r="D167" s="520">
        <f>SUM('2.mell'!D632)</f>
        <v>67718</v>
      </c>
      <c r="E167" s="539">
        <f t="shared" si="31"/>
        <v>1</v>
      </c>
    </row>
    <row r="168" spans="1:5" s="100" customFormat="1" ht="12.75">
      <c r="A168" s="117">
        <v>1423</v>
      </c>
      <c r="B168" s="119" t="s">
        <v>197</v>
      </c>
      <c r="C168" s="520">
        <f>SUM('2.mell'!C633)</f>
        <v>5070</v>
      </c>
      <c r="D168" s="520">
        <f>SUM('2.mell'!D633)</f>
        <v>5070</v>
      </c>
      <c r="E168" s="539">
        <f t="shared" si="31"/>
        <v>1</v>
      </c>
    </row>
    <row r="169" spans="1:5" s="100" customFormat="1" ht="12.75">
      <c r="A169" s="117">
        <v>1424</v>
      </c>
      <c r="B169" s="114" t="s">
        <v>389</v>
      </c>
      <c r="C169" s="520">
        <f>'2.mell'!C634</f>
        <v>0</v>
      </c>
      <c r="D169" s="520">
        <f>'2.mell'!D634</f>
        <v>0</v>
      </c>
      <c r="E169" s="539"/>
    </row>
    <row r="170" spans="1:5" s="100" customFormat="1" ht="12.75" thickBot="1">
      <c r="A170" s="122">
        <v>1425</v>
      </c>
      <c r="B170" s="123" t="s">
        <v>198</v>
      </c>
      <c r="C170" s="547">
        <f>SUM('2.mell'!C635)</f>
        <v>0</v>
      </c>
      <c r="D170" s="547">
        <f>SUM('2.mell'!D635)</f>
        <v>0</v>
      </c>
      <c r="E170" s="894"/>
    </row>
    <row r="171" spans="1:5" s="100" customFormat="1" ht="15.75" thickBot="1">
      <c r="A171" s="134"/>
      <c r="B171" s="151" t="s">
        <v>308</v>
      </c>
      <c r="C171" s="825">
        <f>SUM(C162+C165+C167+C166+C170+C168+C161+C169)</f>
        <v>342156</v>
      </c>
      <c r="D171" s="825">
        <f>SUM(D162+D165+D167+D166+D170+D168+D161+D169)</f>
        <v>342156</v>
      </c>
      <c r="E171" s="540">
        <f t="shared" si="31"/>
        <v>1</v>
      </c>
    </row>
    <row r="172" spans="1:5" s="100" customFormat="1" ht="12.75">
      <c r="A172" s="132"/>
      <c r="B172" s="113"/>
      <c r="C172" s="829"/>
      <c r="D172" s="829"/>
      <c r="E172" s="892"/>
    </row>
    <row r="173" spans="1:5" s="100" customFormat="1" ht="12.75" thickBot="1">
      <c r="A173" s="133">
        <v>1430</v>
      </c>
      <c r="B173" s="139" t="s">
        <v>199</v>
      </c>
      <c r="C173" s="839"/>
      <c r="D173" s="839"/>
      <c r="E173" s="894"/>
    </row>
    <row r="174" spans="1:5" s="100" customFormat="1" ht="15.75" thickBot="1">
      <c r="A174" s="125"/>
      <c r="B174" s="190" t="s">
        <v>200</v>
      </c>
      <c r="C174" s="835"/>
      <c r="D174" s="835"/>
      <c r="E174" s="895"/>
    </row>
    <row r="175" spans="1:5" s="100" customFormat="1" ht="12" customHeight="1" thickBot="1">
      <c r="A175" s="125"/>
      <c r="B175" s="177"/>
      <c r="C175" s="835"/>
      <c r="D175" s="835"/>
      <c r="E175" s="895"/>
    </row>
    <row r="176" spans="1:5" s="100" customFormat="1" ht="16.5" thickBot="1">
      <c r="A176" s="125"/>
      <c r="B176" s="193" t="s">
        <v>54</v>
      </c>
      <c r="C176" s="840">
        <f>SUM(C171+C174+C160)</f>
        <v>370577</v>
      </c>
      <c r="D176" s="840">
        <f>SUM(D171+D174+D160)</f>
        <v>370577</v>
      </c>
      <c r="E176" s="540">
        <f t="shared" si="31"/>
        <v>1</v>
      </c>
    </row>
    <row r="177" spans="1:5" s="100" customFormat="1" ht="10.5" customHeight="1">
      <c r="A177" s="112"/>
      <c r="B177" s="499"/>
      <c r="C177" s="829"/>
      <c r="D177" s="829"/>
      <c r="E177" s="892"/>
    </row>
    <row r="178" spans="1:5" s="100" customFormat="1" ht="12.75">
      <c r="A178" s="117">
        <v>1435</v>
      </c>
      <c r="B178" s="115" t="s">
        <v>201</v>
      </c>
      <c r="C178" s="830"/>
      <c r="D178" s="830"/>
      <c r="E178" s="539"/>
    </row>
    <row r="179" spans="1:5" s="100" customFormat="1" ht="12.75" thickBot="1">
      <c r="A179" s="117">
        <v>1436</v>
      </c>
      <c r="B179" s="115" t="s">
        <v>375</v>
      </c>
      <c r="C179" s="547">
        <f>SUM('2.mell'!K639)</f>
        <v>0</v>
      </c>
      <c r="D179" s="547">
        <f>SUM('2.mell'!L639)</f>
        <v>0</v>
      </c>
      <c r="E179" s="894"/>
    </row>
    <row r="180" spans="1:5" s="100" customFormat="1" ht="15.75" thickBot="1">
      <c r="A180" s="125"/>
      <c r="B180" s="151" t="s">
        <v>370</v>
      </c>
      <c r="C180" s="825">
        <f aca="true" t="shared" si="36" ref="C180">SUM(C179)</f>
        <v>0</v>
      </c>
      <c r="D180" s="825">
        <f aca="true" t="shared" si="37" ref="D180">SUM(D179)</f>
        <v>0</v>
      </c>
      <c r="E180" s="895"/>
    </row>
    <row r="181" spans="1:5" s="100" customFormat="1" ht="9.95" customHeight="1">
      <c r="A181" s="132"/>
      <c r="B181" s="192"/>
      <c r="C181" s="829"/>
      <c r="D181" s="829"/>
      <c r="E181" s="892"/>
    </row>
    <row r="182" spans="1:5" s="100" customFormat="1" ht="12.75" thickBot="1">
      <c r="A182" s="122">
        <v>1440</v>
      </c>
      <c r="B182" s="123" t="s">
        <v>213</v>
      </c>
      <c r="C182" s="638">
        <f>SUM('2.mell'!K640)</f>
        <v>0</v>
      </c>
      <c r="D182" s="638">
        <f>SUM('2.mell'!L640)</f>
        <v>0</v>
      </c>
      <c r="E182" s="894"/>
    </row>
    <row r="183" spans="1:5" s="100" customFormat="1" ht="15.75" thickBot="1">
      <c r="A183" s="134"/>
      <c r="B183" s="190" t="s">
        <v>206</v>
      </c>
      <c r="C183" s="825">
        <f aca="true" t="shared" si="38" ref="C183">SUM(C182)</f>
        <v>0</v>
      </c>
      <c r="D183" s="825">
        <f aca="true" t="shared" si="39" ref="D183">SUM(D182)</f>
        <v>0</v>
      </c>
      <c r="E183" s="895"/>
    </row>
    <row r="184" spans="1:5" s="100" customFormat="1" ht="15">
      <c r="A184" s="132"/>
      <c r="B184" s="192"/>
      <c r="C184" s="829"/>
      <c r="D184" s="829"/>
      <c r="E184" s="892"/>
    </row>
    <row r="185" spans="1:5" s="100" customFormat="1" ht="12.75" thickBot="1">
      <c r="A185" s="179">
        <v>1445</v>
      </c>
      <c r="B185" s="127" t="s">
        <v>210</v>
      </c>
      <c r="C185" s="547">
        <f>'2.mell'!C639</f>
        <v>0</v>
      </c>
      <c r="D185" s="547">
        <f>'2.mell'!D639</f>
        <v>0</v>
      </c>
      <c r="E185" s="894"/>
    </row>
    <row r="186" spans="1:5" s="100" customFormat="1" ht="15.75" thickBot="1">
      <c r="A186" s="125"/>
      <c r="B186" s="151" t="s">
        <v>211</v>
      </c>
      <c r="C186" s="825">
        <f aca="true" t="shared" si="40" ref="C186">SUM(C185)</f>
        <v>0</v>
      </c>
      <c r="D186" s="825">
        <f aca="true" t="shared" si="41" ref="D186">SUM(D185)</f>
        <v>0</v>
      </c>
      <c r="E186" s="895"/>
    </row>
    <row r="187" spans="1:5" s="100" customFormat="1" ht="15">
      <c r="A187" s="132"/>
      <c r="B187" s="192"/>
      <c r="C187" s="821"/>
      <c r="D187" s="821"/>
      <c r="E187" s="892"/>
    </row>
    <row r="188" spans="1:5" s="100" customFormat="1" ht="12.75">
      <c r="A188" s="118">
        <v>1459</v>
      </c>
      <c r="B188" s="816" t="s">
        <v>387</v>
      </c>
      <c r="C188" s="821">
        <f>SUM('2.mell'!C643)</f>
        <v>0</v>
      </c>
      <c r="D188" s="821">
        <f>SUM('2.mell'!D643)</f>
        <v>466</v>
      </c>
      <c r="E188" s="539"/>
    </row>
    <row r="189" spans="1:5" s="100" customFormat="1" ht="12.75">
      <c r="A189" s="117">
        <v>1450</v>
      </c>
      <c r="B189" s="115" t="s">
        <v>373</v>
      </c>
      <c r="C189" s="520">
        <f>SUM('2.mell'!C642)</f>
        <v>0</v>
      </c>
      <c r="D189" s="520">
        <f>SUM('2.mell'!D642)</f>
        <v>31426</v>
      </c>
      <c r="E189" s="539"/>
    </row>
    <row r="190" spans="1:5" s="100" customFormat="1" ht="12.75" thickBot="1">
      <c r="A190" s="133">
        <v>1451</v>
      </c>
      <c r="B190" s="121" t="s">
        <v>401</v>
      </c>
      <c r="C190" s="841">
        <f>SUM('2.mell'!C644+'2.mell'!C645)</f>
        <v>5287190</v>
      </c>
      <c r="D190" s="637">
        <f>SUM('2.mell'!D644+'2.mell'!D645)</f>
        <v>5626908</v>
      </c>
      <c r="E190" s="539">
        <f t="shared" si="31"/>
        <v>1.064253034220446</v>
      </c>
    </row>
    <row r="191" spans="1:5" s="100" customFormat="1" ht="15.75" thickBot="1">
      <c r="A191" s="125"/>
      <c r="B191" s="151" t="s">
        <v>34</v>
      </c>
      <c r="C191" s="825">
        <f>SUM(C188:C190)</f>
        <v>5287190</v>
      </c>
      <c r="D191" s="825">
        <f>SUM(D188:D190)</f>
        <v>5658800</v>
      </c>
      <c r="E191" s="540">
        <f t="shared" si="31"/>
        <v>1.0702849717903082</v>
      </c>
    </row>
    <row r="192" spans="1:5" s="137" customFormat="1" ht="13.5" customHeight="1">
      <c r="A192" s="132"/>
      <c r="B192" s="167"/>
      <c r="C192" s="821"/>
      <c r="D192" s="821"/>
      <c r="E192" s="892"/>
    </row>
    <row r="193" spans="1:5" s="137" customFormat="1" ht="13.5" thickBot="1">
      <c r="A193" s="117">
        <v>1455</v>
      </c>
      <c r="B193" s="115" t="s">
        <v>374</v>
      </c>
      <c r="C193" s="547">
        <f>SUM('2.mell'!C648)</f>
        <v>0</v>
      </c>
      <c r="D193" s="547">
        <f>SUM('2.mell'!D648)</f>
        <v>10851</v>
      </c>
      <c r="E193" s="894"/>
    </row>
    <row r="194" spans="1:5" s="100" customFormat="1" ht="15.75" thickBot="1">
      <c r="A194" s="125"/>
      <c r="B194" s="200" t="s">
        <v>212</v>
      </c>
      <c r="C194" s="825">
        <f aca="true" t="shared" si="42" ref="C194">SUM(C193)</f>
        <v>0</v>
      </c>
      <c r="D194" s="825">
        <f aca="true" t="shared" si="43" ref="D194">SUM(D193)</f>
        <v>10851</v>
      </c>
      <c r="E194" s="895"/>
    </row>
    <row r="195" spans="1:5" s="100" customFormat="1" ht="12.75" thickBot="1">
      <c r="A195" s="125"/>
      <c r="B195" s="116"/>
      <c r="C195" s="823"/>
      <c r="D195" s="823"/>
      <c r="E195" s="895"/>
    </row>
    <row r="196" spans="1:5" s="100" customFormat="1" ht="16.5" thickBot="1">
      <c r="A196" s="125"/>
      <c r="B196" s="195" t="s">
        <v>1332</v>
      </c>
      <c r="C196" s="822">
        <f aca="true" t="shared" si="44" ref="C196">SUM(C194+C191+C176+C186+C180+C183)</f>
        <v>5657767</v>
      </c>
      <c r="D196" s="822">
        <f aca="true" t="shared" si="45" ref="D196">SUM(D194+D191+D176+D186+D180+D183)</f>
        <v>6040228</v>
      </c>
      <c r="E196" s="540">
        <f t="shared" si="31"/>
        <v>1.067599284311284</v>
      </c>
    </row>
    <row r="197" spans="1:5" s="137" customFormat="1" ht="12.75">
      <c r="A197" s="136"/>
      <c r="B197" s="147"/>
      <c r="C197" s="842"/>
      <c r="D197" s="842"/>
      <c r="E197" s="892"/>
    </row>
    <row r="198" spans="1:5" s="137" customFormat="1" ht="17.25" customHeight="1">
      <c r="A198" s="138"/>
      <c r="B198" s="198" t="s">
        <v>1333</v>
      </c>
      <c r="C198" s="843"/>
      <c r="D198" s="843"/>
      <c r="E198" s="539"/>
    </row>
    <row r="199" spans="1:5" s="137" customFormat="1" ht="12.75">
      <c r="A199" s="138"/>
      <c r="B199" s="104"/>
      <c r="C199" s="843"/>
      <c r="D199" s="843"/>
      <c r="E199" s="539"/>
    </row>
    <row r="200" spans="1:5" s="137" customFormat="1" ht="12.75">
      <c r="A200" s="117">
        <v>1500</v>
      </c>
      <c r="B200" s="115" t="s">
        <v>177</v>
      </c>
      <c r="C200" s="549">
        <f>SUM(C10)</f>
        <v>3107321</v>
      </c>
      <c r="D200" s="549">
        <f>SUM(D10)</f>
        <v>3179085</v>
      </c>
      <c r="E200" s="539">
        <f t="shared" si="31"/>
        <v>1.0230951356490043</v>
      </c>
    </row>
    <row r="201" spans="1:5" s="137" customFormat="1" ht="12.75">
      <c r="A201" s="117">
        <v>1501</v>
      </c>
      <c r="B201" s="115" t="s">
        <v>181</v>
      </c>
      <c r="C201" s="549">
        <f>SUM(C17)</f>
        <v>0</v>
      </c>
      <c r="D201" s="549">
        <f>SUM(D17)</f>
        <v>0</v>
      </c>
      <c r="E201" s="539"/>
    </row>
    <row r="202" spans="1:5" s="137" customFormat="1" ht="12.75">
      <c r="A202" s="117">
        <v>1502</v>
      </c>
      <c r="B202" s="115" t="s">
        <v>1175</v>
      </c>
      <c r="C202" s="549">
        <f>SUM(C18)</f>
        <v>19052</v>
      </c>
      <c r="D202" s="549">
        <f>SUM(D18)</f>
        <v>19052</v>
      </c>
      <c r="E202" s="539">
        <f t="shared" si="31"/>
        <v>1</v>
      </c>
    </row>
    <row r="203" spans="1:5" s="137" customFormat="1" ht="12.75">
      <c r="A203" s="117">
        <v>1503</v>
      </c>
      <c r="B203" s="115" t="s">
        <v>363</v>
      </c>
      <c r="C203" s="549">
        <f>SUM(C159+C19+C114)</f>
        <v>46601</v>
      </c>
      <c r="D203" s="549">
        <f>SUM(D159+D19+D114)</f>
        <v>46601</v>
      </c>
      <c r="E203" s="539">
        <f t="shared" si="31"/>
        <v>1</v>
      </c>
    </row>
    <row r="204" spans="1:5" s="137" customFormat="1" ht="12.75">
      <c r="A204" s="117">
        <v>1504</v>
      </c>
      <c r="B204" s="115" t="s">
        <v>535</v>
      </c>
      <c r="C204" s="549">
        <f>SUM(C20)</f>
        <v>2450</v>
      </c>
      <c r="D204" s="549">
        <f>SUM(D20)</f>
        <v>2450</v>
      </c>
      <c r="E204" s="539">
        <f t="shared" si="31"/>
        <v>1</v>
      </c>
    </row>
    <row r="205" spans="1:5" s="137" customFormat="1" ht="13.5" thickBot="1">
      <c r="A205" s="133">
        <v>1506</v>
      </c>
      <c r="B205" s="139" t="s">
        <v>1174</v>
      </c>
      <c r="C205" s="549">
        <f>SUM(C21)</f>
        <v>15865</v>
      </c>
      <c r="D205" s="803">
        <f>SUM(D21)</f>
        <v>15865</v>
      </c>
      <c r="E205" s="894">
        <f t="shared" si="31"/>
        <v>1</v>
      </c>
    </row>
    <row r="206" spans="1:5" s="137" customFormat="1" ht="13.5" thickBot="1">
      <c r="A206" s="125"/>
      <c r="B206" s="128" t="s">
        <v>364</v>
      </c>
      <c r="C206" s="798">
        <f>SUM(C200:C205)</f>
        <v>3191289</v>
      </c>
      <c r="D206" s="798">
        <f>SUM(D200:D205)</f>
        <v>3263053</v>
      </c>
      <c r="E206" s="540">
        <f t="shared" si="31"/>
        <v>1.022487465096392</v>
      </c>
    </row>
    <row r="207" spans="1:5" s="137" customFormat="1" ht="12.75">
      <c r="A207" s="118">
        <v>1510</v>
      </c>
      <c r="B207" s="119" t="s">
        <v>183</v>
      </c>
      <c r="C207" s="639">
        <f>SUM(C24)</f>
        <v>3859000</v>
      </c>
      <c r="D207" s="639">
        <f>SUM(D24)</f>
        <v>3859000</v>
      </c>
      <c r="E207" s="892">
        <f t="shared" si="31"/>
        <v>1</v>
      </c>
    </row>
    <row r="208" spans="1:5" s="137" customFormat="1" ht="12.75">
      <c r="A208" s="117">
        <v>1511</v>
      </c>
      <c r="B208" s="119" t="s">
        <v>184</v>
      </c>
      <c r="C208" s="549">
        <f>SUM(C27)</f>
        <v>5296631</v>
      </c>
      <c r="D208" s="549">
        <f>SUM(D27)</f>
        <v>5296631</v>
      </c>
      <c r="E208" s="539">
        <f t="shared" si="31"/>
        <v>1</v>
      </c>
    </row>
    <row r="209" spans="1:5" s="137" customFormat="1" ht="13.5" thickBot="1">
      <c r="A209" s="122">
        <v>1514</v>
      </c>
      <c r="B209" s="123" t="s">
        <v>157</v>
      </c>
      <c r="C209" s="797">
        <f>SUM(C31+C119)</f>
        <v>742096</v>
      </c>
      <c r="D209" s="797">
        <f>SUM(D31+D119)</f>
        <v>742096</v>
      </c>
      <c r="E209" s="894">
        <f t="shared" si="31"/>
        <v>1</v>
      </c>
    </row>
    <row r="210" spans="1:5" s="137" customFormat="1" ht="13.5" thickBot="1">
      <c r="A210" s="125"/>
      <c r="B210" s="202" t="s">
        <v>190</v>
      </c>
      <c r="C210" s="802">
        <f aca="true" t="shared" si="46" ref="C210">SUM(C207:C209)</f>
        <v>9897727</v>
      </c>
      <c r="D210" s="802">
        <f aca="true" t="shared" si="47" ref="D210">SUM(D207:D209)</f>
        <v>9897727</v>
      </c>
      <c r="E210" s="540">
        <f t="shared" si="31"/>
        <v>1</v>
      </c>
    </row>
    <row r="211" spans="1:5" s="137" customFormat="1" ht="12.75">
      <c r="A211" s="118">
        <v>1519</v>
      </c>
      <c r="B211" s="175" t="s">
        <v>357</v>
      </c>
      <c r="C211" s="639">
        <f>SUM(C161)</f>
        <v>0</v>
      </c>
      <c r="D211" s="639">
        <f>SUM(D161)</f>
        <v>0</v>
      </c>
      <c r="E211" s="892"/>
    </row>
    <row r="212" spans="1:5" s="137" customFormat="1" ht="12.75">
      <c r="A212" s="118">
        <v>1520</v>
      </c>
      <c r="B212" s="175" t="s">
        <v>191</v>
      </c>
      <c r="C212" s="639">
        <f>SUM(C44+C120+C162)</f>
        <v>1625874</v>
      </c>
      <c r="D212" s="639">
        <f>SUM(D44+D120+D162)</f>
        <v>1625874</v>
      </c>
      <c r="E212" s="539">
        <f t="shared" si="31"/>
        <v>1</v>
      </c>
    </row>
    <row r="213" spans="1:5" s="137" customFormat="1" ht="12.75">
      <c r="A213" s="117">
        <v>1521</v>
      </c>
      <c r="B213" s="162" t="s">
        <v>192</v>
      </c>
      <c r="C213" s="549">
        <f>SUM(C53+C123+C165)</f>
        <v>181907</v>
      </c>
      <c r="D213" s="549">
        <f>SUM(D53+D123+D165)</f>
        <v>181907</v>
      </c>
      <c r="E213" s="539">
        <f t="shared" si="31"/>
        <v>1</v>
      </c>
    </row>
    <row r="214" spans="1:5" s="137" customFormat="1" ht="12.75">
      <c r="A214" s="435">
        <v>1522</v>
      </c>
      <c r="B214" s="432" t="s">
        <v>310</v>
      </c>
      <c r="C214" s="549">
        <f>SUM(C57)</f>
        <v>0</v>
      </c>
      <c r="D214" s="549">
        <f>SUM(D57)</f>
        <v>0</v>
      </c>
      <c r="E214" s="539"/>
    </row>
    <row r="215" spans="1:5" s="137" customFormat="1" ht="12.75">
      <c r="A215" s="117">
        <v>1523</v>
      </c>
      <c r="B215" s="115" t="s">
        <v>195</v>
      </c>
      <c r="C215" s="549">
        <f>SUM(C124+C166+C58)</f>
        <v>193676</v>
      </c>
      <c r="D215" s="549">
        <f>SUM(D124+D166+D58)</f>
        <v>193676</v>
      </c>
      <c r="E215" s="539">
        <f t="shared" si="31"/>
        <v>1</v>
      </c>
    </row>
    <row r="216" spans="1:5" s="137" customFormat="1" ht="12.75">
      <c r="A216" s="117">
        <v>1524</v>
      </c>
      <c r="B216" s="115" t="s">
        <v>196</v>
      </c>
      <c r="C216" s="549">
        <f>SUM(C59+C125+C167)</f>
        <v>535382</v>
      </c>
      <c r="D216" s="549">
        <f>SUM(D59+D125+D167)</f>
        <v>535382</v>
      </c>
      <c r="E216" s="539">
        <f t="shared" si="31"/>
        <v>1</v>
      </c>
    </row>
    <row r="217" spans="1:5" s="137" customFormat="1" ht="12.75">
      <c r="A217" s="117">
        <v>1525</v>
      </c>
      <c r="B217" s="119" t="s">
        <v>197</v>
      </c>
      <c r="C217" s="549">
        <f>SUM(C63+C126+C168)</f>
        <v>5070</v>
      </c>
      <c r="D217" s="549">
        <f>SUM(D63+D126+D168)</f>
        <v>5070</v>
      </c>
      <c r="E217" s="539">
        <f t="shared" si="31"/>
        <v>1</v>
      </c>
    </row>
    <row r="218" spans="1:5" s="137" customFormat="1" ht="12.75">
      <c r="A218" s="117">
        <v>1526</v>
      </c>
      <c r="B218" s="114" t="s">
        <v>389</v>
      </c>
      <c r="C218" s="549">
        <f>SUM(C64+C127+C169)</f>
        <v>6000</v>
      </c>
      <c r="D218" s="549">
        <f>SUM(D64+D127+D169)</f>
        <v>6000</v>
      </c>
      <c r="E218" s="539">
        <f t="shared" si="31"/>
        <v>1</v>
      </c>
    </row>
    <row r="219" spans="1:5" s="137" customFormat="1" ht="13.5" thickBot="1">
      <c r="A219" s="122">
        <v>1528</v>
      </c>
      <c r="B219" s="123" t="s">
        <v>198</v>
      </c>
      <c r="C219" s="797">
        <f>SUM(C66+C128+C170+C67)</f>
        <v>120875</v>
      </c>
      <c r="D219" s="797">
        <f>SUM(D66+D128+D170+D67)</f>
        <v>120875</v>
      </c>
      <c r="E219" s="894">
        <f t="shared" si="31"/>
        <v>1</v>
      </c>
    </row>
    <row r="220" spans="1:5" s="137" customFormat="1" ht="13.5" thickBot="1">
      <c r="A220" s="125"/>
      <c r="B220" s="128" t="s">
        <v>308</v>
      </c>
      <c r="C220" s="798">
        <f aca="true" t="shared" si="48" ref="C220">SUM(C211:C219)</f>
        <v>2668784</v>
      </c>
      <c r="D220" s="802">
        <f aca="true" t="shared" si="49" ref="D220">SUM(D211:D219)</f>
        <v>2668784</v>
      </c>
      <c r="E220" s="653">
        <f t="shared" si="31"/>
        <v>1</v>
      </c>
    </row>
    <row r="221" spans="1:5" s="137" customFormat="1" ht="13.5" thickBot="1">
      <c r="A221" s="135">
        <v>1530</v>
      </c>
      <c r="B221" s="207" t="s">
        <v>199</v>
      </c>
      <c r="C221" s="799">
        <f>SUM(C74)</f>
        <v>5233</v>
      </c>
      <c r="D221" s="799">
        <f>SUM(D74)</f>
        <v>5233</v>
      </c>
      <c r="E221" s="895">
        <f t="shared" si="31"/>
        <v>1</v>
      </c>
    </row>
    <row r="222" spans="1:5" s="137" customFormat="1" ht="13.5" thickBot="1">
      <c r="A222" s="209"/>
      <c r="B222" s="205" t="s">
        <v>200</v>
      </c>
      <c r="C222" s="800">
        <f aca="true" t="shared" si="50" ref="C222">SUM(C221)</f>
        <v>5233</v>
      </c>
      <c r="D222" s="800">
        <f aca="true" t="shared" si="51" ref="D222">SUM(D221)</f>
        <v>5233</v>
      </c>
      <c r="E222" s="895">
        <f aca="true" t="shared" si="52" ref="E222:E245">SUM(D222/C222)</f>
        <v>1</v>
      </c>
    </row>
    <row r="223" spans="1:5" s="137" customFormat="1" ht="17.25" thickBot="1" thickTop="1">
      <c r="A223" s="210"/>
      <c r="B223" s="204" t="s">
        <v>54</v>
      </c>
      <c r="C223" s="801">
        <f aca="true" t="shared" si="53" ref="C223">SUM(C206+C210+C220+C222)</f>
        <v>15763033</v>
      </c>
      <c r="D223" s="801">
        <f aca="true" t="shared" si="54" ref="D223">SUM(D206+D210+D220+D222)</f>
        <v>15834797</v>
      </c>
      <c r="E223" s="540">
        <f t="shared" si="52"/>
        <v>1.0045526771402433</v>
      </c>
    </row>
    <row r="224" spans="1:5" s="137" customFormat="1" ht="13.5" thickTop="1">
      <c r="A224" s="118">
        <v>1540</v>
      </c>
      <c r="B224" s="119" t="s">
        <v>201</v>
      </c>
      <c r="C224" s="639">
        <f aca="true" t="shared" si="55" ref="C224:D227">SUM(C78)</f>
        <v>0</v>
      </c>
      <c r="D224" s="639">
        <f t="shared" si="55"/>
        <v>0</v>
      </c>
      <c r="E224" s="892"/>
    </row>
    <row r="225" spans="1:5" s="137" customFormat="1" ht="12.75">
      <c r="A225" s="118">
        <v>1541</v>
      </c>
      <c r="B225" s="115" t="s">
        <v>1175</v>
      </c>
      <c r="C225" s="639">
        <f t="shared" si="55"/>
        <v>2404281</v>
      </c>
      <c r="D225" s="639">
        <f t="shared" si="55"/>
        <v>2404281</v>
      </c>
      <c r="E225" s="539">
        <f t="shared" si="52"/>
        <v>1</v>
      </c>
    </row>
    <row r="226" spans="1:5" s="137" customFormat="1" ht="12.75">
      <c r="A226" s="117">
        <v>1542</v>
      </c>
      <c r="B226" s="115" t="s">
        <v>376</v>
      </c>
      <c r="C226" s="549">
        <f t="shared" si="55"/>
        <v>0</v>
      </c>
      <c r="D226" s="549">
        <f t="shared" si="55"/>
        <v>0</v>
      </c>
      <c r="E226" s="539"/>
    </row>
    <row r="227" spans="1:5" s="137" customFormat="1" ht="12.75">
      <c r="A227" s="117">
        <v>1542</v>
      </c>
      <c r="B227" s="115" t="s">
        <v>377</v>
      </c>
      <c r="C227" s="549">
        <f t="shared" si="55"/>
        <v>296493</v>
      </c>
      <c r="D227" s="549">
        <f t="shared" si="55"/>
        <v>296493</v>
      </c>
      <c r="E227" s="539">
        <f t="shared" si="52"/>
        <v>1</v>
      </c>
    </row>
    <row r="228" spans="1:5" s="137" customFormat="1" ht="13.5" thickBot="1">
      <c r="A228" s="122">
        <v>1544</v>
      </c>
      <c r="B228" s="123" t="s">
        <v>375</v>
      </c>
      <c r="C228" s="797">
        <f>SUM(C84+C179)</f>
        <v>0</v>
      </c>
      <c r="D228" s="797">
        <f>SUM(D84+D179)</f>
        <v>0</v>
      </c>
      <c r="E228" s="894"/>
    </row>
    <row r="229" spans="1:5" s="137" customFormat="1" ht="13.5" thickBot="1">
      <c r="A229" s="134"/>
      <c r="B229" s="446" t="s">
        <v>370</v>
      </c>
      <c r="C229" s="802">
        <f aca="true" t="shared" si="56" ref="C229">SUM(C224:C228)</f>
        <v>2700774</v>
      </c>
      <c r="D229" s="802">
        <f aca="true" t="shared" si="57" ref="D229">SUM(D224:D228)</f>
        <v>2700774</v>
      </c>
      <c r="E229" s="540">
        <f t="shared" si="52"/>
        <v>1</v>
      </c>
    </row>
    <row r="230" spans="1:5" s="137" customFormat="1" ht="12.75">
      <c r="A230" s="118">
        <v>1550</v>
      </c>
      <c r="B230" s="119" t="s">
        <v>205</v>
      </c>
      <c r="C230" s="639">
        <f>SUM(C87)</f>
        <v>290000</v>
      </c>
      <c r="D230" s="639">
        <f>SUM(D87)</f>
        <v>290000</v>
      </c>
      <c r="E230" s="892">
        <f t="shared" si="52"/>
        <v>1</v>
      </c>
    </row>
    <row r="231" spans="1:5" s="137" customFormat="1" ht="13.5" thickBot="1">
      <c r="A231" s="117">
        <v>1551</v>
      </c>
      <c r="B231" s="115" t="s">
        <v>213</v>
      </c>
      <c r="C231" s="803"/>
      <c r="D231" s="803"/>
      <c r="E231" s="894"/>
    </row>
    <row r="232" spans="1:5" s="137" customFormat="1" ht="13.5" thickBot="1">
      <c r="A232" s="125"/>
      <c r="B232" s="128" t="s">
        <v>206</v>
      </c>
      <c r="C232" s="798">
        <f aca="true" t="shared" si="58" ref="C232">SUM(C230:C231)</f>
        <v>290000</v>
      </c>
      <c r="D232" s="798">
        <f aca="true" t="shared" si="59" ref="D232">SUM(D230:D231)</f>
        <v>290000</v>
      </c>
      <c r="E232" s="540">
        <f t="shared" si="52"/>
        <v>1</v>
      </c>
    </row>
    <row r="233" spans="1:5" s="137" customFormat="1" ht="12.75">
      <c r="A233" s="118">
        <v>1560</v>
      </c>
      <c r="B233" s="131" t="s">
        <v>378</v>
      </c>
      <c r="C233" s="639">
        <f>SUM(C92+C144)</f>
        <v>19000</v>
      </c>
      <c r="D233" s="639">
        <f>SUM(D92+D144)</f>
        <v>19000</v>
      </c>
      <c r="E233" s="892">
        <f t="shared" si="52"/>
        <v>1</v>
      </c>
    </row>
    <row r="234" spans="1:5" s="137" customFormat="1" ht="12.75">
      <c r="A234" s="179">
        <v>1561</v>
      </c>
      <c r="B234" s="121" t="s">
        <v>210</v>
      </c>
      <c r="C234" s="803">
        <f>SUM(C186)</f>
        <v>0</v>
      </c>
      <c r="D234" s="803">
        <f>SUM(D186)</f>
        <v>0</v>
      </c>
      <c r="E234" s="539"/>
    </row>
    <row r="235" spans="1:5" s="137" customFormat="1" ht="13.5" thickBot="1">
      <c r="A235" s="430">
        <v>1562</v>
      </c>
      <c r="B235" s="431" t="s">
        <v>326</v>
      </c>
      <c r="C235" s="797">
        <f>C96</f>
        <v>0</v>
      </c>
      <c r="D235" s="797">
        <f>D96</f>
        <v>0</v>
      </c>
      <c r="E235" s="894"/>
    </row>
    <row r="236" spans="1:5" s="137" customFormat="1" ht="13.5" thickBot="1">
      <c r="A236" s="211"/>
      <c r="B236" s="203" t="s">
        <v>211</v>
      </c>
      <c r="C236" s="801">
        <f aca="true" t="shared" si="60" ref="C236">SUM(C233:C235)</f>
        <v>19000</v>
      </c>
      <c r="D236" s="801">
        <f aca="true" t="shared" si="61" ref="D236">SUM(D233:D235)</f>
        <v>19000</v>
      </c>
      <c r="E236" s="896">
        <f t="shared" si="52"/>
        <v>1</v>
      </c>
    </row>
    <row r="237" spans="1:5" s="137" customFormat="1" ht="17.25" thickBot="1" thickTop="1">
      <c r="A237" s="210"/>
      <c r="B237" s="206" t="s">
        <v>55</v>
      </c>
      <c r="C237" s="804">
        <f aca="true" t="shared" si="62" ref="C237">SUM(C229+C232+C236)</f>
        <v>3009774</v>
      </c>
      <c r="D237" s="804">
        <f aca="true" t="shared" si="63" ref="D237">SUM(D229+D232+D236)</f>
        <v>3009774</v>
      </c>
      <c r="E237" s="897">
        <f t="shared" si="52"/>
        <v>1</v>
      </c>
    </row>
    <row r="238" spans="1:5" s="137" customFormat="1" ht="13.5" thickTop="1">
      <c r="A238" s="118">
        <v>1570</v>
      </c>
      <c r="B238" s="119" t="s">
        <v>373</v>
      </c>
      <c r="C238" s="523">
        <f>SUM(C147+C101+C189)</f>
        <v>110289</v>
      </c>
      <c r="D238" s="523">
        <f>SUM(D147+D101+D189)</f>
        <v>3450083</v>
      </c>
      <c r="E238" s="892">
        <f t="shared" si="52"/>
        <v>31.282204027600216</v>
      </c>
    </row>
    <row r="239" spans="1:5" s="137" customFormat="1" ht="12.75">
      <c r="A239" s="117">
        <v>1571</v>
      </c>
      <c r="B239" s="115" t="s">
        <v>401</v>
      </c>
      <c r="C239" s="549">
        <f>SUM(C190+C148)</f>
        <v>8274723</v>
      </c>
      <c r="D239" s="549">
        <f>SUM(D190+D148)</f>
        <v>8614441</v>
      </c>
      <c r="E239" s="539">
        <f t="shared" si="52"/>
        <v>1.0410549090283747</v>
      </c>
    </row>
    <row r="240" spans="1:5" s="137" customFormat="1" ht="12.75">
      <c r="A240" s="117">
        <v>1572</v>
      </c>
      <c r="B240" s="115" t="s">
        <v>514</v>
      </c>
      <c r="C240" s="549">
        <f>SUM(C103)</f>
        <v>0</v>
      </c>
      <c r="D240" s="549">
        <f>SUM(D103)</f>
        <v>120591</v>
      </c>
      <c r="E240" s="539"/>
    </row>
    <row r="241" spans="1:5" s="137" customFormat="1" ht="13.5" thickBot="1">
      <c r="A241" s="133">
        <v>1573</v>
      </c>
      <c r="B241" s="121" t="s">
        <v>386</v>
      </c>
      <c r="C241" s="548">
        <f>SUM(C188)</f>
        <v>0</v>
      </c>
      <c r="D241" s="548">
        <f>SUM(D188)</f>
        <v>466</v>
      </c>
      <c r="E241" s="894"/>
    </row>
    <row r="242" spans="1:5" s="137" customFormat="1" ht="15" thickBot="1">
      <c r="A242" s="125"/>
      <c r="B242" s="208" t="s">
        <v>48</v>
      </c>
      <c r="C242" s="798">
        <f aca="true" t="shared" si="64" ref="C242">SUM(C238:C241)</f>
        <v>8385012</v>
      </c>
      <c r="D242" s="798">
        <f aca="true" t="shared" si="65" ref="D242">SUM(D238:D241)</f>
        <v>12185581</v>
      </c>
      <c r="E242" s="540">
        <f t="shared" si="52"/>
        <v>1.453257431235638</v>
      </c>
    </row>
    <row r="243" spans="1:5" s="137" customFormat="1" ht="12" customHeight="1" thickBot="1">
      <c r="A243" s="117">
        <v>1581</v>
      </c>
      <c r="B243" s="115" t="s">
        <v>373</v>
      </c>
      <c r="C243" s="809">
        <f>SUM(C106+C151+C194)</f>
        <v>1798297</v>
      </c>
      <c r="D243" s="809">
        <f>SUM(D106+D151+D194)</f>
        <v>2548820</v>
      </c>
      <c r="E243" s="895">
        <f t="shared" si="52"/>
        <v>1.4173520836658238</v>
      </c>
    </row>
    <row r="244" spans="1:5" s="137" customFormat="1" ht="13.5" thickBot="1">
      <c r="A244" s="125"/>
      <c r="B244" s="149" t="s">
        <v>212</v>
      </c>
      <c r="C244" s="798">
        <f aca="true" t="shared" si="66" ref="C244">SUM(C243:C243)</f>
        <v>1798297</v>
      </c>
      <c r="D244" s="798">
        <f aca="true" t="shared" si="67" ref="D244">SUM(D243:D243)</f>
        <v>2548820</v>
      </c>
      <c r="E244" s="540">
        <f t="shared" si="52"/>
        <v>1.4173520836658238</v>
      </c>
    </row>
    <row r="245" spans="1:7" s="137" customFormat="1" ht="18.75" customHeight="1" thickBot="1">
      <c r="A245" s="125"/>
      <c r="B245" s="156" t="s">
        <v>1334</v>
      </c>
      <c r="C245" s="805">
        <f>SUM(C223+C237+C243+C238+C241+C240)</f>
        <v>20681393</v>
      </c>
      <c r="D245" s="805">
        <f>SUM(D223+D237+D243+D238+D241+D240)</f>
        <v>24964531</v>
      </c>
      <c r="E245" s="931">
        <f t="shared" si="52"/>
        <v>1.2071010400508322</v>
      </c>
      <c r="F245" s="220"/>
      <c r="G245" s="557"/>
    </row>
  </sheetData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1.1811023622047245" right="0" top="0.3937007874015748" bottom="0.3937007874015748" header="0" footer="0"/>
  <pageSetup firstPageNumber="2" useFirstPageNumber="1" horizontalDpi="300" verticalDpi="300" orientation="landscape" paperSize="9" scale="70" r:id="rId1"/>
  <headerFooter alignWithMargins="0">
    <oddFooter>&amp;C&amp;P. oldal</oddFooter>
  </headerFooter>
  <rowBreaks count="4" manualBreakCount="4">
    <brk id="58" max="16383" man="1"/>
    <brk id="110" max="16383" man="1"/>
    <brk id="165" max="16383" man="1"/>
    <brk id="22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6"/>
  <sheetViews>
    <sheetView view="pageBreakPreview" zoomScaleSheetLayoutView="100" workbookViewId="0" topLeftCell="A397">
      <selection activeCell="C12" sqref="C12"/>
    </sheetView>
  </sheetViews>
  <sheetFormatPr defaultColWidth="9.00390625" defaultRowHeight="12.75"/>
  <cols>
    <col min="1" max="2" width="8.875" style="979" customWidth="1"/>
    <col min="3" max="3" width="16.625" style="979" customWidth="1"/>
    <col min="4" max="5" width="19.125" style="979" customWidth="1"/>
    <col min="6" max="6" width="11.625" style="979" customWidth="1"/>
  </cols>
  <sheetData>
    <row r="1" spans="1:6" ht="12.75">
      <c r="A1" s="1254" t="s">
        <v>861</v>
      </c>
      <c r="B1" s="1254"/>
      <c r="C1" s="1254"/>
      <c r="D1" s="1254"/>
      <c r="E1" s="1254"/>
      <c r="F1" s="1254"/>
    </row>
    <row r="2" spans="1:6" ht="12.75">
      <c r="A2" s="1254" t="s">
        <v>862</v>
      </c>
      <c r="B2" s="1254"/>
      <c r="C2" s="1254"/>
      <c r="D2" s="1254"/>
      <c r="E2" s="1254"/>
      <c r="F2" s="1254"/>
    </row>
    <row r="3" spans="1:6" ht="12.75">
      <c r="A3" s="1254" t="s">
        <v>1209</v>
      </c>
      <c r="B3" s="1254"/>
      <c r="C3" s="1254"/>
      <c r="D3" s="1254"/>
      <c r="E3" s="1254"/>
      <c r="F3" s="1254"/>
    </row>
    <row r="4" ht="12.75">
      <c r="F4" s="988" t="s">
        <v>524</v>
      </c>
    </row>
    <row r="5" spans="1:6" ht="13.15" customHeight="1">
      <c r="A5" s="1500" t="s">
        <v>863</v>
      </c>
      <c r="B5" s="1501" t="s">
        <v>864</v>
      </c>
      <c r="C5" s="1501"/>
      <c r="D5" s="1501"/>
      <c r="E5" s="1501"/>
      <c r="F5" s="1524">
        <f>SUM(F8:F19)</f>
        <v>3872982</v>
      </c>
    </row>
    <row r="6" spans="1:6" ht="13.15" customHeight="1">
      <c r="A6" s="1500"/>
      <c r="B6" s="1501"/>
      <c r="C6" s="1501"/>
      <c r="D6" s="1501"/>
      <c r="E6" s="1501"/>
      <c r="F6" s="1525"/>
    </row>
    <row r="7" spans="1:6" ht="13.15" customHeight="1">
      <c r="A7" s="1500"/>
      <c r="B7" s="1501"/>
      <c r="C7" s="1501"/>
      <c r="D7" s="1501"/>
      <c r="E7" s="1501"/>
      <c r="F7" s="1526"/>
    </row>
    <row r="8" spans="1:6" ht="15">
      <c r="A8" s="1536">
        <v>3200</v>
      </c>
      <c r="B8" s="1536"/>
      <c r="C8" s="1537" t="s">
        <v>361</v>
      </c>
      <c r="D8" s="1538"/>
      <c r="E8" s="1539"/>
      <c r="F8" s="778">
        <f>'3c.m.'!D241</f>
        <v>150768</v>
      </c>
    </row>
    <row r="9" spans="1:6" ht="15">
      <c r="A9" s="1536">
        <v>3201</v>
      </c>
      <c r="B9" s="1536"/>
      <c r="C9" s="1537" t="s">
        <v>314</v>
      </c>
      <c r="D9" s="1538"/>
      <c r="E9" s="1539"/>
      <c r="F9" s="778">
        <f>'3c.m.'!D252</f>
        <v>112662</v>
      </c>
    </row>
    <row r="10" spans="1:6" ht="15">
      <c r="A10" s="1496">
        <v>3208</v>
      </c>
      <c r="B10" s="1496"/>
      <c r="C10" s="1497" t="s">
        <v>161</v>
      </c>
      <c r="D10" s="1498"/>
      <c r="E10" s="1499"/>
      <c r="F10" s="778">
        <f>'3c.m.'!D304</f>
        <v>22462</v>
      </c>
    </row>
    <row r="11" spans="1:6" ht="15">
      <c r="A11" s="1496">
        <v>3209</v>
      </c>
      <c r="B11" s="1496"/>
      <c r="C11" s="1497" t="s">
        <v>60</v>
      </c>
      <c r="D11" s="1498"/>
      <c r="E11" s="1499"/>
      <c r="F11" s="778">
        <f>'3c.m.'!D313</f>
        <v>258</v>
      </c>
    </row>
    <row r="12" spans="1:6" ht="15">
      <c r="A12" s="1496">
        <v>3221</v>
      </c>
      <c r="B12" s="1496"/>
      <c r="C12" s="796" t="s">
        <v>536</v>
      </c>
      <c r="D12" s="977"/>
      <c r="E12" s="989"/>
      <c r="F12" s="778">
        <f>'3c.m.'!D377</f>
        <v>2413</v>
      </c>
    </row>
    <row r="13" spans="1:6" ht="15">
      <c r="A13" s="1496">
        <v>3223</v>
      </c>
      <c r="B13" s="1496"/>
      <c r="C13" s="1497" t="s">
        <v>63</v>
      </c>
      <c r="D13" s="1498"/>
      <c r="E13" s="1499"/>
      <c r="F13" s="778">
        <f>'3c.m.'!D386</f>
        <v>9145</v>
      </c>
    </row>
    <row r="14" spans="1:6" ht="15">
      <c r="A14" s="1496">
        <v>3222</v>
      </c>
      <c r="B14" s="1496"/>
      <c r="C14" s="796" t="s">
        <v>1210</v>
      </c>
      <c r="D14" s="977"/>
      <c r="E14" s="989"/>
      <c r="F14" s="778">
        <f>'3c.m.'!D395</f>
        <v>20192</v>
      </c>
    </row>
    <row r="15" spans="1:6" ht="15">
      <c r="A15" s="1496">
        <v>3225</v>
      </c>
      <c r="B15" s="1496"/>
      <c r="C15" s="796" t="s">
        <v>1173</v>
      </c>
      <c r="D15" s="977"/>
      <c r="E15" s="989"/>
      <c r="F15" s="778">
        <f>'3c.m.'!D404</f>
        <v>8664</v>
      </c>
    </row>
    <row r="16" spans="1:6" ht="15">
      <c r="A16" s="1496">
        <v>3000</v>
      </c>
      <c r="B16" s="1496"/>
      <c r="C16" s="1497" t="s">
        <v>865</v>
      </c>
      <c r="D16" s="1498"/>
      <c r="E16" s="1499"/>
      <c r="F16" s="778">
        <v>3435318</v>
      </c>
    </row>
    <row r="17" spans="1:6" ht="15">
      <c r="A17" s="1496">
        <v>1801</v>
      </c>
      <c r="B17" s="1496"/>
      <c r="C17" s="1497" t="s">
        <v>866</v>
      </c>
      <c r="D17" s="1498"/>
      <c r="E17" s="1499"/>
      <c r="F17" s="778">
        <f>'1c.mell '!D62</f>
        <v>25381</v>
      </c>
    </row>
    <row r="18" spans="1:6" ht="15">
      <c r="A18" s="1496">
        <v>1802</v>
      </c>
      <c r="B18" s="1496"/>
      <c r="C18" s="1497" t="s">
        <v>867</v>
      </c>
      <c r="D18" s="1498"/>
      <c r="E18" s="1499"/>
      <c r="F18" s="778">
        <f>'1c.mell '!D64</f>
        <v>7865</v>
      </c>
    </row>
    <row r="19" spans="1:6" ht="15">
      <c r="A19" s="1496">
        <v>1804</v>
      </c>
      <c r="B19" s="1496"/>
      <c r="C19" s="1497" t="s">
        <v>868</v>
      </c>
      <c r="D19" s="1498"/>
      <c r="E19" s="1499"/>
      <c r="F19" s="778">
        <f>'1c.mell '!D68</f>
        <v>77854</v>
      </c>
    </row>
    <row r="20" spans="1:6" ht="13.15" customHeight="1">
      <c r="A20" s="1500" t="s">
        <v>869</v>
      </c>
      <c r="B20" s="1501" t="s">
        <v>870</v>
      </c>
      <c r="C20" s="1501"/>
      <c r="D20" s="1501"/>
      <c r="E20" s="1501"/>
      <c r="F20" s="1524">
        <f>SUM(F23:F70)</f>
        <v>4462431</v>
      </c>
    </row>
    <row r="21" spans="1:6" ht="13.15" customHeight="1">
      <c r="A21" s="1500"/>
      <c r="B21" s="1501"/>
      <c r="C21" s="1501"/>
      <c r="D21" s="1501"/>
      <c r="E21" s="1501"/>
      <c r="F21" s="1525"/>
    </row>
    <row r="22" spans="1:6" ht="13.15" customHeight="1">
      <c r="A22" s="1504"/>
      <c r="B22" s="1501"/>
      <c r="C22" s="1501"/>
      <c r="D22" s="1501"/>
      <c r="E22" s="1501"/>
      <c r="F22" s="1526"/>
    </row>
    <row r="23" spans="1:6" ht="15">
      <c r="A23" s="1496">
        <v>3054</v>
      </c>
      <c r="B23" s="1496"/>
      <c r="C23" s="1497" t="s">
        <v>208</v>
      </c>
      <c r="D23" s="1498"/>
      <c r="E23" s="1499"/>
      <c r="F23" s="779">
        <f>'3c.m.'!D25</f>
        <v>5001</v>
      </c>
    </row>
    <row r="24" spans="1:6" ht="15">
      <c r="A24" s="1496">
        <v>3111</v>
      </c>
      <c r="B24" s="1496"/>
      <c r="C24" s="1497" t="s">
        <v>135</v>
      </c>
      <c r="D24" s="1498"/>
      <c r="E24" s="1499"/>
      <c r="F24" s="780">
        <f>'3c.m.'!D105</f>
        <v>359844</v>
      </c>
    </row>
    <row r="25" spans="1:6" ht="15">
      <c r="A25" s="1496">
        <v>3114</v>
      </c>
      <c r="B25" s="1496"/>
      <c r="C25" s="1497" t="s">
        <v>105</v>
      </c>
      <c r="D25" s="1498"/>
      <c r="E25" s="1499"/>
      <c r="F25" s="780">
        <f>'3c.m.'!D123</f>
        <v>80711</v>
      </c>
    </row>
    <row r="26" spans="1:6" ht="15">
      <c r="A26" s="1496">
        <v>3116</v>
      </c>
      <c r="B26" s="1496"/>
      <c r="C26" s="1497" t="s">
        <v>871</v>
      </c>
      <c r="D26" s="1498"/>
      <c r="E26" s="1499"/>
      <c r="F26" s="780">
        <f>'3c.m.'!D139</f>
        <v>7468</v>
      </c>
    </row>
    <row r="27" spans="1:6" ht="15">
      <c r="A27" s="1496">
        <v>3121</v>
      </c>
      <c r="B27" s="1496"/>
      <c r="C27" s="1497" t="s">
        <v>158</v>
      </c>
      <c r="D27" s="1498"/>
      <c r="E27" s="1499"/>
      <c r="F27" s="780">
        <f>'3c.m.'!D148</f>
        <v>6294</v>
      </c>
    </row>
    <row r="28" spans="1:6" ht="15">
      <c r="A28" s="1496">
        <v>3122</v>
      </c>
      <c r="B28" s="1496"/>
      <c r="C28" s="1497" t="s">
        <v>152</v>
      </c>
      <c r="D28" s="1498"/>
      <c r="E28" s="1499"/>
      <c r="F28" s="780">
        <f>'3c.m.'!D156</f>
        <v>3009</v>
      </c>
    </row>
    <row r="29" spans="1:6" ht="15">
      <c r="A29" s="1496">
        <v>3123</v>
      </c>
      <c r="B29" s="1496"/>
      <c r="C29" s="1497" t="s">
        <v>104</v>
      </c>
      <c r="D29" s="1498"/>
      <c r="E29" s="1499"/>
      <c r="F29" s="778">
        <f>'3c.m.'!D164</f>
        <v>16609</v>
      </c>
    </row>
    <row r="30" spans="1:6" ht="15">
      <c r="A30" s="1496">
        <v>3124</v>
      </c>
      <c r="B30" s="1496"/>
      <c r="C30" s="1497" t="s">
        <v>107</v>
      </c>
      <c r="D30" s="1498"/>
      <c r="E30" s="1499"/>
      <c r="F30" s="778">
        <f>'3c.m.'!D172</f>
        <v>2000</v>
      </c>
    </row>
    <row r="31" spans="1:6" ht="15">
      <c r="A31" s="1496">
        <v>3211</v>
      </c>
      <c r="B31" s="1496"/>
      <c r="C31" s="1497" t="s">
        <v>872</v>
      </c>
      <c r="D31" s="1498"/>
      <c r="E31" s="1499"/>
      <c r="F31" s="778">
        <f>'3c.m.'!D323</f>
        <v>882529</v>
      </c>
    </row>
    <row r="32" spans="1:6" ht="15">
      <c r="A32" s="1496">
        <v>3213</v>
      </c>
      <c r="B32" s="1496"/>
      <c r="C32" s="1497" t="s">
        <v>873</v>
      </c>
      <c r="D32" s="1498"/>
      <c r="E32" s="1499"/>
      <c r="F32" s="781">
        <f>'3c.m.'!D343</f>
        <v>493601</v>
      </c>
    </row>
    <row r="33" spans="1:6" ht="15.75" customHeight="1">
      <c r="A33" s="1496">
        <v>3925</v>
      </c>
      <c r="B33" s="1496"/>
      <c r="C33" s="1497" t="s">
        <v>20</v>
      </c>
      <c r="D33" s="1498"/>
      <c r="E33" s="1499"/>
      <c r="F33" s="781">
        <f>'3d.m.'!D13</f>
        <v>125000</v>
      </c>
    </row>
    <row r="34" spans="1:6" ht="15" customHeight="1">
      <c r="A34" s="1496">
        <v>4021</v>
      </c>
      <c r="B34" s="1496"/>
      <c r="C34" s="1497" t="s">
        <v>1167</v>
      </c>
      <c r="D34" s="1498"/>
      <c r="E34" s="1499"/>
      <c r="F34" s="781">
        <f>'4.mell.'!D17</f>
        <v>64879</v>
      </c>
    </row>
    <row r="35" spans="1:6" ht="15.75" customHeight="1" hidden="1">
      <c r="A35" s="1496">
        <v>4029</v>
      </c>
      <c r="B35" s="1496"/>
      <c r="C35" s="1497" t="s">
        <v>1133</v>
      </c>
      <c r="D35" s="1498"/>
      <c r="E35" s="1499"/>
      <c r="F35" s="781"/>
    </row>
    <row r="36" spans="1:6" ht="15" hidden="1">
      <c r="A36" s="1496">
        <v>4112</v>
      </c>
      <c r="B36" s="1496"/>
      <c r="C36" s="1497" t="s">
        <v>207</v>
      </c>
      <c r="D36" s="1498"/>
      <c r="E36" s="1499"/>
      <c r="F36" s="781"/>
    </row>
    <row r="37" spans="1:6" ht="14.25" customHeight="1">
      <c r="A37" s="1496">
        <v>4121</v>
      </c>
      <c r="B37" s="1496"/>
      <c r="C37" s="1497" t="s">
        <v>1324</v>
      </c>
      <c r="D37" s="1498"/>
      <c r="E37" s="1499"/>
      <c r="F37" s="781">
        <f>'4.mell.'!D29</f>
        <v>217954</v>
      </c>
    </row>
    <row r="38" spans="1:6" ht="15">
      <c r="A38" s="1496">
        <v>4124</v>
      </c>
      <c r="B38" s="1496"/>
      <c r="C38" s="1497" t="s">
        <v>874</v>
      </c>
      <c r="D38" s="1498"/>
      <c r="E38" s="1499"/>
      <c r="F38" s="781">
        <f>'4.mell.'!D35</f>
        <v>5214</v>
      </c>
    </row>
    <row r="39" spans="1:6" ht="15">
      <c r="A39" s="1496">
        <v>4126</v>
      </c>
      <c r="B39" s="1496"/>
      <c r="C39" s="999" t="s">
        <v>1115</v>
      </c>
      <c r="D39" s="1000"/>
      <c r="E39" s="1001"/>
      <c r="F39" s="781">
        <f>'4.mell.'!D37</f>
        <v>302595</v>
      </c>
    </row>
    <row r="40" spans="1:6" ht="15">
      <c r="A40" s="1496">
        <v>3115</v>
      </c>
      <c r="B40" s="1496"/>
      <c r="C40" s="1497" t="s">
        <v>875</v>
      </c>
      <c r="D40" s="1498"/>
      <c r="E40" s="1499"/>
      <c r="F40" s="781">
        <f>'3c.m.'!D131</f>
        <v>16034</v>
      </c>
    </row>
    <row r="41" spans="1:6" ht="15">
      <c r="A41" s="1496">
        <v>4125</v>
      </c>
      <c r="B41" s="1496"/>
      <c r="C41" s="1497" t="s">
        <v>1325</v>
      </c>
      <c r="D41" s="1498"/>
      <c r="E41" s="1499"/>
      <c r="F41" s="781">
        <f>'4.mell.'!D36</f>
        <v>915936</v>
      </c>
    </row>
    <row r="42" spans="1:6" ht="15">
      <c r="A42" s="1496">
        <v>4127</v>
      </c>
      <c r="B42" s="1496"/>
      <c r="C42" s="1497" t="s">
        <v>1130</v>
      </c>
      <c r="D42" s="1498"/>
      <c r="E42" s="1499"/>
      <c r="F42" s="781">
        <f>'4.mell.'!D39</f>
        <v>131197</v>
      </c>
    </row>
    <row r="43" spans="1:6" ht="15">
      <c r="A43" s="1496">
        <v>4128</v>
      </c>
      <c r="B43" s="1496"/>
      <c r="C43" s="1497" t="s">
        <v>1131</v>
      </c>
      <c r="D43" s="1498"/>
      <c r="E43" s="1499"/>
      <c r="F43" s="781">
        <f>'4.mell.'!D40</f>
        <v>30200</v>
      </c>
    </row>
    <row r="44" spans="1:6" ht="15">
      <c r="A44" s="1496">
        <v>4129</v>
      </c>
      <c r="B44" s="1496"/>
      <c r="C44" s="1497" t="s">
        <v>1284</v>
      </c>
      <c r="D44" s="1498"/>
      <c r="E44" s="1499"/>
      <c r="F44" s="781">
        <f>'4.mell.'!D41</f>
        <v>65000</v>
      </c>
    </row>
    <row r="45" spans="1:6" ht="15">
      <c r="A45" s="1496">
        <v>4131</v>
      </c>
      <c r="B45" s="1496"/>
      <c r="C45" s="1497" t="s">
        <v>254</v>
      </c>
      <c r="D45" s="1498"/>
      <c r="E45" s="1499"/>
      <c r="F45" s="781">
        <f>'4.mell.'!D43</f>
        <v>36095</v>
      </c>
    </row>
    <row r="46" spans="1:6" ht="15">
      <c r="A46" s="1496">
        <v>4133</v>
      </c>
      <c r="B46" s="1496"/>
      <c r="C46" s="1497" t="s">
        <v>255</v>
      </c>
      <c r="D46" s="1498"/>
      <c r="E46" s="1499"/>
      <c r="F46" s="781">
        <f>'4.mell.'!D47</f>
        <v>91567</v>
      </c>
    </row>
    <row r="47" spans="1:6" ht="15">
      <c r="A47" s="1496">
        <v>4141</v>
      </c>
      <c r="B47" s="1496"/>
      <c r="C47" s="1497" t="s">
        <v>333</v>
      </c>
      <c r="D47" s="1498"/>
      <c r="E47" s="1499"/>
      <c r="F47" s="781">
        <f>'4.mell.'!D49</f>
        <v>10956</v>
      </c>
    </row>
    <row r="48" spans="1:6" ht="15" hidden="1">
      <c r="A48" s="1496">
        <v>4136</v>
      </c>
      <c r="B48" s="1496"/>
      <c r="C48" s="1497" t="s">
        <v>345</v>
      </c>
      <c r="D48" s="1498"/>
      <c r="E48" s="1499"/>
      <c r="F48" s="781"/>
    </row>
    <row r="49" spans="1:6" ht="15" hidden="1">
      <c r="A49" s="1496">
        <v>4211</v>
      </c>
      <c r="B49" s="1496"/>
      <c r="C49" s="999" t="s">
        <v>109</v>
      </c>
      <c r="D49" s="1000"/>
      <c r="E49" s="1001"/>
      <c r="F49" s="781"/>
    </row>
    <row r="50" spans="1:6" ht="15" hidden="1">
      <c r="A50" s="1496">
        <v>4212</v>
      </c>
      <c r="B50" s="1496"/>
      <c r="C50" s="999" t="s">
        <v>1158</v>
      </c>
      <c r="D50" s="1000"/>
      <c r="E50" s="1001"/>
      <c r="F50" s="781"/>
    </row>
    <row r="51" spans="1:6" ht="15" hidden="1">
      <c r="A51" s="1496">
        <v>4213</v>
      </c>
      <c r="B51" s="1496"/>
      <c r="C51" s="999" t="s">
        <v>1159</v>
      </c>
      <c r="D51" s="1000"/>
      <c r="E51" s="1001"/>
      <c r="F51" s="781"/>
    </row>
    <row r="52" spans="1:6" ht="15">
      <c r="A52" s="1496">
        <v>4223</v>
      </c>
      <c r="B52" s="1496"/>
      <c r="C52" s="1497" t="s">
        <v>1164</v>
      </c>
      <c r="D52" s="1498"/>
      <c r="E52" s="1499"/>
      <c r="F52" s="781">
        <f>'4.mell.'!D63</f>
        <v>12700</v>
      </c>
    </row>
    <row r="53" spans="1:6" ht="15">
      <c r="A53" s="1496">
        <v>4225</v>
      </c>
      <c r="B53" s="1496"/>
      <c r="C53" s="1497" t="s">
        <v>1352</v>
      </c>
      <c r="D53" s="1498"/>
      <c r="E53" s="1499"/>
      <c r="F53" s="781">
        <f>'4.mell.'!D61</f>
        <v>325</v>
      </c>
    </row>
    <row r="54" spans="1:6" ht="15">
      <c r="A54" s="1496">
        <v>4228</v>
      </c>
      <c r="B54" s="1496"/>
      <c r="C54" s="1497" t="s">
        <v>1279</v>
      </c>
      <c r="D54" s="1498"/>
      <c r="E54" s="1499"/>
      <c r="F54" s="781">
        <f>'4.mell.'!D64</f>
        <v>5000</v>
      </c>
    </row>
    <row r="55" spans="1:6" ht="15">
      <c r="A55" s="1496">
        <v>4230</v>
      </c>
      <c r="B55" s="1496"/>
      <c r="C55" s="1497" t="s">
        <v>438</v>
      </c>
      <c r="D55" s="1498"/>
      <c r="E55" s="1499"/>
      <c r="F55" s="781">
        <f>'4.mell.'!D65</f>
        <v>39000</v>
      </c>
    </row>
    <row r="56" spans="1:6" ht="15">
      <c r="A56" s="1496">
        <v>4264</v>
      </c>
      <c r="B56" s="1496"/>
      <c r="C56" s="1497" t="s">
        <v>1375</v>
      </c>
      <c r="D56" s="1498"/>
      <c r="E56" s="1499"/>
      <c r="F56" s="781">
        <f>'4.mell.'!D66</f>
        <v>20000</v>
      </c>
    </row>
    <row r="57" spans="1:6" ht="15">
      <c r="A57" s="1496">
        <v>4265</v>
      </c>
      <c r="B57" s="1496"/>
      <c r="C57" s="1497" t="s">
        <v>876</v>
      </c>
      <c r="D57" s="1498"/>
      <c r="E57" s="1499"/>
      <c r="F57" s="781">
        <f>'4.mell.'!D67</f>
        <v>211</v>
      </c>
    </row>
    <row r="58" spans="1:6" ht="15">
      <c r="A58" s="1496">
        <v>4311</v>
      </c>
      <c r="B58" s="1496"/>
      <c r="C58" s="1497" t="s">
        <v>1281</v>
      </c>
      <c r="D58" s="1498"/>
      <c r="E58" s="1499"/>
      <c r="F58" s="781">
        <f>'4.mell.'!D72</f>
        <v>20000</v>
      </c>
    </row>
    <row r="59" spans="1:6" ht="15">
      <c r="A59" s="1496">
        <v>4312</v>
      </c>
      <c r="B59" s="1496"/>
      <c r="C59" s="1497" t="s">
        <v>1282</v>
      </c>
      <c r="D59" s="1498"/>
      <c r="E59" s="1499"/>
      <c r="F59" s="781">
        <f>'4.mell.'!D73</f>
        <v>10000</v>
      </c>
    </row>
    <row r="60" spans="1:6" ht="15">
      <c r="A60" s="1496">
        <v>4313</v>
      </c>
      <c r="B60" s="1496"/>
      <c r="C60" s="1497" t="s">
        <v>1318</v>
      </c>
      <c r="D60" s="1498"/>
      <c r="E60" s="1499"/>
      <c r="F60" s="781">
        <f>'4.mell.'!D74</f>
        <v>8000</v>
      </c>
    </row>
    <row r="61" spans="1:6" ht="15">
      <c r="A61" s="1496">
        <v>4323</v>
      </c>
      <c r="B61" s="1496"/>
      <c r="C61" s="1497" t="s">
        <v>809</v>
      </c>
      <c r="D61" s="1498"/>
      <c r="E61" s="1499"/>
      <c r="F61" s="781">
        <f>'4.mell.'!D75</f>
        <v>153640</v>
      </c>
    </row>
    <row r="62" spans="1:6" ht="15">
      <c r="A62" s="1496">
        <v>5021</v>
      </c>
      <c r="B62" s="1496"/>
      <c r="C62" s="1497" t="s">
        <v>12</v>
      </c>
      <c r="D62" s="1498"/>
      <c r="E62" s="1499"/>
      <c r="F62" s="781">
        <f>'5.mell. '!D23</f>
        <v>3560</v>
      </c>
    </row>
    <row r="63" spans="1:6" ht="15">
      <c r="A63" s="1496">
        <v>5017</v>
      </c>
      <c r="B63" s="1496"/>
      <c r="C63" s="1497" t="s">
        <v>877</v>
      </c>
      <c r="D63" s="1498"/>
      <c r="E63" s="1499"/>
      <c r="F63" s="781">
        <f>'5.mell. '!D17</f>
        <v>90000</v>
      </c>
    </row>
    <row r="64" spans="1:6" ht="15">
      <c r="A64" s="1496">
        <v>5022</v>
      </c>
      <c r="B64" s="1496"/>
      <c r="C64" s="999" t="s">
        <v>1287</v>
      </c>
      <c r="D64" s="1000"/>
      <c r="E64" s="1001"/>
      <c r="F64" s="781">
        <f>'5.mell. '!D24</f>
        <v>20000</v>
      </c>
    </row>
    <row r="65" spans="1:6" ht="15">
      <c r="A65" s="1496">
        <v>5024</v>
      </c>
      <c r="B65" s="1496"/>
      <c r="C65" s="1497" t="s">
        <v>1353</v>
      </c>
      <c r="D65" s="1498"/>
      <c r="E65" s="1499"/>
      <c r="F65" s="781">
        <f>'5.mell. '!D26</f>
        <v>4660</v>
      </c>
    </row>
    <row r="66" spans="1:6" ht="15">
      <c r="A66" s="1496">
        <v>5027</v>
      </c>
      <c r="B66" s="1496"/>
      <c r="C66" s="999" t="s">
        <v>431</v>
      </c>
      <c r="D66" s="1000"/>
      <c r="E66" s="1001"/>
      <c r="F66" s="781">
        <f>'5.mell. '!D28</f>
        <v>4374</v>
      </c>
    </row>
    <row r="67" spans="1:6" ht="15">
      <c r="A67" s="1496">
        <v>5029</v>
      </c>
      <c r="B67" s="1496"/>
      <c r="C67" s="999" t="s">
        <v>1163</v>
      </c>
      <c r="D67" s="1000"/>
      <c r="E67" s="1001"/>
      <c r="F67" s="781"/>
    </row>
    <row r="68" spans="1:6" ht="15">
      <c r="A68" s="1496">
        <v>5028</v>
      </c>
      <c r="B68" s="1496"/>
      <c r="C68" s="999" t="s">
        <v>1111</v>
      </c>
      <c r="D68" s="1000"/>
      <c r="E68" s="1001"/>
      <c r="F68" s="781">
        <f>'5.mell. '!D29</f>
        <v>0</v>
      </c>
    </row>
    <row r="69" spans="1:6" ht="15">
      <c r="A69" s="1496">
        <v>6135</v>
      </c>
      <c r="B69" s="1496"/>
      <c r="C69" s="999" t="s">
        <v>1128</v>
      </c>
      <c r="D69" s="1000"/>
      <c r="E69" s="1001"/>
      <c r="F69" s="781">
        <f>'6.mell. '!D17</f>
        <v>153268</v>
      </c>
    </row>
    <row r="70" spans="1:6" ht="15">
      <c r="A70" s="1496">
        <v>1851</v>
      </c>
      <c r="B70" s="1496"/>
      <c r="C70" s="1497" t="s">
        <v>396</v>
      </c>
      <c r="D70" s="1498"/>
      <c r="E70" s="1499"/>
      <c r="F70" s="781">
        <f>'1c.mell '!D101</f>
        <v>48000</v>
      </c>
    </row>
    <row r="71" spans="1:6" ht="13.15" customHeight="1">
      <c r="A71" s="1535" t="s">
        <v>1212</v>
      </c>
      <c r="B71" s="1501" t="s">
        <v>1213</v>
      </c>
      <c r="C71" s="1501"/>
      <c r="D71" s="1501"/>
      <c r="E71" s="1501"/>
      <c r="F71" s="1524">
        <f>SUM(F74:F74)</f>
        <v>58380</v>
      </c>
    </row>
    <row r="72" spans="1:6" ht="13.15" customHeight="1">
      <c r="A72" s="1535"/>
      <c r="B72" s="1501"/>
      <c r="C72" s="1501"/>
      <c r="D72" s="1501"/>
      <c r="E72" s="1501"/>
      <c r="F72" s="1525"/>
    </row>
    <row r="73" spans="1:6" ht="13.15" customHeight="1">
      <c r="A73" s="1535"/>
      <c r="B73" s="1501"/>
      <c r="C73" s="1501"/>
      <c r="D73" s="1501"/>
      <c r="E73" s="1501"/>
      <c r="F73" s="1526"/>
    </row>
    <row r="74" spans="1:6" ht="15">
      <c r="A74" s="1496">
        <v>3024</v>
      </c>
      <c r="B74" s="1496"/>
      <c r="C74" s="1497" t="s">
        <v>1213</v>
      </c>
      <c r="D74" s="1498"/>
      <c r="E74" s="1499"/>
      <c r="F74" s="781">
        <v>58380</v>
      </c>
    </row>
    <row r="75" spans="1:6" ht="13.15" customHeight="1">
      <c r="A75" s="1500" t="s">
        <v>878</v>
      </c>
      <c r="B75" s="1501" t="s">
        <v>879</v>
      </c>
      <c r="C75" s="1501"/>
      <c r="D75" s="1501"/>
      <c r="E75" s="1501"/>
      <c r="F75" s="1524">
        <f>SUM(F78:F78)</f>
        <v>41000</v>
      </c>
    </row>
    <row r="76" spans="1:6" ht="13.15" customHeight="1">
      <c r="A76" s="1500"/>
      <c r="B76" s="1501"/>
      <c r="C76" s="1501"/>
      <c r="D76" s="1501"/>
      <c r="E76" s="1501"/>
      <c r="F76" s="1525"/>
    </row>
    <row r="77" spans="1:6" ht="13.15" customHeight="1">
      <c r="A77" s="1500"/>
      <c r="B77" s="1501"/>
      <c r="C77" s="1501"/>
      <c r="D77" s="1501"/>
      <c r="E77" s="1501"/>
      <c r="F77" s="1526"/>
    </row>
    <row r="78" spans="1:6" ht="13.5" customHeight="1">
      <c r="A78" s="1496">
        <v>2985</v>
      </c>
      <c r="B78" s="1496"/>
      <c r="C78" s="1497" t="s">
        <v>637</v>
      </c>
      <c r="D78" s="1498"/>
      <c r="E78" s="1499"/>
      <c r="F78" s="781">
        <v>41000</v>
      </c>
    </row>
    <row r="79" spans="1:6" ht="13.5" customHeight="1">
      <c r="A79" s="1500" t="s">
        <v>880</v>
      </c>
      <c r="B79" s="1501" t="s">
        <v>881</v>
      </c>
      <c r="C79" s="1501"/>
      <c r="D79" s="1501"/>
      <c r="E79" s="1501"/>
      <c r="F79" s="1524">
        <f>SUM(F82:F82)</f>
        <v>1054735</v>
      </c>
    </row>
    <row r="80" spans="1:6" ht="13.5" customHeight="1">
      <c r="A80" s="1500"/>
      <c r="B80" s="1501"/>
      <c r="C80" s="1501"/>
      <c r="D80" s="1501"/>
      <c r="E80" s="1501"/>
      <c r="F80" s="1525"/>
    </row>
    <row r="81" spans="1:6" ht="13.5" customHeight="1">
      <c r="A81" s="1500"/>
      <c r="B81" s="1501"/>
      <c r="C81" s="1501"/>
      <c r="D81" s="1501"/>
      <c r="E81" s="1501"/>
      <c r="F81" s="1526"/>
    </row>
    <row r="82" spans="1:6" ht="13.5" customHeight="1">
      <c r="A82" s="1496">
        <v>1803</v>
      </c>
      <c r="B82" s="1496"/>
      <c r="C82" s="1497" t="s">
        <v>882</v>
      </c>
      <c r="D82" s="1498"/>
      <c r="E82" s="1499"/>
      <c r="F82" s="778">
        <f>'1c.mell '!D66</f>
        <v>1054735</v>
      </c>
    </row>
    <row r="83" spans="1:6" ht="13.5" customHeight="1">
      <c r="A83" s="1500" t="s">
        <v>883</v>
      </c>
      <c r="B83" s="1501" t="s">
        <v>884</v>
      </c>
      <c r="C83" s="1501"/>
      <c r="D83" s="1501"/>
      <c r="E83" s="1501"/>
      <c r="F83" s="1524">
        <f>SUM(F86:F86)</f>
        <v>0</v>
      </c>
    </row>
    <row r="84" spans="1:6" ht="13.5" customHeight="1">
      <c r="A84" s="1500"/>
      <c r="B84" s="1501"/>
      <c r="C84" s="1501"/>
      <c r="D84" s="1501"/>
      <c r="E84" s="1501"/>
      <c r="F84" s="1525"/>
    </row>
    <row r="85" spans="1:6" ht="12" customHeight="1">
      <c r="A85" s="1500"/>
      <c r="B85" s="1501"/>
      <c r="C85" s="1501"/>
      <c r="D85" s="1501"/>
      <c r="E85" s="1501"/>
      <c r="F85" s="1526"/>
    </row>
    <row r="86" spans="1:6" ht="15">
      <c r="A86" s="1496">
        <v>3030</v>
      </c>
      <c r="B86" s="1496"/>
      <c r="C86" s="1497" t="s">
        <v>885</v>
      </c>
      <c r="D86" s="1498"/>
      <c r="E86" s="1499"/>
      <c r="F86" s="783"/>
    </row>
    <row r="87" spans="1:6" ht="13.15" customHeight="1">
      <c r="A87" s="1500" t="s">
        <v>886</v>
      </c>
      <c r="B87" s="1501" t="s">
        <v>887</v>
      </c>
      <c r="C87" s="1501"/>
      <c r="D87" s="1501"/>
      <c r="E87" s="1501"/>
      <c r="F87" s="1524">
        <f>SUM(F90:F93)</f>
        <v>62041</v>
      </c>
    </row>
    <row r="88" spans="1:6" ht="13.15" customHeight="1">
      <c r="A88" s="1500"/>
      <c r="B88" s="1501"/>
      <c r="C88" s="1501"/>
      <c r="D88" s="1501"/>
      <c r="E88" s="1501"/>
      <c r="F88" s="1525"/>
    </row>
    <row r="89" spans="1:6" ht="13.15" customHeight="1">
      <c r="A89" s="1500"/>
      <c r="B89" s="1501"/>
      <c r="C89" s="1501"/>
      <c r="D89" s="1501"/>
      <c r="E89" s="1501"/>
      <c r="F89" s="1526"/>
    </row>
    <row r="90" spans="1:6" ht="15">
      <c r="A90" s="1496">
        <v>3204</v>
      </c>
      <c r="B90" s="1496"/>
      <c r="C90" s="1497" t="s">
        <v>888</v>
      </c>
      <c r="D90" s="1498"/>
      <c r="E90" s="1499"/>
      <c r="F90" s="778">
        <f>'3c.m.'!D268</f>
        <v>19981</v>
      </c>
    </row>
    <row r="91" spans="1:6" ht="15">
      <c r="A91" s="1496">
        <v>3924</v>
      </c>
      <c r="B91" s="1496"/>
      <c r="C91" s="999" t="s">
        <v>1300</v>
      </c>
      <c r="D91" s="1000"/>
      <c r="E91" s="1001"/>
      <c r="F91" s="781">
        <f>'3d.m.'!D12</f>
        <v>9000</v>
      </c>
    </row>
    <row r="92" spans="1:6" ht="15">
      <c r="A92" s="1496">
        <v>5033</v>
      </c>
      <c r="B92" s="1496"/>
      <c r="C92" s="1497" t="s">
        <v>889</v>
      </c>
      <c r="D92" s="1498"/>
      <c r="E92" s="1499"/>
      <c r="F92" s="781">
        <f>'5.mell. '!D32</f>
        <v>23060</v>
      </c>
    </row>
    <row r="93" spans="1:6" ht="15">
      <c r="A93" s="1496">
        <v>5034</v>
      </c>
      <c r="B93" s="1496"/>
      <c r="C93" s="1497" t="s">
        <v>1376</v>
      </c>
      <c r="D93" s="1498"/>
      <c r="E93" s="1499"/>
      <c r="F93" s="781">
        <f>'5.mell. '!D33</f>
        <v>10000</v>
      </c>
    </row>
    <row r="94" spans="1:6" ht="13.15" customHeight="1">
      <c r="A94" s="1500" t="s">
        <v>890</v>
      </c>
      <c r="B94" s="1501" t="s">
        <v>891</v>
      </c>
      <c r="C94" s="1501"/>
      <c r="D94" s="1501"/>
      <c r="E94" s="1501"/>
      <c r="F94" s="1524">
        <f>SUM(F97:F98)</f>
        <v>821</v>
      </c>
    </row>
    <row r="95" spans="1:6" ht="13.15" customHeight="1">
      <c r="A95" s="1500"/>
      <c r="B95" s="1501"/>
      <c r="C95" s="1501"/>
      <c r="D95" s="1501"/>
      <c r="E95" s="1501"/>
      <c r="F95" s="1525"/>
    </row>
    <row r="96" spans="1:6" ht="13.15" customHeight="1">
      <c r="A96" s="1500"/>
      <c r="B96" s="1501"/>
      <c r="C96" s="1501"/>
      <c r="D96" s="1501"/>
      <c r="E96" s="1501"/>
      <c r="F96" s="1526"/>
    </row>
    <row r="97" spans="1:6" ht="15">
      <c r="A97" s="1496">
        <v>3452</v>
      </c>
      <c r="B97" s="1496"/>
      <c r="C97" s="1497" t="s">
        <v>1108</v>
      </c>
      <c r="D97" s="1498"/>
      <c r="E97" s="1499"/>
      <c r="F97" s="778">
        <f>'3c.m.'!D896</f>
        <v>700</v>
      </c>
    </row>
    <row r="98" spans="1:6" ht="15">
      <c r="A98" s="1496">
        <v>3303</v>
      </c>
      <c r="B98" s="1496"/>
      <c r="C98" s="999" t="s">
        <v>892</v>
      </c>
      <c r="D98" s="1000"/>
      <c r="E98" s="1001"/>
      <c r="F98" s="781">
        <f>'3c.m.'!D441</f>
        <v>121</v>
      </c>
    </row>
    <row r="99" spans="1:6" ht="12.6" customHeight="1">
      <c r="A99" s="1500" t="s">
        <v>893</v>
      </c>
      <c r="B99" s="1501" t="s">
        <v>894</v>
      </c>
      <c r="C99" s="1501"/>
      <c r="D99" s="1501"/>
      <c r="E99" s="1501"/>
      <c r="F99" s="1524">
        <f>SUM(F102)</f>
        <v>1458519</v>
      </c>
    </row>
    <row r="100" spans="1:6" ht="12.6" customHeight="1">
      <c r="A100" s="1500"/>
      <c r="B100" s="1501"/>
      <c r="C100" s="1501"/>
      <c r="D100" s="1501"/>
      <c r="E100" s="1501"/>
      <c r="F100" s="1525"/>
    </row>
    <row r="101" spans="1:6" ht="12.6" customHeight="1">
      <c r="A101" s="1500"/>
      <c r="B101" s="1501"/>
      <c r="C101" s="1501"/>
      <c r="D101" s="1501"/>
      <c r="E101" s="1501"/>
      <c r="F101" s="1526"/>
    </row>
    <row r="102" spans="1:6" ht="15">
      <c r="A102" s="1496">
        <v>2795</v>
      </c>
      <c r="B102" s="1496"/>
      <c r="C102" s="1497" t="s">
        <v>895</v>
      </c>
      <c r="D102" s="1498"/>
      <c r="E102" s="1499"/>
      <c r="F102" s="778">
        <v>1458519</v>
      </c>
    </row>
    <row r="103" spans="1:6" ht="13.15" customHeight="1">
      <c r="A103" s="1500" t="s">
        <v>896</v>
      </c>
      <c r="B103" s="1501" t="s">
        <v>897</v>
      </c>
      <c r="C103" s="1501"/>
      <c r="D103" s="1501"/>
      <c r="E103" s="1501"/>
      <c r="F103" s="1524">
        <f>SUM(F106)</f>
        <v>8399</v>
      </c>
    </row>
    <row r="104" spans="1:6" ht="13.15" customHeight="1">
      <c r="A104" s="1500"/>
      <c r="B104" s="1501"/>
      <c r="C104" s="1501"/>
      <c r="D104" s="1501"/>
      <c r="E104" s="1501"/>
      <c r="F104" s="1525"/>
    </row>
    <row r="105" spans="1:6" ht="13.15" customHeight="1">
      <c r="A105" s="1500"/>
      <c r="B105" s="1501"/>
      <c r="C105" s="1501"/>
      <c r="D105" s="1501"/>
      <c r="E105" s="1501"/>
      <c r="F105" s="1526"/>
    </row>
    <row r="106" spans="1:6" ht="15">
      <c r="A106" s="1496">
        <v>3356</v>
      </c>
      <c r="B106" s="1496"/>
      <c r="C106" s="1497" t="s">
        <v>898</v>
      </c>
      <c r="D106" s="1498"/>
      <c r="E106" s="1499"/>
      <c r="F106" s="778">
        <f>'3c.m.'!D722</f>
        <v>8399</v>
      </c>
    </row>
    <row r="107" spans="1:6" ht="12.6" customHeight="1">
      <c r="A107" s="1500" t="s">
        <v>899</v>
      </c>
      <c r="B107" s="1501" t="s">
        <v>900</v>
      </c>
      <c r="C107" s="1501"/>
      <c r="D107" s="1501"/>
      <c r="E107" s="1501"/>
      <c r="F107" s="1524">
        <f>SUM(F110)</f>
        <v>587000</v>
      </c>
    </row>
    <row r="108" spans="1:6" ht="12.6" customHeight="1">
      <c r="A108" s="1500"/>
      <c r="B108" s="1501"/>
      <c r="C108" s="1501"/>
      <c r="D108" s="1501"/>
      <c r="E108" s="1501"/>
      <c r="F108" s="1525"/>
    </row>
    <row r="109" spans="1:6" ht="12.6" customHeight="1">
      <c r="A109" s="1500"/>
      <c r="B109" s="1501"/>
      <c r="C109" s="1501"/>
      <c r="D109" s="1501"/>
      <c r="E109" s="1501"/>
      <c r="F109" s="1526"/>
    </row>
    <row r="110" spans="1:6" ht="15">
      <c r="A110" s="1496">
        <v>3941</v>
      </c>
      <c r="B110" s="1496"/>
      <c r="C110" s="1497" t="s">
        <v>901</v>
      </c>
      <c r="D110" s="1498"/>
      <c r="E110" s="1499"/>
      <c r="F110" s="778">
        <f>'3d.m.'!D28</f>
        <v>587000</v>
      </c>
    </row>
    <row r="111" spans="1:6" ht="13.15" customHeight="1">
      <c r="A111" s="1500" t="s">
        <v>902</v>
      </c>
      <c r="B111" s="1501" t="s">
        <v>903</v>
      </c>
      <c r="C111" s="1501"/>
      <c r="D111" s="1501"/>
      <c r="E111" s="1501"/>
      <c r="F111" s="1524">
        <f>SUM(F114)</f>
        <v>34350</v>
      </c>
    </row>
    <row r="112" spans="1:6" ht="13.15" customHeight="1">
      <c r="A112" s="1500"/>
      <c r="B112" s="1501"/>
      <c r="C112" s="1501"/>
      <c r="D112" s="1501"/>
      <c r="E112" s="1501"/>
      <c r="F112" s="1525"/>
    </row>
    <row r="113" spans="1:6" ht="13.15" customHeight="1">
      <c r="A113" s="1500"/>
      <c r="B113" s="1501"/>
      <c r="C113" s="1501"/>
      <c r="D113" s="1501"/>
      <c r="E113" s="1501"/>
      <c r="F113" s="1526"/>
    </row>
    <row r="114" spans="1:6" ht="15">
      <c r="A114" s="1496">
        <v>3207</v>
      </c>
      <c r="B114" s="1496"/>
      <c r="C114" s="1497" t="s">
        <v>256</v>
      </c>
      <c r="D114" s="1498"/>
      <c r="E114" s="1499"/>
      <c r="F114" s="778">
        <f>'3c.m.'!D296</f>
        <v>34350</v>
      </c>
    </row>
    <row r="115" spans="1:6" ht="13.15" customHeight="1">
      <c r="A115" s="1500" t="s">
        <v>904</v>
      </c>
      <c r="B115" s="1501" t="s">
        <v>905</v>
      </c>
      <c r="C115" s="1501"/>
      <c r="D115" s="1501"/>
      <c r="E115" s="1501"/>
      <c r="F115" s="1524">
        <f>SUM(F118:F118)</f>
        <v>1061796</v>
      </c>
    </row>
    <row r="116" spans="1:6" ht="13.15" customHeight="1">
      <c r="A116" s="1500"/>
      <c r="B116" s="1501"/>
      <c r="C116" s="1501"/>
      <c r="D116" s="1501"/>
      <c r="E116" s="1501"/>
      <c r="F116" s="1525"/>
    </row>
    <row r="117" spans="1:6" ht="13.15" customHeight="1">
      <c r="A117" s="1500"/>
      <c r="B117" s="1501"/>
      <c r="C117" s="1501"/>
      <c r="D117" s="1501"/>
      <c r="E117" s="1501"/>
      <c r="F117" s="1526"/>
    </row>
    <row r="118" spans="1:6" ht="15">
      <c r="A118" s="1496">
        <v>3212</v>
      </c>
      <c r="B118" s="1496"/>
      <c r="C118" s="1497" t="s">
        <v>906</v>
      </c>
      <c r="D118" s="1498"/>
      <c r="E118" s="1499"/>
      <c r="F118" s="778">
        <f>'3c.m.'!D334</f>
        <v>1061796</v>
      </c>
    </row>
    <row r="119" spans="1:6" ht="12.6" customHeight="1">
      <c r="A119" s="1500" t="s">
        <v>907</v>
      </c>
      <c r="B119" s="1501" t="s">
        <v>908</v>
      </c>
      <c r="C119" s="1501"/>
      <c r="D119" s="1501"/>
      <c r="E119" s="1501"/>
      <c r="F119" s="1524">
        <f>SUM(F122)</f>
        <v>89781</v>
      </c>
    </row>
    <row r="120" spans="1:6" ht="12.6" customHeight="1">
      <c r="A120" s="1500"/>
      <c r="B120" s="1501"/>
      <c r="C120" s="1501"/>
      <c r="D120" s="1501"/>
      <c r="E120" s="1501"/>
      <c r="F120" s="1525"/>
    </row>
    <row r="121" spans="1:6" ht="12.6" customHeight="1">
      <c r="A121" s="1500"/>
      <c r="B121" s="1501"/>
      <c r="C121" s="1501"/>
      <c r="D121" s="1501"/>
      <c r="E121" s="1501"/>
      <c r="F121" s="1526"/>
    </row>
    <row r="122" spans="1:6" ht="15">
      <c r="A122" s="1496">
        <v>3205</v>
      </c>
      <c r="B122" s="1496"/>
      <c r="C122" s="1497" t="s">
        <v>315</v>
      </c>
      <c r="D122" s="1498"/>
      <c r="E122" s="1499"/>
      <c r="F122" s="778">
        <f>'3c.m.'!D278</f>
        <v>89781</v>
      </c>
    </row>
    <row r="123" spans="1:6" ht="13.15" customHeight="1">
      <c r="A123" s="1500" t="s">
        <v>909</v>
      </c>
      <c r="B123" s="1501" t="s">
        <v>910</v>
      </c>
      <c r="C123" s="1501"/>
      <c r="D123" s="1501"/>
      <c r="E123" s="1501"/>
      <c r="F123" s="1524">
        <f>SUM(F126)</f>
        <v>0</v>
      </c>
    </row>
    <row r="124" spans="1:6" ht="13.15" customHeight="1">
      <c r="A124" s="1500"/>
      <c r="B124" s="1501"/>
      <c r="C124" s="1501"/>
      <c r="D124" s="1501"/>
      <c r="E124" s="1501"/>
      <c r="F124" s="1525"/>
    </row>
    <row r="125" spans="1:6" ht="13.15" customHeight="1">
      <c r="A125" s="1500"/>
      <c r="B125" s="1501"/>
      <c r="C125" s="1501"/>
      <c r="D125" s="1501"/>
      <c r="E125" s="1501"/>
      <c r="F125" s="1526"/>
    </row>
    <row r="126" spans="1:6" ht="15">
      <c r="A126" s="1496">
        <v>5037</v>
      </c>
      <c r="B126" s="1496"/>
      <c r="C126" s="1497" t="s">
        <v>911</v>
      </c>
      <c r="D126" s="1498"/>
      <c r="E126" s="1499"/>
      <c r="F126" s="778"/>
    </row>
    <row r="127" spans="1:6" ht="13.15" customHeight="1">
      <c r="A127" s="1500" t="s">
        <v>912</v>
      </c>
      <c r="B127" s="1501" t="s">
        <v>913</v>
      </c>
      <c r="C127" s="1501"/>
      <c r="D127" s="1501"/>
      <c r="E127" s="1501"/>
      <c r="F127" s="1524">
        <f>SUM(F130)</f>
        <v>307473</v>
      </c>
    </row>
    <row r="128" spans="1:6" ht="13.15" customHeight="1">
      <c r="A128" s="1500"/>
      <c r="B128" s="1501"/>
      <c r="C128" s="1501"/>
      <c r="D128" s="1501"/>
      <c r="E128" s="1501"/>
      <c r="F128" s="1525"/>
    </row>
    <row r="129" spans="1:6" ht="13.15" customHeight="1">
      <c r="A129" s="1500"/>
      <c r="B129" s="1501"/>
      <c r="C129" s="1501"/>
      <c r="D129" s="1501"/>
      <c r="E129" s="1501"/>
      <c r="F129" s="1526"/>
    </row>
    <row r="130" spans="1:6" ht="15">
      <c r="A130" s="1496">
        <v>3216</v>
      </c>
      <c r="B130" s="1496"/>
      <c r="C130" s="1497" t="s">
        <v>914</v>
      </c>
      <c r="D130" s="1498"/>
      <c r="E130" s="1499"/>
      <c r="F130" s="778">
        <f>'3c.m.'!D351</f>
        <v>307473</v>
      </c>
    </row>
    <row r="131" spans="1:6" ht="13.15" customHeight="1">
      <c r="A131" s="1500" t="s">
        <v>915</v>
      </c>
      <c r="B131" s="1501" t="s">
        <v>916</v>
      </c>
      <c r="C131" s="1501"/>
      <c r="D131" s="1501"/>
      <c r="E131" s="1501"/>
      <c r="F131" s="1524">
        <f>SUM(F134:F178)</f>
        <v>5642194</v>
      </c>
    </row>
    <row r="132" spans="1:6" ht="13.15" customHeight="1">
      <c r="A132" s="1500"/>
      <c r="B132" s="1501"/>
      <c r="C132" s="1501"/>
      <c r="D132" s="1501"/>
      <c r="E132" s="1501"/>
      <c r="F132" s="1525"/>
    </row>
    <row r="133" spans="1:6" ht="13.15" customHeight="1">
      <c r="A133" s="1500"/>
      <c r="B133" s="1501"/>
      <c r="C133" s="1501"/>
      <c r="D133" s="1501"/>
      <c r="E133" s="1501"/>
      <c r="F133" s="1526"/>
    </row>
    <row r="134" spans="1:6" ht="15">
      <c r="A134" s="1496">
        <v>2795</v>
      </c>
      <c r="B134" s="1496"/>
      <c r="C134" s="1497" t="s">
        <v>1110</v>
      </c>
      <c r="D134" s="1498"/>
      <c r="E134" s="1499"/>
      <c r="F134" s="778"/>
    </row>
    <row r="135" spans="1:6" ht="15">
      <c r="A135" s="1496">
        <v>3052</v>
      </c>
      <c r="B135" s="1496"/>
      <c r="C135" s="1497" t="s">
        <v>18</v>
      </c>
      <c r="D135" s="1498"/>
      <c r="E135" s="1499"/>
      <c r="F135" s="778">
        <f>'3c.m.'!D17</f>
        <v>343</v>
      </c>
    </row>
    <row r="136" spans="1:6" ht="15">
      <c r="A136" s="1496">
        <v>3059</v>
      </c>
      <c r="B136" s="1496"/>
      <c r="C136" s="1497" t="s">
        <v>1297</v>
      </c>
      <c r="D136" s="1498"/>
      <c r="E136" s="1499"/>
      <c r="F136" s="778">
        <f>'3c.m.'!D61</f>
        <v>50000</v>
      </c>
    </row>
    <row r="137" spans="1:6" ht="15">
      <c r="A137" s="1496">
        <v>3056</v>
      </c>
      <c r="B137" s="1496"/>
      <c r="C137" s="1497" t="s">
        <v>437</v>
      </c>
      <c r="D137" s="1498"/>
      <c r="E137" s="1499"/>
      <c r="F137" s="778">
        <f>'3c.m.'!D34</f>
        <v>10000</v>
      </c>
    </row>
    <row r="138" spans="1:6" ht="15">
      <c r="A138" s="1496">
        <v>3057</v>
      </c>
      <c r="B138" s="1496"/>
      <c r="C138" s="999" t="s">
        <v>1085</v>
      </c>
      <c r="D138" s="1000"/>
      <c r="E138" s="1001"/>
      <c r="F138" s="778">
        <f>'3c.m.'!D43</f>
        <v>143218</v>
      </c>
    </row>
    <row r="139" spans="1:6" ht="15">
      <c r="A139" s="1496">
        <v>3058</v>
      </c>
      <c r="B139" s="1496"/>
      <c r="C139" s="999" t="s">
        <v>1086</v>
      </c>
      <c r="D139" s="1000"/>
      <c r="E139" s="1001"/>
      <c r="F139" s="778">
        <f>'3c.m.'!D52</f>
        <v>23932</v>
      </c>
    </row>
    <row r="140" spans="1:6" ht="15">
      <c r="A140" s="1496">
        <v>3061</v>
      </c>
      <c r="B140" s="1496"/>
      <c r="C140" s="1497" t="s">
        <v>103</v>
      </c>
      <c r="D140" s="1498"/>
      <c r="E140" s="1499"/>
      <c r="F140" s="778">
        <f>'3c.m.'!D70</f>
        <v>2000</v>
      </c>
    </row>
    <row r="141" spans="1:6" ht="15">
      <c r="A141" s="1496">
        <v>3071</v>
      </c>
      <c r="B141" s="1496"/>
      <c r="C141" s="1497" t="s">
        <v>116</v>
      </c>
      <c r="D141" s="1498"/>
      <c r="E141" s="1499"/>
      <c r="F141" s="778">
        <f>'3c.m.'!D78</f>
        <v>26379</v>
      </c>
    </row>
    <row r="142" spans="1:6" ht="15" hidden="1">
      <c r="A142" s="1496">
        <v>3072</v>
      </c>
      <c r="B142" s="1496"/>
      <c r="C142" s="999" t="s">
        <v>917</v>
      </c>
      <c r="D142" s="1000"/>
      <c r="E142" s="1001"/>
      <c r="F142" s="778"/>
    </row>
    <row r="143" spans="1:6" ht="15" hidden="1">
      <c r="A143" s="1496">
        <v>3203</v>
      </c>
      <c r="B143" s="1496"/>
      <c r="C143" s="1497" t="s">
        <v>918</v>
      </c>
      <c r="D143" s="1498"/>
      <c r="E143" s="1499"/>
      <c r="F143" s="778"/>
    </row>
    <row r="144" spans="1:6" ht="15">
      <c r="A144" s="1496">
        <v>3206</v>
      </c>
      <c r="B144" s="1496"/>
      <c r="C144" s="1497" t="s">
        <v>1298</v>
      </c>
      <c r="D144" s="1498"/>
      <c r="E144" s="1499"/>
      <c r="F144" s="778">
        <f>'3c.m.'!D288</f>
        <v>10000</v>
      </c>
    </row>
    <row r="145" spans="1:6" ht="15">
      <c r="A145" s="1496">
        <v>3217</v>
      </c>
      <c r="B145" s="1496"/>
      <c r="C145" s="999" t="s">
        <v>1091</v>
      </c>
      <c r="D145" s="1000"/>
      <c r="E145" s="1001"/>
      <c r="F145" s="778">
        <f>'3c.m.'!D361</f>
        <v>143188</v>
      </c>
    </row>
    <row r="146" spans="1:6" ht="15">
      <c r="A146" s="1496">
        <v>3224</v>
      </c>
      <c r="B146" s="1496"/>
      <c r="C146" s="1497" t="s">
        <v>919</v>
      </c>
      <c r="D146" s="1498"/>
      <c r="E146" s="1499"/>
      <c r="F146" s="778"/>
    </row>
    <row r="147" spans="1:6" ht="15">
      <c r="A147" s="1496">
        <v>3427</v>
      </c>
      <c r="B147" s="1496"/>
      <c r="C147" s="1497" t="s">
        <v>1358</v>
      </c>
      <c r="D147" s="1498"/>
      <c r="E147" s="1499"/>
      <c r="F147" s="778">
        <v>3000</v>
      </c>
    </row>
    <row r="148" spans="1:6" ht="15">
      <c r="A148" s="1496">
        <v>3433</v>
      </c>
      <c r="B148" s="1496"/>
      <c r="C148" s="1497" t="s">
        <v>1378</v>
      </c>
      <c r="D148" s="1498"/>
      <c r="E148" s="1499"/>
      <c r="F148" s="778">
        <f>'3c.m.'!D880</f>
        <v>15000</v>
      </c>
    </row>
    <row r="149" spans="1:6" ht="15">
      <c r="A149" s="1496">
        <v>3928</v>
      </c>
      <c r="B149" s="1496"/>
      <c r="C149" s="1497" t="s">
        <v>130</v>
      </c>
      <c r="D149" s="1498"/>
      <c r="E149" s="1499"/>
      <c r="F149" s="778">
        <f>'3d.m.'!D16</f>
        <v>182932</v>
      </c>
    </row>
    <row r="150" spans="1:6" ht="15">
      <c r="A150" s="1496">
        <v>3112</v>
      </c>
      <c r="B150" s="1496"/>
      <c r="C150" s="1497" t="s">
        <v>360</v>
      </c>
      <c r="D150" s="1498"/>
      <c r="E150" s="1499"/>
      <c r="F150" s="778">
        <f>'3c.m.'!D113</f>
        <v>67149</v>
      </c>
    </row>
    <row r="151" spans="1:6" ht="15">
      <c r="A151" s="1496">
        <v>3911</v>
      </c>
      <c r="B151" s="1496"/>
      <c r="C151" s="1497" t="s">
        <v>920</v>
      </c>
      <c r="D151" s="1498"/>
      <c r="E151" s="1499"/>
      <c r="F151" s="781">
        <f>'3d.m.'!D9</f>
        <v>2473</v>
      </c>
    </row>
    <row r="152" spans="1:6" ht="15">
      <c r="A152" s="1496">
        <v>3926</v>
      </c>
      <c r="B152" s="1496"/>
      <c r="C152" s="999" t="s">
        <v>1270</v>
      </c>
      <c r="D152" s="1000"/>
      <c r="E152" s="1001"/>
      <c r="F152" s="781">
        <f>'3d.m.'!D14</f>
        <v>2000</v>
      </c>
    </row>
    <row r="153" spans="1:6" ht="15">
      <c r="A153" s="1496">
        <v>4012</v>
      </c>
      <c r="B153" s="1496"/>
      <c r="C153" s="1497" t="s">
        <v>921</v>
      </c>
      <c r="D153" s="1498"/>
      <c r="E153" s="1499"/>
      <c r="F153" s="781">
        <f>'4.mell.'!D10</f>
        <v>19982</v>
      </c>
    </row>
    <row r="154" spans="1:6" ht="15">
      <c r="A154" s="1502">
        <v>4013</v>
      </c>
      <c r="B154" s="1503"/>
      <c r="C154" s="1497" t="s">
        <v>1263</v>
      </c>
      <c r="D154" s="1498"/>
      <c r="E154" s="1499"/>
      <c r="F154" s="781">
        <f>'4.mell.'!D11</f>
        <v>65000</v>
      </c>
    </row>
    <row r="155" spans="1:6" ht="15">
      <c r="A155" s="1496">
        <v>4014</v>
      </c>
      <c r="B155" s="1496"/>
      <c r="C155" s="1497" t="s">
        <v>425</v>
      </c>
      <c r="D155" s="1498"/>
      <c r="E155" s="1499"/>
      <c r="F155" s="778">
        <f>'4.mell.'!D12</f>
        <v>190000</v>
      </c>
    </row>
    <row r="156" spans="1:6" ht="15">
      <c r="A156" s="1496">
        <v>4015</v>
      </c>
      <c r="B156" s="1496"/>
      <c r="C156" s="999" t="s">
        <v>1283</v>
      </c>
      <c r="D156" s="1000"/>
      <c r="E156" s="1001"/>
      <c r="F156" s="778">
        <f>'4.mell.'!D13</f>
        <v>80000</v>
      </c>
    </row>
    <row r="157" spans="1:6" ht="15">
      <c r="A157" s="1496">
        <v>4017</v>
      </c>
      <c r="B157" s="1496"/>
      <c r="C157" s="999" t="s">
        <v>507</v>
      </c>
      <c r="D157" s="1000"/>
      <c r="E157" s="1001"/>
      <c r="F157" s="778">
        <f>'4.mell.'!D14</f>
        <v>2000</v>
      </c>
    </row>
    <row r="158" spans="1:6" ht="15">
      <c r="A158" s="1496">
        <v>4018</v>
      </c>
      <c r="B158" s="1496"/>
      <c r="C158" s="999" t="s">
        <v>1084</v>
      </c>
      <c r="D158" s="1000"/>
      <c r="E158" s="1001"/>
      <c r="F158" s="778">
        <f>'4.mell.'!D15</f>
        <v>95263</v>
      </c>
    </row>
    <row r="159" spans="1:6" ht="15">
      <c r="A159" s="1496">
        <v>4020</v>
      </c>
      <c r="B159" s="1496"/>
      <c r="C159" s="1497" t="s">
        <v>1147</v>
      </c>
      <c r="D159" s="1498"/>
      <c r="E159" s="1499"/>
      <c r="F159" s="778">
        <f>'4.mell.'!D16</f>
        <v>25461</v>
      </c>
    </row>
    <row r="160" spans="1:6" ht="15">
      <c r="A160" s="1496">
        <v>4114</v>
      </c>
      <c r="B160" s="1496"/>
      <c r="C160" s="1497" t="s">
        <v>1359</v>
      </c>
      <c r="D160" s="1498"/>
      <c r="E160" s="1499"/>
      <c r="F160" s="778">
        <f>'4.mell.'!D22</f>
        <v>52000</v>
      </c>
    </row>
    <row r="161" spans="1:6" ht="15">
      <c r="A161" s="1496">
        <v>4119</v>
      </c>
      <c r="B161" s="1496"/>
      <c r="C161" s="1497" t="s">
        <v>1360</v>
      </c>
      <c r="D161" s="1498"/>
      <c r="E161" s="1499"/>
      <c r="F161" s="778">
        <f>'4.mell.'!D23</f>
        <v>77000</v>
      </c>
    </row>
    <row r="162" spans="1:6" ht="15">
      <c r="A162" s="1496">
        <v>4120</v>
      </c>
      <c r="B162" s="1496"/>
      <c r="C162" s="1497" t="s">
        <v>808</v>
      </c>
      <c r="D162" s="1498"/>
      <c r="E162" s="1499"/>
      <c r="F162" s="778">
        <f>'4.mell.'!D25</f>
        <v>589289</v>
      </c>
    </row>
    <row r="163" spans="1:6" ht="15">
      <c r="A163" s="1496">
        <v>4132</v>
      </c>
      <c r="B163" s="1496"/>
      <c r="C163" s="1497" t="s">
        <v>106</v>
      </c>
      <c r="D163" s="1498"/>
      <c r="E163" s="1499"/>
      <c r="F163" s="778">
        <f>'4.mell.'!D46</f>
        <v>23666</v>
      </c>
    </row>
    <row r="164" spans="1:6" ht="15">
      <c r="A164" s="1496">
        <v>4140</v>
      </c>
      <c r="B164" s="1496"/>
      <c r="C164" s="1497" t="s">
        <v>1205</v>
      </c>
      <c r="D164" s="1498"/>
      <c r="E164" s="1499"/>
      <c r="F164" s="778">
        <f>'4.mell.'!D48</f>
        <v>20000</v>
      </c>
    </row>
    <row r="165" spans="1:6" ht="15">
      <c r="A165" s="1496">
        <v>4324</v>
      </c>
      <c r="B165" s="1496"/>
      <c r="C165" s="1497" t="s">
        <v>922</v>
      </c>
      <c r="D165" s="1498"/>
      <c r="E165" s="1499"/>
      <c r="F165" s="778">
        <f>'4.mell.'!D76</f>
        <v>3041482</v>
      </c>
    </row>
    <row r="166" spans="1:6" ht="15">
      <c r="A166" s="1496">
        <v>5012</v>
      </c>
      <c r="B166" s="1496"/>
      <c r="C166" s="1497" t="s">
        <v>1291</v>
      </c>
      <c r="D166" s="1498"/>
      <c r="E166" s="1499"/>
      <c r="F166" s="781">
        <f>'5.mell. '!D12</f>
        <v>1000</v>
      </c>
    </row>
    <row r="167" spans="1:6" ht="15">
      <c r="A167" s="1496">
        <v>5013</v>
      </c>
      <c r="B167" s="1496"/>
      <c r="C167" s="785" t="s">
        <v>446</v>
      </c>
      <c r="D167" s="1000"/>
      <c r="E167" s="1001"/>
      <c r="F167" s="781">
        <f>'5.mell. '!D13</f>
        <v>50000</v>
      </c>
    </row>
    <row r="168" spans="1:6" ht="15">
      <c r="A168" s="1496">
        <v>5014</v>
      </c>
      <c r="B168" s="1496"/>
      <c r="C168" s="999" t="s">
        <v>448</v>
      </c>
      <c r="D168" s="1000"/>
      <c r="E168" s="1001"/>
      <c r="F168" s="781">
        <f>'5.mell. '!D14</f>
        <v>30000</v>
      </c>
    </row>
    <row r="169" spans="1:6" ht="15">
      <c r="A169" s="1496">
        <v>3927</v>
      </c>
      <c r="B169" s="1496"/>
      <c r="C169" s="999" t="s">
        <v>923</v>
      </c>
      <c r="D169" s="1000"/>
      <c r="E169" s="1001"/>
      <c r="F169" s="781">
        <f>'3d.m.'!D15</f>
        <v>3000</v>
      </c>
    </row>
    <row r="170" spans="1:6" ht="15">
      <c r="A170" s="1496">
        <v>5011</v>
      </c>
      <c r="B170" s="1496"/>
      <c r="C170" s="999" t="s">
        <v>1214</v>
      </c>
      <c r="D170" s="1000"/>
      <c r="E170" s="1001"/>
      <c r="F170" s="781">
        <f>'5.mell. '!D11</f>
        <v>65000</v>
      </c>
    </row>
    <row r="171" spans="1:6" ht="15">
      <c r="A171" s="1496">
        <v>5015</v>
      </c>
      <c r="B171" s="1496"/>
      <c r="C171" s="786" t="s">
        <v>451</v>
      </c>
      <c r="D171" s="977"/>
      <c r="E171" s="1001"/>
      <c r="F171" s="781">
        <f>'5.mell. '!D15</f>
        <v>7802</v>
      </c>
    </row>
    <row r="172" spans="1:6" ht="15">
      <c r="A172" s="1496">
        <v>5016</v>
      </c>
      <c r="B172" s="1496"/>
      <c r="C172" s="1497" t="s">
        <v>924</v>
      </c>
      <c r="D172" s="1498"/>
      <c r="E172" s="1499"/>
      <c r="F172" s="781">
        <f>'5.mell. '!D16</f>
        <v>30869</v>
      </c>
    </row>
    <row r="173" spans="1:6" ht="15">
      <c r="A173" s="1496">
        <v>5018</v>
      </c>
      <c r="B173" s="1496"/>
      <c r="C173" s="999" t="s">
        <v>1123</v>
      </c>
      <c r="D173" s="1000"/>
      <c r="E173" s="1001"/>
      <c r="F173" s="781">
        <f>'5.mell. '!D18</f>
        <v>26105</v>
      </c>
    </row>
    <row r="174" spans="1:6" ht="15">
      <c r="A174" s="1496">
        <v>5019</v>
      </c>
      <c r="B174" s="1496"/>
      <c r="C174" s="999" t="s">
        <v>1129</v>
      </c>
      <c r="D174" s="1000"/>
      <c r="E174" s="1001"/>
      <c r="F174" s="781">
        <f>'5.mell. '!D19</f>
        <v>63111</v>
      </c>
    </row>
    <row r="175" spans="1:6" ht="15">
      <c r="A175" s="1496">
        <v>5020</v>
      </c>
      <c r="B175" s="1496"/>
      <c r="C175" s="1497" t="s">
        <v>1362</v>
      </c>
      <c r="D175" s="1498"/>
      <c r="E175" s="1499"/>
      <c r="F175" s="781">
        <f>'5.mell. '!D22</f>
        <v>40000</v>
      </c>
    </row>
    <row r="176" spans="1:6" ht="15">
      <c r="A176" s="1496">
        <v>5023</v>
      </c>
      <c r="B176" s="1496"/>
      <c r="C176" s="1497" t="s">
        <v>1363</v>
      </c>
      <c r="D176" s="1498"/>
      <c r="E176" s="1499"/>
      <c r="F176" s="781">
        <f>'5.mell. '!D25</f>
        <v>315000</v>
      </c>
    </row>
    <row r="177" spans="1:6" ht="15">
      <c r="A177" s="1496">
        <v>2795</v>
      </c>
      <c r="B177" s="1496"/>
      <c r="C177" s="1497" t="s">
        <v>925</v>
      </c>
      <c r="D177" s="1498"/>
      <c r="E177" s="1499"/>
      <c r="F177" s="778">
        <v>47550</v>
      </c>
    </row>
    <row r="178" spans="1:6" ht="15">
      <c r="A178" s="1496">
        <v>5035</v>
      </c>
      <c r="B178" s="1496"/>
      <c r="C178" s="1497" t="s">
        <v>430</v>
      </c>
      <c r="D178" s="1498"/>
      <c r="E178" s="1499"/>
      <c r="F178" s="978">
        <f>'5.mell. '!D34</f>
        <v>0</v>
      </c>
    </row>
    <row r="179" spans="1:6" ht="12.6" customHeight="1">
      <c r="A179" s="1500" t="s">
        <v>926</v>
      </c>
      <c r="B179" s="1501" t="s">
        <v>927</v>
      </c>
      <c r="C179" s="1501"/>
      <c r="D179" s="1501"/>
      <c r="E179" s="1501"/>
      <c r="F179" s="1524">
        <f>SUM(F182:F184)</f>
        <v>350000</v>
      </c>
    </row>
    <row r="180" spans="1:6" ht="12.6" customHeight="1">
      <c r="A180" s="1500"/>
      <c r="B180" s="1501"/>
      <c r="C180" s="1501"/>
      <c r="D180" s="1501"/>
      <c r="E180" s="1501"/>
      <c r="F180" s="1525"/>
    </row>
    <row r="181" spans="1:6" ht="12.6" customHeight="1">
      <c r="A181" s="1500"/>
      <c r="B181" s="1501"/>
      <c r="C181" s="1501"/>
      <c r="D181" s="1501"/>
      <c r="E181" s="1501"/>
      <c r="F181" s="1526"/>
    </row>
    <row r="182" spans="1:6" ht="13.5" customHeight="1">
      <c r="A182" s="1496">
        <v>3944</v>
      </c>
      <c r="B182" s="1496"/>
      <c r="C182" s="1497" t="s">
        <v>358</v>
      </c>
      <c r="D182" s="1498"/>
      <c r="E182" s="1499"/>
      <c r="F182" s="778"/>
    </row>
    <row r="183" spans="1:6" ht="12.75" customHeight="1">
      <c r="A183" s="1496">
        <v>3945</v>
      </c>
      <c r="B183" s="1496"/>
      <c r="C183" s="1497" t="s">
        <v>928</v>
      </c>
      <c r="D183" s="1498"/>
      <c r="E183" s="1499"/>
      <c r="F183" s="778"/>
    </row>
    <row r="184" spans="1:6" ht="15">
      <c r="A184" s="1496">
        <v>3302</v>
      </c>
      <c r="B184" s="1496"/>
      <c r="C184" s="1497" t="s">
        <v>929</v>
      </c>
      <c r="D184" s="1498"/>
      <c r="E184" s="1499"/>
      <c r="F184" s="778">
        <f>'3c.m.'!D421</f>
        <v>350000</v>
      </c>
    </row>
    <row r="185" spans="1:6" ht="12.6" customHeight="1">
      <c r="A185" s="1500" t="s">
        <v>930</v>
      </c>
      <c r="B185" s="1501" t="s">
        <v>931</v>
      </c>
      <c r="C185" s="1501"/>
      <c r="D185" s="1501"/>
      <c r="E185" s="1501"/>
      <c r="F185" s="1524">
        <f>SUM(F188)</f>
        <v>3270</v>
      </c>
    </row>
    <row r="186" spans="1:6" ht="12.6" customHeight="1">
      <c r="A186" s="1500"/>
      <c r="B186" s="1501"/>
      <c r="C186" s="1501"/>
      <c r="D186" s="1501"/>
      <c r="E186" s="1501"/>
      <c r="F186" s="1525"/>
    </row>
    <row r="187" spans="1:6" ht="12.6" customHeight="1">
      <c r="A187" s="1500"/>
      <c r="B187" s="1501"/>
      <c r="C187" s="1501"/>
      <c r="D187" s="1501"/>
      <c r="E187" s="1501"/>
      <c r="F187" s="1526"/>
    </row>
    <row r="188" spans="1:6" ht="12.6" customHeight="1">
      <c r="A188" s="1496">
        <v>3357</v>
      </c>
      <c r="B188" s="1496"/>
      <c r="C188" s="1497" t="s">
        <v>932</v>
      </c>
      <c r="D188" s="1498"/>
      <c r="E188" s="1499"/>
      <c r="F188" s="778">
        <f>'3c.m.'!D730</f>
        <v>3270</v>
      </c>
    </row>
    <row r="189" spans="1:6" ht="13.15" customHeight="1">
      <c r="A189" s="1500" t="s">
        <v>933</v>
      </c>
      <c r="B189" s="1501" t="s">
        <v>934</v>
      </c>
      <c r="C189" s="1501"/>
      <c r="D189" s="1501"/>
      <c r="E189" s="1501"/>
      <c r="F189" s="1524">
        <f>SUM(F192:F192)</f>
        <v>18000</v>
      </c>
    </row>
    <row r="190" spans="1:6" ht="13.15" customHeight="1">
      <c r="A190" s="1500"/>
      <c r="B190" s="1501"/>
      <c r="C190" s="1501"/>
      <c r="D190" s="1501"/>
      <c r="E190" s="1501"/>
      <c r="F190" s="1525"/>
    </row>
    <row r="191" spans="1:6" ht="13.15" customHeight="1">
      <c r="A191" s="1500"/>
      <c r="B191" s="1501"/>
      <c r="C191" s="1501"/>
      <c r="D191" s="1501"/>
      <c r="E191" s="1501"/>
      <c r="F191" s="1526"/>
    </row>
    <row r="192" spans="1:6" ht="15">
      <c r="A192" s="1496">
        <v>3301</v>
      </c>
      <c r="B192" s="1496"/>
      <c r="C192" s="1497" t="s">
        <v>127</v>
      </c>
      <c r="D192" s="1498"/>
      <c r="E192" s="1499"/>
      <c r="F192" s="778">
        <f>'3c.m.'!D413</f>
        <v>18000</v>
      </c>
    </row>
    <row r="193" spans="1:6" ht="13.15" customHeight="1">
      <c r="A193" s="1500" t="s">
        <v>935</v>
      </c>
      <c r="B193" s="1501" t="s">
        <v>936</v>
      </c>
      <c r="C193" s="1501"/>
      <c r="D193" s="1501"/>
      <c r="E193" s="1501"/>
      <c r="F193" s="1524">
        <f>SUM(F196:F197)</f>
        <v>37500</v>
      </c>
    </row>
    <row r="194" spans="1:6" ht="13.15" customHeight="1">
      <c r="A194" s="1500"/>
      <c r="B194" s="1501"/>
      <c r="C194" s="1501"/>
      <c r="D194" s="1501"/>
      <c r="E194" s="1501"/>
      <c r="F194" s="1525"/>
    </row>
    <row r="195" spans="1:6" ht="13.15" customHeight="1">
      <c r="A195" s="1500"/>
      <c r="B195" s="1501"/>
      <c r="C195" s="1501"/>
      <c r="D195" s="1501"/>
      <c r="E195" s="1501"/>
      <c r="F195" s="1526"/>
    </row>
    <row r="196" spans="1:6" ht="15">
      <c r="A196" s="1496">
        <v>3416</v>
      </c>
      <c r="B196" s="1496"/>
      <c r="C196" s="1497" t="s">
        <v>146</v>
      </c>
      <c r="D196" s="1498"/>
      <c r="E196" s="1499"/>
      <c r="F196" s="778">
        <f>'3c.m.'!D783</f>
        <v>27500</v>
      </c>
    </row>
    <row r="197" spans="1:6" ht="15">
      <c r="A197" s="1496">
        <v>3974</v>
      </c>
      <c r="B197" s="1496"/>
      <c r="C197" s="1497" t="s">
        <v>1144</v>
      </c>
      <c r="D197" s="1498"/>
      <c r="E197" s="1499"/>
      <c r="F197" s="781">
        <f>'3d.m.'!D42</f>
        <v>10000</v>
      </c>
    </row>
    <row r="198" spans="1:6" ht="13.15" customHeight="1">
      <c r="A198" s="1500" t="s">
        <v>937</v>
      </c>
      <c r="B198" s="1501" t="s">
        <v>938</v>
      </c>
      <c r="C198" s="1501"/>
      <c r="D198" s="1501"/>
      <c r="E198" s="1501"/>
      <c r="F198" s="1524">
        <f>SUM(F201:F201)</f>
        <v>4000</v>
      </c>
    </row>
    <row r="199" spans="1:6" ht="13.15" customHeight="1">
      <c r="A199" s="1500"/>
      <c r="B199" s="1501"/>
      <c r="C199" s="1501"/>
      <c r="D199" s="1501"/>
      <c r="E199" s="1501"/>
      <c r="F199" s="1525"/>
    </row>
    <row r="200" spans="1:6" ht="13.15" customHeight="1">
      <c r="A200" s="1500"/>
      <c r="B200" s="1501"/>
      <c r="C200" s="1501"/>
      <c r="D200" s="1501"/>
      <c r="E200" s="1501"/>
      <c r="F200" s="1526"/>
    </row>
    <row r="201" spans="1:6" ht="15">
      <c r="A201" s="1496">
        <v>3413</v>
      </c>
      <c r="B201" s="1496"/>
      <c r="C201" s="1497" t="s">
        <v>117</v>
      </c>
      <c r="D201" s="1498"/>
      <c r="E201" s="1499"/>
      <c r="F201" s="778">
        <f>'3c.m.'!D766</f>
        <v>4000</v>
      </c>
    </row>
    <row r="202" spans="1:6" ht="13.15" customHeight="1">
      <c r="A202" s="1500" t="s">
        <v>939</v>
      </c>
      <c r="B202" s="1501" t="s">
        <v>940</v>
      </c>
      <c r="C202" s="1501"/>
      <c r="D202" s="1501"/>
      <c r="E202" s="1501"/>
      <c r="F202" s="1524">
        <f>SUM(F205:F208)</f>
        <v>78941</v>
      </c>
    </row>
    <row r="203" spans="1:6" ht="13.15" customHeight="1">
      <c r="A203" s="1500"/>
      <c r="B203" s="1501"/>
      <c r="C203" s="1501"/>
      <c r="D203" s="1501"/>
      <c r="E203" s="1501"/>
      <c r="F203" s="1525"/>
    </row>
    <row r="204" spans="1:6" ht="13.15" customHeight="1">
      <c r="A204" s="1500"/>
      <c r="B204" s="1501"/>
      <c r="C204" s="1501"/>
      <c r="D204" s="1501"/>
      <c r="E204" s="1501"/>
      <c r="F204" s="1526"/>
    </row>
    <row r="205" spans="1:6" ht="15">
      <c r="A205" s="1496">
        <v>3411</v>
      </c>
      <c r="B205" s="1496"/>
      <c r="C205" s="1497" t="s">
        <v>1357</v>
      </c>
      <c r="D205" s="1498"/>
      <c r="E205" s="1499"/>
      <c r="F205" s="778">
        <f>'3c.m.'!D749</f>
        <v>25000</v>
      </c>
    </row>
    <row r="206" spans="1:6" ht="15">
      <c r="A206" s="1496">
        <v>3412</v>
      </c>
      <c r="B206" s="1496"/>
      <c r="C206" s="1497" t="s">
        <v>338</v>
      </c>
      <c r="D206" s="1498"/>
      <c r="E206" s="1499"/>
      <c r="F206" s="778">
        <f>'3c.m.'!D758</f>
        <v>53941</v>
      </c>
    </row>
    <row r="207" spans="1:6" ht="15">
      <c r="A207" s="1496">
        <v>3414</v>
      </c>
      <c r="B207" s="1496"/>
      <c r="C207" s="1497" t="s">
        <v>65</v>
      </c>
      <c r="D207" s="1498"/>
      <c r="E207" s="1499"/>
      <c r="F207" s="778"/>
    </row>
    <row r="208" spans="1:6" ht="15">
      <c r="A208" s="1496">
        <v>3415</v>
      </c>
      <c r="B208" s="1496"/>
      <c r="C208" s="1497" t="s">
        <v>45</v>
      </c>
      <c r="D208" s="1498"/>
      <c r="E208" s="1499"/>
      <c r="F208" s="778"/>
    </row>
    <row r="209" spans="1:6" ht="13.15" customHeight="1">
      <c r="A209" s="1500" t="s">
        <v>941</v>
      </c>
      <c r="B209" s="1501" t="s">
        <v>942</v>
      </c>
      <c r="C209" s="1501"/>
      <c r="D209" s="1501"/>
      <c r="E209" s="1501"/>
      <c r="F209" s="1524">
        <f>SUM(F212)</f>
        <v>97773</v>
      </c>
    </row>
    <row r="210" spans="1:6" ht="13.15" customHeight="1">
      <c r="A210" s="1500"/>
      <c r="B210" s="1501"/>
      <c r="C210" s="1501"/>
      <c r="D210" s="1501"/>
      <c r="E210" s="1501"/>
      <c r="F210" s="1525"/>
    </row>
    <row r="211" spans="1:6" ht="13.15" customHeight="1">
      <c r="A211" s="1500"/>
      <c r="B211" s="1501"/>
      <c r="C211" s="1501"/>
      <c r="D211" s="1501"/>
      <c r="E211" s="1501"/>
      <c r="F211" s="1526"/>
    </row>
    <row r="212" spans="1:6" ht="15">
      <c r="A212" s="1496">
        <v>2795</v>
      </c>
      <c r="B212" s="1496"/>
      <c r="C212" s="1497" t="s">
        <v>943</v>
      </c>
      <c r="D212" s="1498"/>
      <c r="E212" s="1499"/>
      <c r="F212" s="778">
        <v>97773</v>
      </c>
    </row>
    <row r="213" spans="1:6" ht="13.15" customHeight="1">
      <c r="A213" s="1500" t="s">
        <v>944</v>
      </c>
      <c r="B213" s="1501" t="s">
        <v>945</v>
      </c>
      <c r="C213" s="1501"/>
      <c r="D213" s="1501"/>
      <c r="E213" s="1501"/>
      <c r="F213" s="1524">
        <f>SUM(F216:F219)</f>
        <v>58134</v>
      </c>
    </row>
    <row r="214" spans="1:6" ht="13.15" customHeight="1">
      <c r="A214" s="1500"/>
      <c r="B214" s="1501"/>
      <c r="C214" s="1501"/>
      <c r="D214" s="1501"/>
      <c r="E214" s="1501"/>
      <c r="F214" s="1525"/>
    </row>
    <row r="215" spans="1:6" ht="13.15" customHeight="1">
      <c r="A215" s="1500"/>
      <c r="B215" s="1501"/>
      <c r="C215" s="1501"/>
      <c r="D215" s="1501"/>
      <c r="E215" s="1501"/>
      <c r="F215" s="1526"/>
    </row>
    <row r="216" spans="1:6" ht="15">
      <c r="A216" s="1496">
        <v>3421</v>
      </c>
      <c r="B216" s="1496"/>
      <c r="C216" s="1497" t="s">
        <v>349</v>
      </c>
      <c r="D216" s="1498"/>
      <c r="E216" s="1499"/>
      <c r="F216" s="778">
        <f>'3c.m.'!D792</f>
        <v>41634</v>
      </c>
    </row>
    <row r="217" spans="1:6" ht="15">
      <c r="A217" s="1496">
        <v>3429</v>
      </c>
      <c r="B217" s="1496"/>
      <c r="C217" s="1497" t="s">
        <v>23</v>
      </c>
      <c r="D217" s="1498"/>
      <c r="E217" s="1499"/>
      <c r="F217" s="778">
        <f>'3c.m.'!D856</f>
        <v>2500</v>
      </c>
    </row>
    <row r="218" spans="1:6" ht="15">
      <c r="A218" s="1496">
        <v>3431</v>
      </c>
      <c r="B218" s="1496"/>
      <c r="C218" s="1497" t="s">
        <v>946</v>
      </c>
      <c r="D218" s="1498"/>
      <c r="E218" s="1499"/>
      <c r="F218" s="778">
        <f>'3c.m.'!D864</f>
        <v>9000</v>
      </c>
    </row>
    <row r="219" spans="1:6" ht="15">
      <c r="A219" s="1496">
        <v>3432</v>
      </c>
      <c r="B219" s="1496"/>
      <c r="C219" s="1497" t="s">
        <v>947</v>
      </c>
      <c r="D219" s="1498"/>
      <c r="E219" s="1499"/>
      <c r="F219" s="778">
        <f>'3c.m.'!D872</f>
        <v>5000</v>
      </c>
    </row>
    <row r="220" spans="1:6" ht="13.15" customHeight="1">
      <c r="A220" s="1500" t="s">
        <v>948</v>
      </c>
      <c r="B220" s="1501" t="s">
        <v>949</v>
      </c>
      <c r="C220" s="1501"/>
      <c r="D220" s="1501"/>
      <c r="E220" s="1501"/>
      <c r="F220" s="1524">
        <f>SUM(F223:F223)</f>
        <v>212641</v>
      </c>
    </row>
    <row r="221" spans="1:6" ht="13.15" customHeight="1">
      <c r="A221" s="1500"/>
      <c r="B221" s="1501"/>
      <c r="C221" s="1501"/>
      <c r="D221" s="1501"/>
      <c r="E221" s="1501"/>
      <c r="F221" s="1525"/>
    </row>
    <row r="222" spans="1:6" ht="13.15" customHeight="1">
      <c r="A222" s="1500"/>
      <c r="B222" s="1501"/>
      <c r="C222" s="1501"/>
      <c r="D222" s="1501"/>
      <c r="E222" s="1501"/>
      <c r="F222" s="1526"/>
    </row>
    <row r="223" spans="1:6" ht="15">
      <c r="A223" s="1496">
        <v>2986</v>
      </c>
      <c r="B223" s="1496"/>
      <c r="C223" s="1497" t="s">
        <v>639</v>
      </c>
      <c r="D223" s="1498"/>
      <c r="E223" s="1499"/>
      <c r="F223" s="778">
        <f>'2.mell'!D621</f>
        <v>212641</v>
      </c>
    </row>
    <row r="224" spans="1:6" ht="12.6" customHeight="1">
      <c r="A224" s="1500" t="s">
        <v>950</v>
      </c>
      <c r="B224" s="1501" t="s">
        <v>951</v>
      </c>
      <c r="C224" s="1501"/>
      <c r="D224" s="1501"/>
      <c r="E224" s="1501"/>
      <c r="F224" s="1524">
        <f>SUM(F227)</f>
        <v>301879</v>
      </c>
    </row>
    <row r="225" spans="1:6" ht="12.6" customHeight="1">
      <c r="A225" s="1500"/>
      <c r="B225" s="1501"/>
      <c r="C225" s="1501"/>
      <c r="D225" s="1501"/>
      <c r="E225" s="1501"/>
      <c r="F225" s="1525"/>
    </row>
    <row r="226" spans="1:6" ht="12.6" customHeight="1">
      <c r="A226" s="1500"/>
      <c r="B226" s="1501"/>
      <c r="C226" s="1501"/>
      <c r="D226" s="1501"/>
      <c r="E226" s="1501"/>
      <c r="F226" s="1526"/>
    </row>
    <row r="227" spans="1:6" ht="15">
      <c r="A227" s="1496">
        <v>2985</v>
      </c>
      <c r="B227" s="1496"/>
      <c r="C227" s="1497" t="s">
        <v>637</v>
      </c>
      <c r="D227" s="1498"/>
      <c r="E227" s="1499"/>
      <c r="F227" s="778">
        <f>261879+40000</f>
        <v>301879</v>
      </c>
    </row>
    <row r="228" spans="1:6" ht="13.15" customHeight="1">
      <c r="A228" s="1500" t="s">
        <v>952</v>
      </c>
      <c r="B228" s="1501" t="s">
        <v>953</v>
      </c>
      <c r="C228" s="1501"/>
      <c r="D228" s="1501"/>
      <c r="E228" s="1501"/>
      <c r="F228" s="1524">
        <f>SUM(F231)</f>
        <v>0</v>
      </c>
    </row>
    <row r="229" spans="1:6" ht="13.15" customHeight="1">
      <c r="A229" s="1500"/>
      <c r="B229" s="1501"/>
      <c r="C229" s="1501"/>
      <c r="D229" s="1501"/>
      <c r="E229" s="1501"/>
      <c r="F229" s="1525"/>
    </row>
    <row r="230" spans="1:6" ht="13.15" customHeight="1">
      <c r="A230" s="1500"/>
      <c r="B230" s="1501"/>
      <c r="C230" s="1501"/>
      <c r="D230" s="1501"/>
      <c r="E230" s="1501"/>
      <c r="F230" s="1526"/>
    </row>
    <row r="231" spans="1:6" ht="15">
      <c r="A231" s="1496">
        <v>2985</v>
      </c>
      <c r="B231" s="1496"/>
      <c r="C231" s="1497" t="s">
        <v>637</v>
      </c>
      <c r="D231" s="1498"/>
      <c r="E231" s="1499"/>
      <c r="F231" s="778"/>
    </row>
    <row r="232" spans="1:6" ht="13.15" customHeight="1">
      <c r="A232" s="1500" t="s">
        <v>954</v>
      </c>
      <c r="B232" s="1501" t="s">
        <v>955</v>
      </c>
      <c r="C232" s="1501"/>
      <c r="D232" s="1501"/>
      <c r="E232" s="1501"/>
      <c r="F232" s="1524">
        <f>SUM(F235:F236)</f>
        <v>3000</v>
      </c>
    </row>
    <row r="233" spans="1:6" ht="13.15" customHeight="1">
      <c r="A233" s="1500"/>
      <c r="B233" s="1501"/>
      <c r="C233" s="1501"/>
      <c r="D233" s="1501"/>
      <c r="E233" s="1501"/>
      <c r="F233" s="1525"/>
    </row>
    <row r="234" spans="1:6" ht="13.15" customHeight="1">
      <c r="A234" s="1500"/>
      <c r="B234" s="1501"/>
      <c r="C234" s="1501"/>
      <c r="D234" s="1501"/>
      <c r="E234" s="1501"/>
      <c r="F234" s="1526"/>
    </row>
    <row r="235" spans="1:6" ht="15">
      <c r="A235" s="1496">
        <v>2985</v>
      </c>
      <c r="B235" s="1496"/>
      <c r="C235" s="1497" t="s">
        <v>637</v>
      </c>
      <c r="D235" s="1498"/>
      <c r="E235" s="1499"/>
      <c r="F235" s="778"/>
    </row>
    <row r="236" spans="1:6" ht="15">
      <c r="A236" s="1496">
        <v>3428</v>
      </c>
      <c r="B236" s="1496"/>
      <c r="C236" s="1497" t="s">
        <v>7</v>
      </c>
      <c r="D236" s="1498"/>
      <c r="E236" s="1499"/>
      <c r="F236" s="781">
        <f>'3c.m.'!D848</f>
        <v>3000</v>
      </c>
    </row>
    <row r="237" spans="1:6" ht="13.15" customHeight="1">
      <c r="A237" s="1500" t="s">
        <v>956</v>
      </c>
      <c r="B237" s="1501" t="s">
        <v>957</v>
      </c>
      <c r="C237" s="1501"/>
      <c r="D237" s="1501"/>
      <c r="E237" s="1501"/>
      <c r="F237" s="1524">
        <f>SUM(F240:F243)</f>
        <v>61910</v>
      </c>
    </row>
    <row r="238" spans="1:6" ht="13.15" customHeight="1">
      <c r="A238" s="1500"/>
      <c r="B238" s="1501"/>
      <c r="C238" s="1501"/>
      <c r="D238" s="1501"/>
      <c r="E238" s="1501"/>
      <c r="F238" s="1525"/>
    </row>
    <row r="239" spans="1:6" ht="13.15" customHeight="1">
      <c r="A239" s="1500"/>
      <c r="B239" s="1501"/>
      <c r="C239" s="1501"/>
      <c r="D239" s="1501"/>
      <c r="E239" s="1501"/>
      <c r="F239" s="1526"/>
    </row>
    <row r="240" spans="1:6" ht="15">
      <c r="A240" s="1496">
        <v>5062</v>
      </c>
      <c r="B240" s="1496"/>
      <c r="C240" s="999" t="s">
        <v>958</v>
      </c>
      <c r="D240" s="1000"/>
      <c r="E240" s="1001"/>
      <c r="F240" s="787">
        <f>'5.mell. '!D41</f>
        <v>28</v>
      </c>
    </row>
    <row r="241" spans="1:6" ht="15">
      <c r="A241" s="1496">
        <v>3973</v>
      </c>
      <c r="B241" s="1496"/>
      <c r="C241" s="999" t="s">
        <v>1150</v>
      </c>
      <c r="D241" s="1000"/>
      <c r="E241" s="1001"/>
      <c r="F241" s="787">
        <f>'3d.m.'!D38</f>
        <v>7546</v>
      </c>
    </row>
    <row r="242" spans="1:6" ht="15">
      <c r="A242" s="1496">
        <v>3422.3424</v>
      </c>
      <c r="B242" s="1496"/>
      <c r="C242" s="1497" t="s">
        <v>1299</v>
      </c>
      <c r="D242" s="1498"/>
      <c r="E242" s="1499"/>
      <c r="F242" s="778">
        <f>'3c.m.'!D800+'3c.m.'!D816</f>
        <v>54336</v>
      </c>
    </row>
    <row r="244" spans="1:6" ht="12.6" customHeight="1">
      <c r="A244" s="1500" t="s">
        <v>959</v>
      </c>
      <c r="B244" s="1501" t="s">
        <v>960</v>
      </c>
      <c r="C244" s="1501"/>
      <c r="D244" s="1501"/>
      <c r="E244" s="1501"/>
      <c r="F244" s="1524">
        <f>SUM(F247:F248)</f>
        <v>7939</v>
      </c>
    </row>
    <row r="245" spans="1:6" ht="12.6" customHeight="1">
      <c r="A245" s="1500"/>
      <c r="B245" s="1501"/>
      <c r="C245" s="1501"/>
      <c r="D245" s="1501"/>
      <c r="E245" s="1501"/>
      <c r="F245" s="1525"/>
    </row>
    <row r="246" spans="1:6" ht="12.6" customHeight="1">
      <c r="A246" s="1500"/>
      <c r="B246" s="1501"/>
      <c r="C246" s="1501"/>
      <c r="D246" s="1501"/>
      <c r="E246" s="1501"/>
      <c r="F246" s="1526"/>
    </row>
    <row r="247" spans="1:6" ht="15">
      <c r="A247" s="1496">
        <v>3425</v>
      </c>
      <c r="B247" s="1496"/>
      <c r="C247" s="1497" t="s">
        <v>1347</v>
      </c>
      <c r="D247" s="1498"/>
      <c r="E247" s="1499"/>
      <c r="F247" s="778">
        <f>'3c.m.'!D824</f>
        <v>4939</v>
      </c>
    </row>
    <row r="248" spans="1:6" ht="15">
      <c r="A248" s="1496">
        <v>3426</v>
      </c>
      <c r="B248" s="1496"/>
      <c r="C248" s="1497" t="s">
        <v>1365</v>
      </c>
      <c r="D248" s="1498"/>
      <c r="E248" s="1499"/>
      <c r="F248" s="778">
        <f>'3c.m.'!D832</f>
        <v>3000</v>
      </c>
    </row>
    <row r="249" spans="1:6" ht="13.15" customHeight="1">
      <c r="A249" s="1500" t="s">
        <v>961</v>
      </c>
      <c r="B249" s="1501" t="s">
        <v>962</v>
      </c>
      <c r="C249" s="1501"/>
      <c r="D249" s="1501"/>
      <c r="E249" s="1501"/>
      <c r="F249" s="1524">
        <f>SUM(F252)</f>
        <v>0</v>
      </c>
    </row>
    <row r="250" spans="1:6" ht="13.15" customHeight="1">
      <c r="A250" s="1500"/>
      <c r="B250" s="1501"/>
      <c r="C250" s="1501"/>
      <c r="D250" s="1501"/>
      <c r="E250" s="1501"/>
      <c r="F250" s="1525"/>
    </row>
    <row r="251" spans="1:6" ht="13.15" customHeight="1">
      <c r="A251" s="1500"/>
      <c r="B251" s="1501"/>
      <c r="C251" s="1501"/>
      <c r="D251" s="1501"/>
      <c r="E251" s="1501"/>
      <c r="F251" s="1526"/>
    </row>
    <row r="252" spans="1:6" ht="15">
      <c r="A252" s="1496">
        <v>2985</v>
      </c>
      <c r="B252" s="1496"/>
      <c r="C252" s="1497" t="s">
        <v>637</v>
      </c>
      <c r="D252" s="1498"/>
      <c r="E252" s="1499"/>
      <c r="F252" s="778"/>
    </row>
    <row r="253" spans="1:6" ht="13.15" customHeight="1">
      <c r="A253" s="1500" t="s">
        <v>963</v>
      </c>
      <c r="B253" s="1501" t="s">
        <v>964</v>
      </c>
      <c r="C253" s="1501"/>
      <c r="D253" s="1501"/>
      <c r="E253" s="1501"/>
      <c r="F253" s="1524">
        <f>SUM(F256)</f>
        <v>11715</v>
      </c>
    </row>
    <row r="254" spans="1:6" ht="13.15" customHeight="1">
      <c r="A254" s="1500"/>
      <c r="B254" s="1501"/>
      <c r="C254" s="1501"/>
      <c r="D254" s="1501"/>
      <c r="E254" s="1501"/>
      <c r="F254" s="1525"/>
    </row>
    <row r="255" spans="1:6" ht="13.15" customHeight="1">
      <c r="A255" s="1500"/>
      <c r="B255" s="1501"/>
      <c r="C255" s="1501"/>
      <c r="D255" s="1501"/>
      <c r="E255" s="1501"/>
      <c r="F255" s="1526"/>
    </row>
    <row r="256" spans="1:6" ht="15">
      <c r="A256" s="1496">
        <v>3343</v>
      </c>
      <c r="B256" s="1496"/>
      <c r="C256" s="1497" t="s">
        <v>1290</v>
      </c>
      <c r="D256" s="1498"/>
      <c r="E256" s="1499"/>
      <c r="F256" s="778">
        <f>'3c.m.'!D632</f>
        <v>11715</v>
      </c>
    </row>
    <row r="257" spans="1:6" ht="13.15" customHeight="1">
      <c r="A257" s="1500" t="s">
        <v>965</v>
      </c>
      <c r="B257" s="1501" t="s">
        <v>966</v>
      </c>
      <c r="C257" s="1501"/>
      <c r="D257" s="1501"/>
      <c r="E257" s="1501"/>
      <c r="F257" s="1524">
        <f>SUM(F260:F271)</f>
        <v>18106</v>
      </c>
    </row>
    <row r="258" spans="1:6" ht="13.15" customHeight="1">
      <c r="A258" s="1500"/>
      <c r="B258" s="1501"/>
      <c r="C258" s="1501"/>
      <c r="D258" s="1501"/>
      <c r="E258" s="1501"/>
      <c r="F258" s="1525"/>
    </row>
    <row r="259" spans="1:6" ht="13.15" customHeight="1">
      <c r="A259" s="1500"/>
      <c r="B259" s="1501"/>
      <c r="C259" s="1501"/>
      <c r="D259" s="1501"/>
      <c r="E259" s="1501"/>
      <c r="F259" s="1526"/>
    </row>
    <row r="260" spans="1:6" ht="15">
      <c r="A260" s="1496">
        <v>3451</v>
      </c>
      <c r="B260" s="1496"/>
      <c r="C260" s="1497" t="s">
        <v>112</v>
      </c>
      <c r="D260" s="1498"/>
      <c r="E260" s="1499"/>
      <c r="F260" s="778">
        <f>'3c.m.'!D888</f>
        <v>1586</v>
      </c>
    </row>
    <row r="261" spans="1:6" ht="15">
      <c r="A261" s="1496">
        <v>3988</v>
      </c>
      <c r="B261" s="1496"/>
      <c r="C261" s="1497" t="s">
        <v>967</v>
      </c>
      <c r="D261" s="1498"/>
      <c r="E261" s="1499"/>
      <c r="F261" s="778">
        <f>'3d.m.'!D46</f>
        <v>800</v>
      </c>
    </row>
    <row r="262" spans="1:6" ht="15">
      <c r="A262" s="1496">
        <v>3989</v>
      </c>
      <c r="B262" s="1496"/>
      <c r="C262" s="1497" t="s">
        <v>316</v>
      </c>
      <c r="D262" s="1498"/>
      <c r="E262" s="1499"/>
      <c r="F262" s="778">
        <f>'3d.m.'!D47</f>
        <v>3000</v>
      </c>
    </row>
    <row r="263" spans="1:6" ht="15">
      <c r="A263" s="1496">
        <v>3990</v>
      </c>
      <c r="B263" s="1496"/>
      <c r="C263" s="1497" t="s">
        <v>274</v>
      </c>
      <c r="D263" s="1498"/>
      <c r="E263" s="1499"/>
      <c r="F263" s="778">
        <f>'3d.m.'!D48</f>
        <v>1000</v>
      </c>
    </row>
    <row r="264" spans="1:6" ht="15">
      <c r="A264" s="1496">
        <v>3991</v>
      </c>
      <c r="B264" s="1496"/>
      <c r="C264" s="1497" t="s">
        <v>313</v>
      </c>
      <c r="D264" s="1498"/>
      <c r="E264" s="1499"/>
      <c r="F264" s="778">
        <f>'3d.m.'!D49</f>
        <v>4820</v>
      </c>
    </row>
    <row r="265" spans="1:6" ht="15">
      <c r="A265" s="1496">
        <v>3992</v>
      </c>
      <c r="B265" s="1496"/>
      <c r="C265" s="1497" t="s">
        <v>275</v>
      </c>
      <c r="D265" s="1498"/>
      <c r="E265" s="1499"/>
      <c r="F265" s="778">
        <f>'3d.m.'!D50</f>
        <v>1400</v>
      </c>
    </row>
    <row r="266" spans="1:6" ht="15">
      <c r="A266" s="1496">
        <v>3993</v>
      </c>
      <c r="B266" s="1496"/>
      <c r="C266" s="1497" t="s">
        <v>276</v>
      </c>
      <c r="D266" s="1498"/>
      <c r="E266" s="1499"/>
      <c r="F266" s="778">
        <f>'3d.m.'!D51</f>
        <v>900</v>
      </c>
    </row>
    <row r="267" spans="1:6" ht="15">
      <c r="A267" s="1496">
        <v>3994</v>
      </c>
      <c r="B267" s="1496"/>
      <c r="C267" s="1497" t="s">
        <v>85</v>
      </c>
      <c r="D267" s="1498"/>
      <c r="E267" s="1499"/>
      <c r="F267" s="778">
        <f>'3d.m.'!D52</f>
        <v>900</v>
      </c>
    </row>
    <row r="268" spans="1:6" ht="15">
      <c r="A268" s="1496">
        <v>3995</v>
      </c>
      <c r="B268" s="1496"/>
      <c r="C268" s="1497" t="s">
        <v>86</v>
      </c>
      <c r="D268" s="1498"/>
      <c r="E268" s="1499"/>
      <c r="F268" s="778">
        <f>'3d.m.'!D53</f>
        <v>900</v>
      </c>
    </row>
    <row r="269" spans="1:6" ht="15">
      <c r="A269" s="1496">
        <v>3997</v>
      </c>
      <c r="B269" s="1496"/>
      <c r="C269" s="1497" t="s">
        <v>87</v>
      </c>
      <c r="D269" s="1498"/>
      <c r="E269" s="1499"/>
      <c r="F269" s="778">
        <f>'3d.m.'!D54</f>
        <v>900</v>
      </c>
    </row>
    <row r="270" spans="1:6" ht="15">
      <c r="A270" s="1496">
        <v>3998</v>
      </c>
      <c r="B270" s="1496"/>
      <c r="C270" s="1497" t="s">
        <v>88</v>
      </c>
      <c r="D270" s="1498"/>
      <c r="E270" s="1499"/>
      <c r="F270" s="778">
        <f>'3d.m.'!D55</f>
        <v>900</v>
      </c>
    </row>
    <row r="271" spans="1:6" ht="15">
      <c r="A271" s="1496">
        <v>3999</v>
      </c>
      <c r="B271" s="1496"/>
      <c r="C271" s="1497" t="s">
        <v>89</v>
      </c>
      <c r="D271" s="1498"/>
      <c r="E271" s="1499"/>
      <c r="F271" s="778">
        <f>'3d.m.'!D56</f>
        <v>1000</v>
      </c>
    </row>
    <row r="272" spans="1:6" ht="13.5" customHeight="1">
      <c r="A272" s="1500" t="s">
        <v>968</v>
      </c>
      <c r="B272" s="1501" t="s">
        <v>969</v>
      </c>
      <c r="C272" s="1501"/>
      <c r="D272" s="1501"/>
      <c r="E272" s="1501"/>
      <c r="F272" s="1524">
        <f>SUM(F275:F275)</f>
        <v>217170</v>
      </c>
    </row>
    <row r="273" spans="1:6" s="788" customFormat="1" ht="11.45" customHeight="1">
      <c r="A273" s="1500"/>
      <c r="B273" s="1501"/>
      <c r="C273" s="1501"/>
      <c r="D273" s="1501"/>
      <c r="E273" s="1501"/>
      <c r="F273" s="1525"/>
    </row>
    <row r="274" spans="1:6" ht="13.15" customHeight="1">
      <c r="A274" s="1500"/>
      <c r="B274" s="1501"/>
      <c r="C274" s="1501"/>
      <c r="D274" s="1501"/>
      <c r="E274" s="1501"/>
      <c r="F274" s="1526"/>
    </row>
    <row r="275" spans="1:6" ht="15">
      <c r="A275" s="1496">
        <v>3961</v>
      </c>
      <c r="B275" s="1496"/>
      <c r="C275" s="1497" t="s">
        <v>344</v>
      </c>
      <c r="D275" s="1498"/>
      <c r="E275" s="1499"/>
      <c r="F275" s="778">
        <f>'3d.m.'!D36</f>
        <v>217170</v>
      </c>
    </row>
    <row r="276" spans="1:6" ht="12.6" customHeight="1">
      <c r="A276" s="1500" t="s">
        <v>970</v>
      </c>
      <c r="B276" s="1501" t="s">
        <v>971</v>
      </c>
      <c r="C276" s="1501"/>
      <c r="D276" s="1501"/>
      <c r="E276" s="1501"/>
      <c r="F276" s="1524">
        <f>SUM(F279:F282)</f>
        <v>48583</v>
      </c>
    </row>
    <row r="277" spans="1:6" ht="12.6" customHeight="1">
      <c r="A277" s="1500"/>
      <c r="B277" s="1501"/>
      <c r="C277" s="1501"/>
      <c r="D277" s="1501"/>
      <c r="E277" s="1501"/>
      <c r="F277" s="1525"/>
    </row>
    <row r="278" spans="1:6" ht="12.6" customHeight="1">
      <c r="A278" s="1500"/>
      <c r="B278" s="1501"/>
      <c r="C278" s="1501"/>
      <c r="D278" s="1501"/>
      <c r="E278" s="1501"/>
      <c r="F278" s="1526"/>
    </row>
    <row r="279" spans="1:6" ht="15">
      <c r="A279" s="1496">
        <v>3922</v>
      </c>
      <c r="B279" s="1496"/>
      <c r="C279" s="1497" t="s">
        <v>413</v>
      </c>
      <c r="D279" s="1498"/>
      <c r="E279" s="1499"/>
      <c r="F279" s="778"/>
    </row>
    <row r="280" spans="1:6" ht="15">
      <c r="A280" s="1496">
        <v>3931</v>
      </c>
      <c r="B280" s="1496"/>
      <c r="C280" s="1497" t="s">
        <v>133</v>
      </c>
      <c r="D280" s="1498"/>
      <c r="E280" s="1499"/>
      <c r="F280" s="778">
        <f>'3d.m.'!D24</f>
        <v>3500</v>
      </c>
    </row>
    <row r="281" spans="1:6" ht="15">
      <c r="A281" s="1496">
        <v>3932</v>
      </c>
      <c r="B281" s="1496"/>
      <c r="C281" s="1497" t="s">
        <v>804</v>
      </c>
      <c r="D281" s="1498"/>
      <c r="E281" s="1499"/>
      <c r="F281" s="778">
        <f>'3d.m.'!D25</f>
        <v>12500</v>
      </c>
    </row>
    <row r="282" spans="1:6" ht="15">
      <c r="A282" s="1496">
        <v>3972</v>
      </c>
      <c r="B282" s="1496"/>
      <c r="C282" s="1497" t="s">
        <v>972</v>
      </c>
      <c r="D282" s="1498"/>
      <c r="E282" s="1499"/>
      <c r="F282" s="778">
        <f>'3d.m.'!D37</f>
        <v>32583</v>
      </c>
    </row>
    <row r="283" spans="1:6" ht="13.15" customHeight="1">
      <c r="A283" s="1500" t="s">
        <v>973</v>
      </c>
      <c r="B283" s="1501" t="s">
        <v>974</v>
      </c>
      <c r="C283" s="1501"/>
      <c r="D283" s="1501"/>
      <c r="E283" s="1501"/>
      <c r="F283" s="1524">
        <f>SUM(F286:F288)</f>
        <v>5515</v>
      </c>
    </row>
    <row r="284" spans="1:6" ht="13.15" customHeight="1">
      <c r="A284" s="1500"/>
      <c r="B284" s="1501"/>
      <c r="C284" s="1501"/>
      <c r="D284" s="1501"/>
      <c r="E284" s="1501"/>
      <c r="F284" s="1525"/>
    </row>
    <row r="285" spans="1:6" ht="13.15" customHeight="1">
      <c r="A285" s="1500"/>
      <c r="B285" s="1501"/>
      <c r="C285" s="1501"/>
      <c r="D285" s="1501"/>
      <c r="E285" s="1501"/>
      <c r="F285" s="1526"/>
    </row>
    <row r="286" spans="1:6" ht="14.25" customHeight="1">
      <c r="A286" s="1496">
        <v>3146</v>
      </c>
      <c r="B286" s="1496"/>
      <c r="C286" s="1497" t="s">
        <v>410</v>
      </c>
      <c r="D286" s="1498"/>
      <c r="E286" s="1499"/>
      <c r="F286" s="778">
        <f>'3c.m.'!D223</f>
        <v>5515</v>
      </c>
    </row>
    <row r="287" spans="1:6" ht="15" hidden="1">
      <c r="A287" s="1496">
        <v>3921</v>
      </c>
      <c r="B287" s="1496"/>
      <c r="C287" s="1497" t="s">
        <v>414</v>
      </c>
      <c r="D287" s="1498"/>
      <c r="E287" s="1499"/>
      <c r="F287" s="778"/>
    </row>
    <row r="288" spans="1:6" ht="15" hidden="1">
      <c r="A288" s="1496">
        <v>3929</v>
      </c>
      <c r="B288" s="1496"/>
      <c r="C288" s="1497" t="s">
        <v>975</v>
      </c>
      <c r="D288" s="1498"/>
      <c r="E288" s="1499"/>
      <c r="F288" s="778"/>
    </row>
    <row r="289" spans="1:6" ht="13.15" customHeight="1">
      <c r="A289" s="1500" t="s">
        <v>976</v>
      </c>
      <c r="B289" s="1501" t="s">
        <v>977</v>
      </c>
      <c r="C289" s="1501"/>
      <c r="D289" s="1501"/>
      <c r="E289" s="1501"/>
      <c r="F289" s="1524">
        <f>SUM(F292:F293)</f>
        <v>14490</v>
      </c>
    </row>
    <row r="290" spans="1:6" ht="13.15" customHeight="1">
      <c r="A290" s="1500"/>
      <c r="B290" s="1501"/>
      <c r="C290" s="1501"/>
      <c r="D290" s="1501"/>
      <c r="E290" s="1501"/>
      <c r="F290" s="1525"/>
    </row>
    <row r="291" spans="1:6" ht="13.15" customHeight="1">
      <c r="A291" s="1500"/>
      <c r="B291" s="1501"/>
      <c r="C291" s="1501"/>
      <c r="D291" s="1501"/>
      <c r="E291" s="1501"/>
      <c r="F291" s="1526"/>
    </row>
    <row r="292" spans="1:6" ht="15">
      <c r="A292" s="1496">
        <v>3145</v>
      </c>
      <c r="B292" s="1496"/>
      <c r="C292" s="1497" t="s">
        <v>978</v>
      </c>
      <c r="D292" s="1498"/>
      <c r="E292" s="1499"/>
      <c r="F292" s="778">
        <f>'3c.m.'!D214</f>
        <v>4490</v>
      </c>
    </row>
    <row r="293" spans="1:6" ht="15">
      <c r="A293" s="1496">
        <v>3975</v>
      </c>
      <c r="B293" s="1496"/>
      <c r="C293" s="999" t="s">
        <v>1286</v>
      </c>
      <c r="D293" s="1000"/>
      <c r="E293" s="1001"/>
      <c r="F293" s="781">
        <f>'3d.m.'!D43</f>
        <v>10000</v>
      </c>
    </row>
    <row r="294" spans="1:6" ht="13.15" customHeight="1">
      <c r="A294" s="1500" t="s">
        <v>979</v>
      </c>
      <c r="B294" s="1501" t="s">
        <v>980</v>
      </c>
      <c r="C294" s="1501"/>
      <c r="D294" s="1501"/>
      <c r="E294" s="1501"/>
      <c r="F294" s="1524">
        <f>SUM(F297)</f>
        <v>14491</v>
      </c>
    </row>
    <row r="295" spans="1:6" ht="13.15" customHeight="1">
      <c r="A295" s="1500"/>
      <c r="B295" s="1501"/>
      <c r="C295" s="1501"/>
      <c r="D295" s="1501"/>
      <c r="E295" s="1501"/>
      <c r="F295" s="1525"/>
    </row>
    <row r="296" spans="1:6" ht="13.15" customHeight="1">
      <c r="A296" s="1500"/>
      <c r="B296" s="1501"/>
      <c r="C296" s="1501"/>
      <c r="D296" s="1501"/>
      <c r="E296" s="1501"/>
      <c r="F296" s="1526"/>
    </row>
    <row r="297" spans="1:6" ht="15">
      <c r="A297" s="1496">
        <v>3423</v>
      </c>
      <c r="B297" s="1496"/>
      <c r="C297" s="1497" t="s">
        <v>118</v>
      </c>
      <c r="D297" s="1498"/>
      <c r="E297" s="1499"/>
      <c r="F297" s="778">
        <f>'3c.m.'!D808</f>
        <v>14491</v>
      </c>
    </row>
    <row r="298" spans="1:6" ht="13.15" customHeight="1">
      <c r="A298" s="1500" t="s">
        <v>981</v>
      </c>
      <c r="B298" s="1501" t="s">
        <v>982</v>
      </c>
      <c r="C298" s="1501"/>
      <c r="D298" s="1501"/>
      <c r="E298" s="1501"/>
      <c r="F298" s="1524">
        <f>SUM(F301:F302)</f>
        <v>1356481</v>
      </c>
    </row>
    <row r="299" spans="1:6" ht="13.15" customHeight="1">
      <c r="A299" s="1500"/>
      <c r="B299" s="1501"/>
      <c r="C299" s="1501"/>
      <c r="D299" s="1501"/>
      <c r="E299" s="1501"/>
      <c r="F299" s="1525"/>
    </row>
    <row r="300" spans="1:6" ht="13.15" customHeight="1">
      <c r="A300" s="1500"/>
      <c r="B300" s="1501"/>
      <c r="C300" s="1501"/>
      <c r="D300" s="1501"/>
      <c r="E300" s="1501"/>
      <c r="F300" s="1526"/>
    </row>
    <row r="301" spans="1:6" ht="15">
      <c r="A301" s="1496">
        <v>2499</v>
      </c>
      <c r="B301" s="1496"/>
      <c r="C301" s="1497" t="s">
        <v>983</v>
      </c>
      <c r="D301" s="1498"/>
      <c r="E301" s="1499"/>
      <c r="F301" s="778">
        <f>'2.mell'!D341-F306</f>
        <v>1341060</v>
      </c>
    </row>
    <row r="302" spans="1:6" ht="15">
      <c r="A302" s="1496">
        <v>3147</v>
      </c>
      <c r="B302" s="1496"/>
      <c r="C302" s="1497" t="s">
        <v>1256</v>
      </c>
      <c r="D302" s="1498"/>
      <c r="E302" s="1499"/>
      <c r="F302" s="781">
        <f>'3c.m.'!D232</f>
        <v>15421</v>
      </c>
    </row>
    <row r="303" spans="1:6" ht="13.15" customHeight="1">
      <c r="A303" s="1500" t="s">
        <v>984</v>
      </c>
      <c r="B303" s="1501" t="s">
        <v>985</v>
      </c>
      <c r="C303" s="1501"/>
      <c r="D303" s="1501"/>
      <c r="E303" s="1501"/>
      <c r="F303" s="1524">
        <f>SUM(F306:F306)</f>
        <v>53399</v>
      </c>
    </row>
    <row r="304" spans="1:6" ht="13.15" customHeight="1">
      <c r="A304" s="1500"/>
      <c r="B304" s="1501"/>
      <c r="C304" s="1501"/>
      <c r="D304" s="1501"/>
      <c r="E304" s="1501"/>
      <c r="F304" s="1525"/>
    </row>
    <row r="305" spans="1:6" ht="13.15" customHeight="1">
      <c r="A305" s="1500"/>
      <c r="B305" s="1501"/>
      <c r="C305" s="1501"/>
      <c r="D305" s="1501"/>
      <c r="E305" s="1501"/>
      <c r="F305" s="1526"/>
    </row>
    <row r="306" spans="1:6" ht="15">
      <c r="A306" s="1496">
        <v>2499</v>
      </c>
      <c r="B306" s="1496"/>
      <c r="C306" s="1497" t="s">
        <v>983</v>
      </c>
      <c r="D306" s="1498"/>
      <c r="E306" s="1499"/>
      <c r="F306" s="778">
        <v>53399</v>
      </c>
    </row>
    <row r="307" spans="1:6" ht="13.15" customHeight="1">
      <c r="A307" s="1500" t="s">
        <v>986</v>
      </c>
      <c r="B307" s="1501" t="s">
        <v>987</v>
      </c>
      <c r="C307" s="1501"/>
      <c r="D307" s="1501"/>
      <c r="E307" s="1501"/>
      <c r="F307" s="1524">
        <f>SUM(F310)</f>
        <v>11000</v>
      </c>
    </row>
    <row r="308" spans="1:6" ht="13.15" customHeight="1">
      <c r="A308" s="1500"/>
      <c r="B308" s="1501"/>
      <c r="C308" s="1501"/>
      <c r="D308" s="1501"/>
      <c r="E308" s="1501"/>
      <c r="F308" s="1525"/>
    </row>
    <row r="309" spans="1:6" ht="13.15" customHeight="1">
      <c r="A309" s="1500"/>
      <c r="B309" s="1501"/>
      <c r="C309" s="1501"/>
      <c r="D309" s="1501"/>
      <c r="E309" s="1501"/>
      <c r="F309" s="1526"/>
    </row>
    <row r="310" spans="1:6" ht="15">
      <c r="A310" s="1496">
        <v>3141</v>
      </c>
      <c r="B310" s="1496"/>
      <c r="C310" s="1497" t="s">
        <v>1087</v>
      </c>
      <c r="D310" s="1498"/>
      <c r="E310" s="1499"/>
      <c r="F310" s="778">
        <f>'3c.m.'!D181</f>
        <v>11000</v>
      </c>
    </row>
    <row r="311" spans="1:6" ht="12.6" customHeight="1">
      <c r="A311" s="1504" t="s">
        <v>988</v>
      </c>
      <c r="B311" s="1507" t="s">
        <v>989</v>
      </c>
      <c r="C311" s="1508"/>
      <c r="D311" s="1508"/>
      <c r="E311" s="1509"/>
      <c r="F311" s="1524">
        <f>SUM(F314:F314)</f>
        <v>627446</v>
      </c>
    </row>
    <row r="312" spans="1:6" ht="12.6" customHeight="1">
      <c r="A312" s="1505"/>
      <c r="B312" s="1510"/>
      <c r="C312" s="1511"/>
      <c r="D312" s="1511"/>
      <c r="E312" s="1512"/>
      <c r="F312" s="1527"/>
    </row>
    <row r="313" spans="1:6" ht="12.6" customHeight="1">
      <c r="A313" s="1506"/>
      <c r="B313" s="1513"/>
      <c r="C313" s="1514"/>
      <c r="D313" s="1514"/>
      <c r="E313" s="1515"/>
      <c r="F313" s="1528"/>
    </row>
    <row r="314" spans="1:6" ht="15">
      <c r="A314" s="1502">
        <v>2795</v>
      </c>
      <c r="B314" s="1503"/>
      <c r="C314" s="1497" t="s">
        <v>943</v>
      </c>
      <c r="D314" s="1498"/>
      <c r="E314" s="1499"/>
      <c r="F314" s="778">
        <f>604100+23346</f>
        <v>627446</v>
      </c>
    </row>
    <row r="315" spans="1:6" ht="13.15" customHeight="1">
      <c r="A315" s="1500" t="s">
        <v>990</v>
      </c>
      <c r="B315" s="1501" t="s">
        <v>991</v>
      </c>
      <c r="C315" s="1501"/>
      <c r="D315" s="1501"/>
      <c r="E315" s="1501"/>
      <c r="F315" s="1524">
        <f>SUM(F318:F320)</f>
        <v>13436</v>
      </c>
    </row>
    <row r="316" spans="1:6" ht="13.15" customHeight="1">
      <c r="A316" s="1500"/>
      <c r="B316" s="1501"/>
      <c r="C316" s="1501"/>
      <c r="D316" s="1501"/>
      <c r="E316" s="1501"/>
      <c r="F316" s="1525"/>
    </row>
    <row r="317" spans="1:6" ht="13.15" customHeight="1">
      <c r="A317" s="1500"/>
      <c r="B317" s="1501"/>
      <c r="C317" s="1501"/>
      <c r="D317" s="1501"/>
      <c r="E317" s="1501"/>
      <c r="F317" s="1526"/>
    </row>
    <row r="318" spans="1:6" ht="15">
      <c r="A318" s="1496">
        <v>3142</v>
      </c>
      <c r="B318" s="1496"/>
      <c r="C318" s="1497" t="s">
        <v>22</v>
      </c>
      <c r="D318" s="1498"/>
      <c r="E318" s="1499"/>
      <c r="F318" s="778">
        <f>'3c.m.'!D190</f>
        <v>8120</v>
      </c>
    </row>
    <row r="319" spans="1:6" ht="15">
      <c r="A319" s="1496">
        <v>3143</v>
      </c>
      <c r="B319" s="1496"/>
      <c r="C319" s="1497" t="s">
        <v>30</v>
      </c>
      <c r="D319" s="1498"/>
      <c r="E319" s="1499"/>
      <c r="F319" s="778">
        <f>'3c.m.'!D198</f>
        <v>5316</v>
      </c>
    </row>
    <row r="320" spans="1:6" ht="15">
      <c r="A320" s="1496">
        <v>5069</v>
      </c>
      <c r="B320" s="1496"/>
      <c r="C320" s="999" t="s">
        <v>992</v>
      </c>
      <c r="D320" s="1000"/>
      <c r="E320" s="1001"/>
      <c r="F320" s="781"/>
    </row>
    <row r="321" spans="1:6" ht="13.15" customHeight="1">
      <c r="A321" s="1500" t="s">
        <v>993</v>
      </c>
      <c r="B321" s="1501" t="s">
        <v>994</v>
      </c>
      <c r="C321" s="1501"/>
      <c r="D321" s="1501"/>
      <c r="E321" s="1501"/>
      <c r="F321" s="1524">
        <f>SUM(F324)</f>
        <v>4160</v>
      </c>
    </row>
    <row r="322" spans="1:6" ht="13.15" customHeight="1">
      <c r="A322" s="1500"/>
      <c r="B322" s="1501"/>
      <c r="C322" s="1501"/>
      <c r="D322" s="1501"/>
      <c r="E322" s="1501"/>
      <c r="F322" s="1525"/>
    </row>
    <row r="323" spans="1:6" ht="13.15" customHeight="1">
      <c r="A323" s="1500"/>
      <c r="B323" s="1501"/>
      <c r="C323" s="1501"/>
      <c r="D323" s="1501"/>
      <c r="E323" s="1501"/>
      <c r="F323" s="1526"/>
    </row>
    <row r="324" spans="1:6" ht="15">
      <c r="A324" s="1496">
        <v>3349</v>
      </c>
      <c r="B324" s="1496"/>
      <c r="C324" s="1497" t="s">
        <v>995</v>
      </c>
      <c r="D324" s="1498"/>
      <c r="E324" s="1499"/>
      <c r="F324" s="778">
        <f>'3c.m.'!D680</f>
        <v>4160</v>
      </c>
    </row>
    <row r="325" spans="1:6" ht="13.15" customHeight="1">
      <c r="A325" s="1500" t="s">
        <v>996</v>
      </c>
      <c r="B325" s="1501" t="s">
        <v>997</v>
      </c>
      <c r="C325" s="1501"/>
      <c r="D325" s="1501"/>
      <c r="E325" s="1501"/>
      <c r="F325" s="1524">
        <f>SUM(F328:F328)</f>
        <v>400</v>
      </c>
    </row>
    <row r="326" spans="1:6" ht="13.15" customHeight="1">
      <c r="A326" s="1500"/>
      <c r="B326" s="1501"/>
      <c r="C326" s="1501"/>
      <c r="D326" s="1501"/>
      <c r="E326" s="1501"/>
      <c r="F326" s="1525"/>
    </row>
    <row r="327" spans="1:6" ht="13.15" customHeight="1">
      <c r="A327" s="1500"/>
      <c r="B327" s="1501"/>
      <c r="C327" s="1501"/>
      <c r="D327" s="1501"/>
      <c r="E327" s="1501"/>
      <c r="F327" s="1526"/>
    </row>
    <row r="328" spans="1:6" ht="15">
      <c r="A328" s="1496">
        <v>3348</v>
      </c>
      <c r="B328" s="1496"/>
      <c r="C328" s="1497" t="s">
        <v>147</v>
      </c>
      <c r="D328" s="1498"/>
      <c r="E328" s="1499"/>
      <c r="F328" s="778">
        <f>'3c.m.'!D672</f>
        <v>400</v>
      </c>
    </row>
    <row r="329" spans="1:6" ht="13.15" customHeight="1">
      <c r="A329" s="1500" t="s">
        <v>998</v>
      </c>
      <c r="B329" s="1501" t="s">
        <v>999</v>
      </c>
      <c r="C329" s="1501"/>
      <c r="D329" s="1501"/>
      <c r="E329" s="1501"/>
      <c r="F329" s="1524">
        <f>SUM(F332:F335)</f>
        <v>14488</v>
      </c>
    </row>
    <row r="330" spans="1:6" ht="13.15" customHeight="1">
      <c r="A330" s="1500"/>
      <c r="B330" s="1501"/>
      <c r="C330" s="1501"/>
      <c r="D330" s="1501"/>
      <c r="E330" s="1501"/>
      <c r="F330" s="1525"/>
    </row>
    <row r="331" spans="1:6" ht="13.15" customHeight="1">
      <c r="A331" s="1500"/>
      <c r="B331" s="1501"/>
      <c r="C331" s="1501"/>
      <c r="D331" s="1501"/>
      <c r="E331" s="1501"/>
      <c r="F331" s="1526"/>
    </row>
    <row r="332" spans="1:6" ht="15">
      <c r="A332" s="1496">
        <v>3341</v>
      </c>
      <c r="B332" s="1496"/>
      <c r="C332" s="1497" t="s">
        <v>337</v>
      </c>
      <c r="D332" s="1498"/>
      <c r="E332" s="1499"/>
      <c r="F332" s="778">
        <f>'3c.m.'!D614</f>
        <v>3283</v>
      </c>
    </row>
    <row r="333" spans="1:6" ht="15">
      <c r="A333" s="1496">
        <v>3342</v>
      </c>
      <c r="B333" s="1496"/>
      <c r="C333" s="1497" t="s">
        <v>398</v>
      </c>
      <c r="D333" s="1498"/>
      <c r="E333" s="1499"/>
      <c r="F333" s="778">
        <f>'3c.m.'!D623</f>
        <v>1760</v>
      </c>
    </row>
    <row r="334" spans="1:6" ht="15">
      <c r="A334" s="1496">
        <v>3347</v>
      </c>
      <c r="B334" s="1496"/>
      <c r="C334" s="1497" t="s">
        <v>100</v>
      </c>
      <c r="D334" s="1498"/>
      <c r="E334" s="1499"/>
      <c r="F334" s="778">
        <f>'3c.m.'!D664</f>
        <v>2756</v>
      </c>
    </row>
    <row r="335" spans="1:6" ht="15">
      <c r="A335" s="1496">
        <v>3350</v>
      </c>
      <c r="B335" s="1496"/>
      <c r="C335" s="1497" t="s">
        <v>1000</v>
      </c>
      <c r="D335" s="1498"/>
      <c r="E335" s="1499"/>
      <c r="F335" s="781">
        <f>'3c.m.'!D688</f>
        <v>6689</v>
      </c>
    </row>
    <row r="336" spans="1:6" ht="13.15" customHeight="1">
      <c r="A336" s="1500" t="s">
        <v>1001</v>
      </c>
      <c r="B336" s="1501" t="s">
        <v>1002</v>
      </c>
      <c r="C336" s="1501"/>
      <c r="D336" s="1501"/>
      <c r="E336" s="1501"/>
      <c r="F336" s="1524">
        <f>SUM(F339)</f>
        <v>300</v>
      </c>
    </row>
    <row r="337" spans="1:6" ht="13.15" customHeight="1">
      <c r="A337" s="1500"/>
      <c r="B337" s="1501"/>
      <c r="C337" s="1501"/>
      <c r="D337" s="1501"/>
      <c r="E337" s="1501"/>
      <c r="F337" s="1525"/>
    </row>
    <row r="338" spans="1:6" ht="13.15" customHeight="1">
      <c r="A338" s="1500"/>
      <c r="B338" s="1501"/>
      <c r="C338" s="1501"/>
      <c r="D338" s="1501"/>
      <c r="E338" s="1501"/>
      <c r="F338" s="1526"/>
    </row>
    <row r="339" spans="1:6" ht="15">
      <c r="A339" s="1496">
        <v>3345</v>
      </c>
      <c r="B339" s="1496"/>
      <c r="C339" s="1497" t="s">
        <v>1003</v>
      </c>
      <c r="D339" s="1498"/>
      <c r="E339" s="1499"/>
      <c r="F339" s="778">
        <f>'3c.m.'!D648</f>
        <v>300</v>
      </c>
    </row>
    <row r="340" spans="1:6" ht="13.15" customHeight="1">
      <c r="A340" s="1500" t="s">
        <v>1004</v>
      </c>
      <c r="B340" s="1501" t="s">
        <v>1005</v>
      </c>
      <c r="C340" s="1501"/>
      <c r="D340" s="1501"/>
      <c r="E340" s="1501"/>
      <c r="F340" s="1524">
        <f>SUM(F343:F344)</f>
        <v>1114527</v>
      </c>
    </row>
    <row r="341" spans="1:6" ht="13.15" customHeight="1">
      <c r="A341" s="1500"/>
      <c r="B341" s="1501"/>
      <c r="C341" s="1501"/>
      <c r="D341" s="1501"/>
      <c r="E341" s="1501"/>
      <c r="F341" s="1525"/>
    </row>
    <row r="342" spans="1:6" ht="13.15" customHeight="1">
      <c r="A342" s="1500"/>
      <c r="B342" s="1501"/>
      <c r="C342" s="1501"/>
      <c r="D342" s="1501"/>
      <c r="E342" s="1501"/>
      <c r="F342" s="1526"/>
    </row>
    <row r="343" spans="1:6" ht="20.25" customHeight="1">
      <c r="A343" s="1496">
        <v>5070</v>
      </c>
      <c r="B343" s="1496"/>
      <c r="C343" s="1532" t="s">
        <v>532</v>
      </c>
      <c r="D343" s="1533"/>
      <c r="E343" s="1534"/>
      <c r="F343" s="787">
        <f>'5.mell. '!D44</f>
        <v>10950</v>
      </c>
    </row>
    <row r="344" spans="1:6" ht="15">
      <c r="A344" s="1496">
        <v>2875</v>
      </c>
      <c r="B344" s="1496"/>
      <c r="C344" s="1497" t="s">
        <v>273</v>
      </c>
      <c r="D344" s="1498"/>
      <c r="E344" s="1499"/>
      <c r="F344" s="778">
        <v>1103577</v>
      </c>
    </row>
    <row r="345" spans="1:6" ht="13.15" customHeight="1">
      <c r="A345" s="1500" t="s">
        <v>1006</v>
      </c>
      <c r="B345" s="1501" t="s">
        <v>1007</v>
      </c>
      <c r="C345" s="1501"/>
      <c r="D345" s="1501"/>
      <c r="E345" s="1501"/>
      <c r="F345" s="1524">
        <f>SUM(F348)</f>
        <v>10447</v>
      </c>
    </row>
    <row r="346" spans="1:6" ht="13.15" customHeight="1">
      <c r="A346" s="1500"/>
      <c r="B346" s="1501"/>
      <c r="C346" s="1501"/>
      <c r="D346" s="1501"/>
      <c r="E346" s="1501"/>
      <c r="F346" s="1525"/>
    </row>
    <row r="347" spans="1:6" ht="13.15" customHeight="1">
      <c r="A347" s="1500"/>
      <c r="B347" s="1501"/>
      <c r="C347" s="1501"/>
      <c r="D347" s="1501"/>
      <c r="E347" s="1501"/>
      <c r="F347" s="1526"/>
    </row>
    <row r="348" spans="1:6" ht="15">
      <c r="A348" s="1496">
        <v>3355</v>
      </c>
      <c r="B348" s="1496"/>
      <c r="C348" s="1497" t="s">
        <v>31</v>
      </c>
      <c r="D348" s="1498"/>
      <c r="E348" s="1499"/>
      <c r="F348" s="778">
        <f>'3c.m.'!D714</f>
        <v>10447</v>
      </c>
    </row>
    <row r="349" spans="1:6" ht="12.6" customHeight="1">
      <c r="A349" s="1500" t="s">
        <v>1008</v>
      </c>
      <c r="B349" s="1501" t="s">
        <v>1009</v>
      </c>
      <c r="C349" s="1501"/>
      <c r="D349" s="1501"/>
      <c r="E349" s="1501"/>
      <c r="F349" s="1524">
        <f>SUM(F352)</f>
        <v>720537</v>
      </c>
    </row>
    <row r="350" spans="1:6" ht="12.6" customHeight="1">
      <c r="A350" s="1500"/>
      <c r="B350" s="1501"/>
      <c r="C350" s="1501"/>
      <c r="D350" s="1501"/>
      <c r="E350" s="1501"/>
      <c r="F350" s="1525"/>
    </row>
    <row r="351" spans="1:6" ht="12.6" customHeight="1">
      <c r="A351" s="1500"/>
      <c r="B351" s="1501"/>
      <c r="C351" s="1501"/>
      <c r="D351" s="1501"/>
      <c r="E351" s="1501"/>
      <c r="F351" s="1526"/>
    </row>
    <row r="352" spans="1:6" ht="15">
      <c r="A352" s="1496">
        <v>2850</v>
      </c>
      <c r="B352" s="1496"/>
      <c r="C352" s="1497" t="s">
        <v>1010</v>
      </c>
      <c r="D352" s="1498"/>
      <c r="E352" s="1499"/>
      <c r="F352" s="778">
        <f>709904+8401+2232</f>
        <v>720537</v>
      </c>
    </row>
    <row r="353" spans="1:6" ht="13.15" customHeight="1">
      <c r="A353" s="1500" t="s">
        <v>1011</v>
      </c>
      <c r="B353" s="1501" t="s">
        <v>1012</v>
      </c>
      <c r="C353" s="1501"/>
      <c r="D353" s="1501"/>
      <c r="E353" s="1501"/>
      <c r="F353" s="1524">
        <f>SUM(F356:F356)</f>
        <v>34847</v>
      </c>
    </row>
    <row r="354" spans="1:6" ht="13.15" customHeight="1">
      <c r="A354" s="1500"/>
      <c r="B354" s="1501"/>
      <c r="C354" s="1501"/>
      <c r="D354" s="1501"/>
      <c r="E354" s="1501"/>
      <c r="F354" s="1525"/>
    </row>
    <row r="355" spans="1:6" ht="13.15" customHeight="1">
      <c r="A355" s="1500"/>
      <c r="B355" s="1501"/>
      <c r="C355" s="1501"/>
      <c r="D355" s="1501"/>
      <c r="E355" s="1501"/>
      <c r="F355" s="1526"/>
    </row>
    <row r="356" spans="1:6" ht="15">
      <c r="A356" s="1496">
        <v>2850</v>
      </c>
      <c r="B356" s="1496"/>
      <c r="C356" s="1497" t="s">
        <v>1010</v>
      </c>
      <c r="D356" s="1498"/>
      <c r="E356" s="1499"/>
      <c r="F356" s="778">
        <v>34847</v>
      </c>
    </row>
    <row r="357" spans="1:6" ht="13.15" customHeight="1">
      <c r="A357" s="1500" t="s">
        <v>1013</v>
      </c>
      <c r="B357" s="1501" t="s">
        <v>1014</v>
      </c>
      <c r="C357" s="1501"/>
      <c r="D357" s="1501"/>
      <c r="E357" s="1501"/>
      <c r="F357" s="1524">
        <f>SUM(F360)</f>
        <v>0</v>
      </c>
    </row>
    <row r="358" spans="1:6" ht="13.15" customHeight="1">
      <c r="A358" s="1500"/>
      <c r="B358" s="1501"/>
      <c r="C358" s="1501"/>
      <c r="D358" s="1501"/>
      <c r="E358" s="1501"/>
      <c r="F358" s="1525"/>
    </row>
    <row r="359" spans="1:6" ht="13.15" customHeight="1">
      <c r="A359" s="1500"/>
      <c r="B359" s="1501"/>
      <c r="C359" s="1501"/>
      <c r="D359" s="1501"/>
      <c r="E359" s="1501"/>
      <c r="F359" s="1526"/>
    </row>
    <row r="360" spans="1:6" ht="15">
      <c r="A360" s="1496">
        <v>2850</v>
      </c>
      <c r="B360" s="1496"/>
      <c r="C360" s="1497" t="s">
        <v>1010</v>
      </c>
      <c r="D360" s="1498"/>
      <c r="E360" s="1499"/>
      <c r="F360" s="778"/>
    </row>
    <row r="361" spans="1:6" ht="13.15" customHeight="1">
      <c r="A361" s="1500" t="s">
        <v>1015</v>
      </c>
      <c r="B361" s="1501" t="s">
        <v>1016</v>
      </c>
      <c r="C361" s="1501"/>
      <c r="D361" s="1501"/>
      <c r="E361" s="1501"/>
      <c r="F361" s="1524">
        <f>SUM(F364:F367)</f>
        <v>8063</v>
      </c>
    </row>
    <row r="362" spans="1:6" ht="13.15" customHeight="1">
      <c r="A362" s="1500"/>
      <c r="B362" s="1501"/>
      <c r="C362" s="1501"/>
      <c r="D362" s="1501"/>
      <c r="E362" s="1501"/>
      <c r="F362" s="1525"/>
    </row>
    <row r="363" spans="1:6" ht="13.15" customHeight="1">
      <c r="A363" s="1500"/>
      <c r="B363" s="1501"/>
      <c r="C363" s="1501"/>
      <c r="D363" s="1501"/>
      <c r="E363" s="1501"/>
      <c r="F363" s="1526"/>
    </row>
    <row r="364" spans="1:6" ht="15">
      <c r="A364" s="1496">
        <v>3307</v>
      </c>
      <c r="B364" s="1496"/>
      <c r="C364" s="1497" t="s">
        <v>173</v>
      </c>
      <c r="D364" s="1498"/>
      <c r="E364" s="1499"/>
      <c r="F364" s="778">
        <f>'3c.m.'!D477</f>
        <v>3063</v>
      </c>
    </row>
    <row r="365" spans="1:6" ht="15" hidden="1">
      <c r="A365" s="1496">
        <v>3319</v>
      </c>
      <c r="B365" s="1496"/>
      <c r="C365" s="1497" t="s">
        <v>1017</v>
      </c>
      <c r="D365" s="1498"/>
      <c r="E365" s="1499"/>
      <c r="F365" s="778"/>
    </row>
    <row r="366" spans="1:6" ht="15" hidden="1">
      <c r="A366" s="1496">
        <v>3320</v>
      </c>
      <c r="B366" s="1496"/>
      <c r="C366" s="1497" t="s">
        <v>8</v>
      </c>
      <c r="D366" s="1498"/>
      <c r="E366" s="1499"/>
      <c r="F366" s="778"/>
    </row>
    <row r="367" spans="1:6" ht="15">
      <c r="A367" s="1502">
        <v>3323</v>
      </c>
      <c r="B367" s="1503"/>
      <c r="C367" s="1497" t="s">
        <v>317</v>
      </c>
      <c r="D367" s="1498"/>
      <c r="E367" s="1499"/>
      <c r="F367" s="778">
        <f>'3c.m.'!D566</f>
        <v>5000</v>
      </c>
    </row>
    <row r="368" spans="1:6" ht="13.15" customHeight="1">
      <c r="A368" s="1500" t="s">
        <v>1018</v>
      </c>
      <c r="B368" s="1501" t="s">
        <v>1019</v>
      </c>
      <c r="C368" s="1501"/>
      <c r="D368" s="1501"/>
      <c r="E368" s="1501"/>
      <c r="F368" s="1524">
        <f>SUM(F371:F377)</f>
        <v>44386</v>
      </c>
    </row>
    <row r="369" spans="1:6" ht="13.15" customHeight="1">
      <c r="A369" s="1500"/>
      <c r="B369" s="1501"/>
      <c r="C369" s="1501"/>
      <c r="D369" s="1501"/>
      <c r="E369" s="1501"/>
      <c r="F369" s="1525"/>
    </row>
    <row r="370" spans="1:6" ht="12" customHeight="1">
      <c r="A370" s="1500"/>
      <c r="B370" s="1501"/>
      <c r="C370" s="1501"/>
      <c r="D370" s="1501"/>
      <c r="E370" s="1501"/>
      <c r="F370" s="1526"/>
    </row>
    <row r="371" spans="1:6" ht="0.75" customHeight="1" hidden="1">
      <c r="A371" s="1496">
        <v>3305</v>
      </c>
      <c r="B371" s="1496"/>
      <c r="C371" s="1497" t="s">
        <v>172</v>
      </c>
      <c r="D371" s="1498"/>
      <c r="E371" s="1499"/>
      <c r="F371" s="778"/>
    </row>
    <row r="372" spans="1:6" ht="13.5" customHeight="1">
      <c r="A372" s="1496">
        <v>3309</v>
      </c>
      <c r="B372" s="1496"/>
      <c r="C372" s="999" t="s">
        <v>527</v>
      </c>
      <c r="D372" s="1000"/>
      <c r="E372" s="1001"/>
      <c r="F372" s="778">
        <f>'3c.m.'!D485</f>
        <v>28881</v>
      </c>
    </row>
    <row r="373" spans="1:6" ht="0.75" customHeight="1" hidden="1">
      <c r="A373" s="1496">
        <v>3310</v>
      </c>
      <c r="B373" s="1496"/>
      <c r="C373" s="1497" t="s">
        <v>347</v>
      </c>
      <c r="D373" s="1498"/>
      <c r="E373" s="1499"/>
      <c r="F373" s="778"/>
    </row>
    <row r="374" spans="1:6" ht="14.25" customHeight="1">
      <c r="A374" s="1496">
        <v>3311</v>
      </c>
      <c r="B374" s="1496"/>
      <c r="C374" s="1497" t="s">
        <v>114</v>
      </c>
      <c r="D374" s="1498"/>
      <c r="E374" s="1499"/>
      <c r="F374" s="778">
        <f>'3c.m.'!D501</f>
        <v>8005</v>
      </c>
    </row>
    <row r="375" spans="1:6" ht="15" hidden="1">
      <c r="A375" s="1496">
        <v>3315</v>
      </c>
      <c r="B375" s="1496"/>
      <c r="C375" s="1497" t="s">
        <v>11</v>
      </c>
      <c r="D375" s="1498"/>
      <c r="E375" s="1499"/>
      <c r="F375" s="778"/>
    </row>
    <row r="376" spans="1:6" ht="15">
      <c r="A376" s="1496">
        <v>3353</v>
      </c>
      <c r="B376" s="1496"/>
      <c r="C376" s="1497" t="s">
        <v>1119</v>
      </c>
      <c r="D376" s="1498"/>
      <c r="E376" s="1499"/>
      <c r="F376" s="778">
        <f>'3c.m.'!D706</f>
        <v>1500</v>
      </c>
    </row>
    <row r="377" spans="1:6" ht="15">
      <c r="A377" s="1496">
        <v>3316</v>
      </c>
      <c r="B377" s="1496"/>
      <c r="C377" s="1497" t="s">
        <v>115</v>
      </c>
      <c r="D377" s="1498"/>
      <c r="E377" s="1499"/>
      <c r="F377" s="778">
        <f>'3c.m.'!D533</f>
        <v>6000</v>
      </c>
    </row>
    <row r="378" spans="1:6" ht="13.15" customHeight="1">
      <c r="A378" s="1500" t="s">
        <v>1020</v>
      </c>
      <c r="B378" s="1501" t="s">
        <v>1021</v>
      </c>
      <c r="C378" s="1501"/>
      <c r="D378" s="1501"/>
      <c r="E378" s="1501"/>
      <c r="F378" s="1524">
        <f>SUM(F381:F381)</f>
        <v>0</v>
      </c>
    </row>
    <row r="379" spans="1:6" ht="13.15" customHeight="1">
      <c r="A379" s="1500"/>
      <c r="B379" s="1501"/>
      <c r="C379" s="1501"/>
      <c r="D379" s="1501"/>
      <c r="E379" s="1501"/>
      <c r="F379" s="1525"/>
    </row>
    <row r="380" spans="1:6" ht="13.15" customHeight="1">
      <c r="A380" s="1500"/>
      <c r="B380" s="1501"/>
      <c r="C380" s="1501"/>
      <c r="D380" s="1501"/>
      <c r="E380" s="1501"/>
      <c r="F380" s="1526"/>
    </row>
    <row r="381" spans="1:6" ht="15">
      <c r="A381" s="1496">
        <v>3343</v>
      </c>
      <c r="B381" s="1496"/>
      <c r="C381" s="1497" t="s">
        <v>1022</v>
      </c>
      <c r="D381" s="1498"/>
      <c r="E381" s="1499"/>
      <c r="F381" s="778">
        <v>0</v>
      </c>
    </row>
    <row r="382" spans="1:6" ht="12.6" customHeight="1">
      <c r="A382" s="1500" t="s">
        <v>1023</v>
      </c>
      <c r="B382" s="1501" t="s">
        <v>1024</v>
      </c>
      <c r="C382" s="1501"/>
      <c r="D382" s="1501"/>
      <c r="E382" s="1501"/>
      <c r="F382" s="1524">
        <f>SUM(F385:F385)</f>
        <v>3080</v>
      </c>
    </row>
    <row r="383" spans="1:6" ht="12.6" customHeight="1">
      <c r="A383" s="1500"/>
      <c r="B383" s="1501"/>
      <c r="C383" s="1501"/>
      <c r="D383" s="1501"/>
      <c r="E383" s="1501"/>
      <c r="F383" s="1525"/>
    </row>
    <row r="384" spans="1:6" ht="12.6" customHeight="1">
      <c r="A384" s="1500"/>
      <c r="B384" s="1501"/>
      <c r="C384" s="1501"/>
      <c r="D384" s="1501"/>
      <c r="E384" s="1501"/>
      <c r="F384" s="1526"/>
    </row>
    <row r="385" spans="1:6" ht="15">
      <c r="A385" s="1496">
        <v>3344</v>
      </c>
      <c r="B385" s="1496"/>
      <c r="C385" s="1497" t="s">
        <v>241</v>
      </c>
      <c r="D385" s="1498"/>
      <c r="E385" s="1499"/>
      <c r="F385" s="778">
        <f>'3c.m.'!D640</f>
        <v>3080</v>
      </c>
    </row>
    <row r="386" spans="1:6" ht="13.15" customHeight="1">
      <c r="A386" s="1500" t="s">
        <v>1025</v>
      </c>
      <c r="B386" s="1501" t="s">
        <v>1026</v>
      </c>
      <c r="C386" s="1501"/>
      <c r="D386" s="1501"/>
      <c r="E386" s="1501"/>
      <c r="F386" s="1524">
        <f>SUM(F389:F389)</f>
        <v>5104</v>
      </c>
    </row>
    <row r="387" spans="1:6" ht="13.15" customHeight="1">
      <c r="A387" s="1500"/>
      <c r="B387" s="1501"/>
      <c r="C387" s="1501"/>
      <c r="D387" s="1501"/>
      <c r="E387" s="1501"/>
      <c r="F387" s="1525"/>
    </row>
    <row r="388" spans="1:6" ht="13.15" customHeight="1">
      <c r="A388" s="1500"/>
      <c r="B388" s="1501"/>
      <c r="C388" s="1501"/>
      <c r="D388" s="1501"/>
      <c r="E388" s="1501"/>
      <c r="F388" s="1526"/>
    </row>
    <row r="389" spans="1:6" ht="15">
      <c r="A389" s="1496">
        <v>3346</v>
      </c>
      <c r="B389" s="1496"/>
      <c r="C389" s="1497" t="s">
        <v>99</v>
      </c>
      <c r="D389" s="1498"/>
      <c r="E389" s="1499"/>
      <c r="F389" s="778">
        <f>'3c.m.'!D656</f>
        <v>5104</v>
      </c>
    </row>
    <row r="390" spans="1:6" ht="13.15" customHeight="1">
      <c r="A390" s="1500" t="s">
        <v>1027</v>
      </c>
      <c r="B390" s="1501" t="s">
        <v>412</v>
      </c>
      <c r="C390" s="1501"/>
      <c r="D390" s="1501"/>
      <c r="E390" s="1501"/>
      <c r="F390" s="1524">
        <f>SUM(F393)</f>
        <v>5861</v>
      </c>
    </row>
    <row r="391" spans="1:6" ht="13.15" customHeight="1">
      <c r="A391" s="1500"/>
      <c r="B391" s="1501"/>
      <c r="C391" s="1501"/>
      <c r="D391" s="1501"/>
      <c r="E391" s="1501"/>
      <c r="F391" s="1525"/>
    </row>
    <row r="392" spans="1:6" ht="13.15" customHeight="1">
      <c r="A392" s="1500"/>
      <c r="B392" s="1501"/>
      <c r="C392" s="1501"/>
      <c r="D392" s="1501"/>
      <c r="E392" s="1501"/>
      <c r="F392" s="1526"/>
    </row>
    <row r="393" spans="1:6" ht="15">
      <c r="A393" s="1496">
        <v>3340</v>
      </c>
      <c r="B393" s="1496"/>
      <c r="C393" s="1497" t="s">
        <v>412</v>
      </c>
      <c r="D393" s="1498"/>
      <c r="E393" s="1499"/>
      <c r="F393" s="778">
        <f>'3c.m.'!D606</f>
        <v>5861</v>
      </c>
    </row>
    <row r="394" spans="1:6" ht="13.15" customHeight="1">
      <c r="A394" s="1500" t="s">
        <v>1028</v>
      </c>
      <c r="B394" s="1501" t="s">
        <v>1029</v>
      </c>
      <c r="C394" s="1501"/>
      <c r="D394" s="1501"/>
      <c r="E394" s="1501"/>
      <c r="F394" s="1524">
        <f>SUM(F397:F409)</f>
        <v>190197</v>
      </c>
    </row>
    <row r="395" spans="1:6" ht="13.15" customHeight="1">
      <c r="A395" s="1500"/>
      <c r="B395" s="1501"/>
      <c r="C395" s="1501"/>
      <c r="D395" s="1501"/>
      <c r="E395" s="1501"/>
      <c r="F395" s="1525"/>
    </row>
    <row r="396" spans="1:6" ht="13.15" customHeight="1">
      <c r="A396" s="1500"/>
      <c r="B396" s="1501"/>
      <c r="C396" s="1501"/>
      <c r="D396" s="1501"/>
      <c r="E396" s="1501"/>
      <c r="F396" s="1526"/>
    </row>
    <row r="397" spans="1:6" ht="15">
      <c r="A397" s="1496">
        <v>3081</v>
      </c>
      <c r="B397" s="1496"/>
      <c r="C397" s="1497" t="s">
        <v>120</v>
      </c>
      <c r="D397" s="1498"/>
      <c r="E397" s="1499"/>
      <c r="F397" s="778">
        <f>'3c.m.'!D95</f>
        <v>27818</v>
      </c>
    </row>
    <row r="398" spans="1:6" ht="15">
      <c r="A398" s="1496">
        <v>3144</v>
      </c>
      <c r="B398" s="1496"/>
      <c r="C398" s="1497" t="s">
        <v>335</v>
      </c>
      <c r="D398" s="1498"/>
      <c r="E398" s="1499"/>
      <c r="F398" s="778">
        <f>'3c.m.'!D206</f>
        <v>0</v>
      </c>
    </row>
    <row r="399" spans="1:6" ht="15">
      <c r="A399" s="1496">
        <v>3304</v>
      </c>
      <c r="B399" s="1496"/>
      <c r="C399" s="999" t="s">
        <v>1030</v>
      </c>
      <c r="D399" s="1000"/>
      <c r="E399" s="1001"/>
      <c r="F399" s="778">
        <f>'3c.m.'!D450</f>
        <v>2293</v>
      </c>
    </row>
    <row r="400" spans="1:6" ht="15">
      <c r="A400" s="1496">
        <v>3306</v>
      </c>
      <c r="B400" s="1496"/>
      <c r="C400" s="1497" t="s">
        <v>1088</v>
      </c>
      <c r="D400" s="1498"/>
      <c r="E400" s="1499"/>
      <c r="F400" s="778">
        <f>'3c.m.'!D468</f>
        <v>16054</v>
      </c>
    </row>
    <row r="401" spans="1:6" ht="15">
      <c r="A401" s="1496">
        <v>3312</v>
      </c>
      <c r="B401" s="1496"/>
      <c r="C401" s="1497" t="s">
        <v>334</v>
      </c>
      <c r="D401" s="1498"/>
      <c r="E401" s="1499"/>
      <c r="F401" s="778">
        <f>'3c.m.'!D509</f>
        <v>35958</v>
      </c>
    </row>
    <row r="402" spans="1:6" ht="15">
      <c r="A402" s="1496">
        <v>3313</v>
      </c>
      <c r="B402" s="1496"/>
      <c r="C402" s="1497" t="s">
        <v>10</v>
      </c>
      <c r="D402" s="1498"/>
      <c r="E402" s="1499"/>
      <c r="F402" s="778">
        <f>'3c.m.'!D517</f>
        <v>5170</v>
      </c>
    </row>
    <row r="403" spans="1:6" ht="15">
      <c r="A403" s="1496">
        <v>3317</v>
      </c>
      <c r="B403" s="1496"/>
      <c r="C403" s="1497" t="s">
        <v>1089</v>
      </c>
      <c r="D403" s="1498"/>
      <c r="E403" s="1499"/>
      <c r="F403" s="778">
        <f>'3c.m.'!D541</f>
        <v>50045</v>
      </c>
    </row>
    <row r="404" spans="1:6" ht="15" hidden="1">
      <c r="A404" s="1496">
        <v>3322</v>
      </c>
      <c r="B404" s="1496"/>
      <c r="C404" s="1497" t="s">
        <v>346</v>
      </c>
      <c r="D404" s="1498"/>
      <c r="E404" s="1499"/>
      <c r="F404" s="778"/>
    </row>
    <row r="405" spans="1:6" ht="15">
      <c r="A405" s="1496">
        <v>3325</v>
      </c>
      <c r="B405" s="1496"/>
      <c r="C405" s="999" t="s">
        <v>1090</v>
      </c>
      <c r="D405" s="1000"/>
      <c r="E405" s="1001"/>
      <c r="F405" s="778">
        <f>'3c.m.'!D574</f>
        <v>25635</v>
      </c>
    </row>
    <row r="406" spans="1:6" ht="15" hidden="1">
      <c r="A406" s="1496">
        <v>3326</v>
      </c>
      <c r="B406" s="1496"/>
      <c r="C406" s="999" t="s">
        <v>440</v>
      </c>
      <c r="D406" s="1000"/>
      <c r="E406" s="1001"/>
      <c r="F406" s="778"/>
    </row>
    <row r="407" spans="1:6" ht="15" hidden="1">
      <c r="A407" s="1496">
        <v>3327</v>
      </c>
      <c r="B407" s="1496"/>
      <c r="C407" s="999" t="s">
        <v>441</v>
      </c>
      <c r="D407" s="1000"/>
      <c r="E407" s="1001"/>
      <c r="F407" s="778"/>
    </row>
    <row r="408" spans="1:6" ht="15">
      <c r="A408" s="1496">
        <v>3352</v>
      </c>
      <c r="B408" s="1496"/>
      <c r="C408" s="1497" t="s">
        <v>801</v>
      </c>
      <c r="D408" s="1498"/>
      <c r="E408" s="1499"/>
      <c r="F408" s="778">
        <f>'3c.m.'!D697</f>
        <v>25724</v>
      </c>
    </row>
    <row r="409" spans="1:6" ht="15">
      <c r="A409" s="1496">
        <v>3943</v>
      </c>
      <c r="B409" s="1496"/>
      <c r="C409" s="1497" t="s">
        <v>6</v>
      </c>
      <c r="D409" s="1498"/>
      <c r="E409" s="1499"/>
      <c r="F409" s="778">
        <f>'3d.m.'!D29</f>
        <v>1500</v>
      </c>
    </row>
    <row r="410" spans="1:6" ht="12" customHeight="1">
      <c r="A410" s="1504" t="s">
        <v>1031</v>
      </c>
      <c r="B410" s="1507" t="s">
        <v>1032</v>
      </c>
      <c r="C410" s="1508"/>
      <c r="D410" s="1508"/>
      <c r="E410" s="1509"/>
      <c r="F410" s="1524">
        <f>SUM(F413)</f>
        <v>6250</v>
      </c>
    </row>
    <row r="411" spans="1:6" ht="12.6" customHeight="1">
      <c r="A411" s="1505"/>
      <c r="B411" s="1510"/>
      <c r="C411" s="1511"/>
      <c r="D411" s="1511"/>
      <c r="E411" s="1512"/>
      <c r="F411" s="1525"/>
    </row>
    <row r="412" spans="1:6" ht="12.6" customHeight="1">
      <c r="A412" s="1506"/>
      <c r="B412" s="1513"/>
      <c r="C412" s="1514"/>
      <c r="D412" s="1514"/>
      <c r="E412" s="1515"/>
      <c r="F412" s="1526"/>
    </row>
    <row r="413" spans="1:6" ht="15">
      <c r="A413" s="1496">
        <v>3202</v>
      </c>
      <c r="B413" s="1496"/>
      <c r="C413" s="1497" t="s">
        <v>1211</v>
      </c>
      <c r="D413" s="1498"/>
      <c r="E413" s="1499"/>
      <c r="F413" s="778">
        <f>'3c.m.'!D260</f>
        <v>6250</v>
      </c>
    </row>
    <row r="414" spans="1:6" ht="14.1" customHeight="1">
      <c r="A414" s="1504" t="s">
        <v>1033</v>
      </c>
      <c r="B414" s="1507" t="s">
        <v>1034</v>
      </c>
      <c r="C414" s="1508"/>
      <c r="D414" s="1508"/>
      <c r="E414" s="1509"/>
      <c r="F414" s="1524"/>
    </row>
    <row r="415" spans="1:6" ht="14.1" customHeight="1">
      <c r="A415" s="1505"/>
      <c r="B415" s="1510"/>
      <c r="C415" s="1511"/>
      <c r="D415" s="1511"/>
      <c r="E415" s="1512"/>
      <c r="F415" s="1527"/>
    </row>
    <row r="416" spans="1:6" ht="14.1" customHeight="1">
      <c r="A416" s="1506"/>
      <c r="B416" s="1513"/>
      <c r="C416" s="1514"/>
      <c r="D416" s="1514"/>
      <c r="E416" s="1515"/>
      <c r="F416" s="1528"/>
    </row>
    <row r="417" spans="1:6" ht="13.15" customHeight="1">
      <c r="A417" s="1504" t="s">
        <v>863</v>
      </c>
      <c r="B417" s="1507" t="s">
        <v>864</v>
      </c>
      <c r="C417" s="1508"/>
      <c r="D417" s="1508"/>
      <c r="E417" s="1509"/>
      <c r="F417" s="1524">
        <f>SUM(F420:F424)</f>
        <v>433163</v>
      </c>
    </row>
    <row r="418" spans="1:6" ht="13.15" customHeight="1">
      <c r="A418" s="1505"/>
      <c r="B418" s="1510"/>
      <c r="C418" s="1511"/>
      <c r="D418" s="1511"/>
      <c r="E418" s="1512"/>
      <c r="F418" s="1525"/>
    </row>
    <row r="419" spans="1:6" ht="13.15" customHeight="1">
      <c r="A419" s="1506"/>
      <c r="B419" s="1513"/>
      <c r="C419" s="1514"/>
      <c r="D419" s="1514"/>
      <c r="E419" s="1515"/>
      <c r="F419" s="1526"/>
    </row>
    <row r="420" spans="1:6" ht="15">
      <c r="A420" s="1496">
        <v>1843</v>
      </c>
      <c r="B420" s="1496"/>
      <c r="C420" s="1497" t="s">
        <v>1035</v>
      </c>
      <c r="D420" s="1498"/>
      <c r="E420" s="1499"/>
      <c r="F420" s="787">
        <f>'1c.mell '!D93</f>
        <v>100272</v>
      </c>
    </row>
    <row r="421" spans="1:6" ht="15">
      <c r="A421" s="1496">
        <v>1973</v>
      </c>
      <c r="B421" s="1496"/>
      <c r="C421" s="1497" t="s">
        <v>1056</v>
      </c>
      <c r="D421" s="1498"/>
      <c r="E421" s="1499"/>
      <c r="F421" s="787">
        <f>'1c.mell '!D136</f>
        <v>120591</v>
      </c>
    </row>
    <row r="422" spans="1:6" ht="15">
      <c r="A422" s="1496">
        <v>6136</v>
      </c>
      <c r="B422" s="1496"/>
      <c r="C422" s="999" t="s">
        <v>1285</v>
      </c>
      <c r="D422" s="1000"/>
      <c r="E422" s="1001"/>
      <c r="F422" s="787">
        <f>'6.mell. '!D18</f>
        <v>20000</v>
      </c>
    </row>
    <row r="423" spans="1:6" ht="15">
      <c r="A423" s="1496">
        <v>6137</v>
      </c>
      <c r="B423" s="1496"/>
      <c r="C423" s="1529" t="s">
        <v>1374</v>
      </c>
      <c r="D423" s="1530"/>
      <c r="E423" s="1531"/>
      <c r="F423" s="787">
        <f>200000-42700</f>
        <v>157300</v>
      </c>
    </row>
    <row r="424" spans="1:6" ht="15">
      <c r="A424" s="1496">
        <v>6110</v>
      </c>
      <c r="B424" s="1496"/>
      <c r="C424" s="1497" t="s">
        <v>1036</v>
      </c>
      <c r="D424" s="1498"/>
      <c r="E424" s="1499"/>
      <c r="F424" s="778">
        <f>'6.mell. '!D12</f>
        <v>35000</v>
      </c>
    </row>
    <row r="425" spans="1:6" ht="12.95" customHeight="1">
      <c r="A425" s="1516" t="s">
        <v>128</v>
      </c>
      <c r="B425" s="1517"/>
      <c r="C425" s="1517"/>
      <c r="D425" s="1517"/>
      <c r="E425" s="1518"/>
      <c r="F425" s="1522">
        <f>SUM(F417+F410+F394+F390+F386+F382+F378+F368+F361+F349+F345+F340+F336+F329+F325+F321+F315+F307+F303+F298+F294+F289+F283+F276+F272+F257+F253+F244+F237+F213+F202+F198+F193+F189+F185+F179+F131+F127+F119+F115+F111+F107+F103+F99+F94+F87+F20+F5++F311+F209+F232+F228+F224+F220+F75+F83+F249+F353+F357+F414+F123+F79+F71)</f>
        <v>24964531</v>
      </c>
    </row>
    <row r="426" spans="1:6" ht="12.95" customHeight="1">
      <c r="A426" s="1519"/>
      <c r="B426" s="1520"/>
      <c r="C426" s="1520"/>
      <c r="D426" s="1520"/>
      <c r="E426" s="1521"/>
      <c r="F426" s="1523"/>
    </row>
  </sheetData>
  <mergeCells count="615">
    <mergeCell ref="A14:B14"/>
    <mergeCell ref="A15:B15"/>
    <mergeCell ref="A20:A22"/>
    <mergeCell ref="B20:E22"/>
    <mergeCell ref="A1:F1"/>
    <mergeCell ref="A2:F2"/>
    <mergeCell ref="A3:F3"/>
    <mergeCell ref="A5:A7"/>
    <mergeCell ref="B5:E7"/>
    <mergeCell ref="F5:F7"/>
    <mergeCell ref="A11:B11"/>
    <mergeCell ref="C11:E11"/>
    <mergeCell ref="A13:B13"/>
    <mergeCell ref="C13:E13"/>
    <mergeCell ref="A8:B8"/>
    <mergeCell ref="C8:E8"/>
    <mergeCell ref="A9:B9"/>
    <mergeCell ref="C9:E9"/>
    <mergeCell ref="A10:B10"/>
    <mergeCell ref="C10:E10"/>
    <mergeCell ref="A12:B12"/>
    <mergeCell ref="F20:F22"/>
    <mergeCell ref="A17:B17"/>
    <mergeCell ref="C17:E17"/>
    <mergeCell ref="A18:B18"/>
    <mergeCell ref="C18:E18"/>
    <mergeCell ref="A19:B19"/>
    <mergeCell ref="C19:E19"/>
    <mergeCell ref="A16:B16"/>
    <mergeCell ref="C16:E16"/>
    <mergeCell ref="A26:B26"/>
    <mergeCell ref="C26:E26"/>
    <mergeCell ref="A27:B27"/>
    <mergeCell ref="C27:E27"/>
    <mergeCell ref="A28:B28"/>
    <mergeCell ref="C28:E28"/>
    <mergeCell ref="A23:B23"/>
    <mergeCell ref="C23:E23"/>
    <mergeCell ref="A24:B24"/>
    <mergeCell ref="C24:E24"/>
    <mergeCell ref="A25:B25"/>
    <mergeCell ref="C25:E25"/>
    <mergeCell ref="A32:B32"/>
    <mergeCell ref="C32:E32"/>
    <mergeCell ref="A33:B33"/>
    <mergeCell ref="C33:E33"/>
    <mergeCell ref="A36:B36"/>
    <mergeCell ref="C36:E36"/>
    <mergeCell ref="A29:B29"/>
    <mergeCell ref="C29:E29"/>
    <mergeCell ref="A30:B30"/>
    <mergeCell ref="C30:E30"/>
    <mergeCell ref="A31:B31"/>
    <mergeCell ref="C31:E31"/>
    <mergeCell ref="A35:B35"/>
    <mergeCell ref="C35:E35"/>
    <mergeCell ref="A34:B34"/>
    <mergeCell ref="C34:E34"/>
    <mergeCell ref="A38:B38"/>
    <mergeCell ref="C38:E38"/>
    <mergeCell ref="A40:B40"/>
    <mergeCell ref="C40:E40"/>
    <mergeCell ref="A45:B45"/>
    <mergeCell ref="C45:E45"/>
    <mergeCell ref="A37:B37"/>
    <mergeCell ref="C37:E37"/>
    <mergeCell ref="A39:B39"/>
    <mergeCell ref="A41:B41"/>
    <mergeCell ref="C41:E41"/>
    <mergeCell ref="A49:B49"/>
    <mergeCell ref="A54:B54"/>
    <mergeCell ref="A57:B57"/>
    <mergeCell ref="C57:E57"/>
    <mergeCell ref="A46:B46"/>
    <mergeCell ref="C46:E46"/>
    <mergeCell ref="A47:B47"/>
    <mergeCell ref="C47:E47"/>
    <mergeCell ref="A48:B48"/>
    <mergeCell ref="C48:E48"/>
    <mergeCell ref="A50:B50"/>
    <mergeCell ref="A51:B51"/>
    <mergeCell ref="A52:B52"/>
    <mergeCell ref="A55:B55"/>
    <mergeCell ref="A53:B53"/>
    <mergeCell ref="C52:E52"/>
    <mergeCell ref="C53:E53"/>
    <mergeCell ref="C54:E54"/>
    <mergeCell ref="C55:E55"/>
    <mergeCell ref="A56:B56"/>
    <mergeCell ref="C56:E56"/>
    <mergeCell ref="A61:B61"/>
    <mergeCell ref="C61:E61"/>
    <mergeCell ref="A62:B62"/>
    <mergeCell ref="C62:E62"/>
    <mergeCell ref="A63:B63"/>
    <mergeCell ref="C63:E63"/>
    <mergeCell ref="A68:B68"/>
    <mergeCell ref="A69:B69"/>
    <mergeCell ref="A67:B67"/>
    <mergeCell ref="A65:B65"/>
    <mergeCell ref="C65:E65"/>
    <mergeCell ref="A78:B78"/>
    <mergeCell ref="C78:E78"/>
    <mergeCell ref="A79:A81"/>
    <mergeCell ref="B79:E81"/>
    <mergeCell ref="F79:F81"/>
    <mergeCell ref="A82:B82"/>
    <mergeCell ref="C82:E82"/>
    <mergeCell ref="A66:B66"/>
    <mergeCell ref="A70:B70"/>
    <mergeCell ref="C70:E70"/>
    <mergeCell ref="A75:A77"/>
    <mergeCell ref="B75:E77"/>
    <mergeCell ref="F75:F77"/>
    <mergeCell ref="A71:A73"/>
    <mergeCell ref="B71:E73"/>
    <mergeCell ref="F71:F73"/>
    <mergeCell ref="A74:B74"/>
    <mergeCell ref="C74:E74"/>
    <mergeCell ref="A87:A89"/>
    <mergeCell ref="B87:E89"/>
    <mergeCell ref="F87:F89"/>
    <mergeCell ref="A90:B90"/>
    <mergeCell ref="C90:E90"/>
    <mergeCell ref="A93:B93"/>
    <mergeCell ref="C93:E93"/>
    <mergeCell ref="A83:A85"/>
    <mergeCell ref="B83:E85"/>
    <mergeCell ref="F83:F85"/>
    <mergeCell ref="A86:B86"/>
    <mergeCell ref="C86:E86"/>
    <mergeCell ref="A91:B91"/>
    <mergeCell ref="A92:B92"/>
    <mergeCell ref="C92:E92"/>
    <mergeCell ref="A99:A101"/>
    <mergeCell ref="B99:E101"/>
    <mergeCell ref="F99:F101"/>
    <mergeCell ref="A102:B102"/>
    <mergeCell ref="C102:E102"/>
    <mergeCell ref="A103:A105"/>
    <mergeCell ref="B103:E105"/>
    <mergeCell ref="F103:F105"/>
    <mergeCell ref="A94:A96"/>
    <mergeCell ref="B94:E96"/>
    <mergeCell ref="F94:F96"/>
    <mergeCell ref="A97:B97"/>
    <mergeCell ref="C97:E97"/>
    <mergeCell ref="A98:B98"/>
    <mergeCell ref="A111:A113"/>
    <mergeCell ref="B111:E113"/>
    <mergeCell ref="F111:F113"/>
    <mergeCell ref="A114:B114"/>
    <mergeCell ref="C114:E114"/>
    <mergeCell ref="A115:A117"/>
    <mergeCell ref="B115:E117"/>
    <mergeCell ref="F115:F117"/>
    <mergeCell ref="A106:B106"/>
    <mergeCell ref="C106:E106"/>
    <mergeCell ref="A107:A109"/>
    <mergeCell ref="B107:E109"/>
    <mergeCell ref="F107:F109"/>
    <mergeCell ref="A110:B110"/>
    <mergeCell ref="C110:E110"/>
    <mergeCell ref="A123:A125"/>
    <mergeCell ref="B123:E125"/>
    <mergeCell ref="F123:F125"/>
    <mergeCell ref="A126:B126"/>
    <mergeCell ref="C126:E126"/>
    <mergeCell ref="A127:A129"/>
    <mergeCell ref="B127:E129"/>
    <mergeCell ref="F127:F129"/>
    <mergeCell ref="A118:B118"/>
    <mergeCell ref="C118:E118"/>
    <mergeCell ref="A119:A121"/>
    <mergeCell ref="B119:E121"/>
    <mergeCell ref="F119:F121"/>
    <mergeCell ref="A122:B122"/>
    <mergeCell ref="C122:E122"/>
    <mergeCell ref="A130:B130"/>
    <mergeCell ref="C130:E130"/>
    <mergeCell ref="A131:A133"/>
    <mergeCell ref="B131:E133"/>
    <mergeCell ref="A138:B138"/>
    <mergeCell ref="A139:B139"/>
    <mergeCell ref="A136:B136"/>
    <mergeCell ref="C136:E136"/>
    <mergeCell ref="F131:F133"/>
    <mergeCell ref="A134:B134"/>
    <mergeCell ref="C134:E134"/>
    <mergeCell ref="A135:B135"/>
    <mergeCell ref="C135:E135"/>
    <mergeCell ref="A142:B142"/>
    <mergeCell ref="A143:B143"/>
    <mergeCell ref="C143:E143"/>
    <mergeCell ref="A144:B144"/>
    <mergeCell ref="C144:E144"/>
    <mergeCell ref="A145:B145"/>
    <mergeCell ref="A151:B151"/>
    <mergeCell ref="C151:E151"/>
    <mergeCell ref="A137:B137"/>
    <mergeCell ref="C137:E137"/>
    <mergeCell ref="A140:B140"/>
    <mergeCell ref="C140:E140"/>
    <mergeCell ref="A141:B141"/>
    <mergeCell ref="C141:E141"/>
    <mergeCell ref="A153:B153"/>
    <mergeCell ref="C153:E153"/>
    <mergeCell ref="A147:B147"/>
    <mergeCell ref="C147:E147"/>
    <mergeCell ref="A149:B149"/>
    <mergeCell ref="C149:E149"/>
    <mergeCell ref="A150:B150"/>
    <mergeCell ref="C150:E150"/>
    <mergeCell ref="A146:B146"/>
    <mergeCell ref="C146:E146"/>
    <mergeCell ref="A148:B148"/>
    <mergeCell ref="C148:E148"/>
    <mergeCell ref="A163:B163"/>
    <mergeCell ref="C163:E163"/>
    <mergeCell ref="A165:B165"/>
    <mergeCell ref="C165:E165"/>
    <mergeCell ref="A166:B166"/>
    <mergeCell ref="C166:E166"/>
    <mergeCell ref="A167:B167"/>
    <mergeCell ref="A155:B155"/>
    <mergeCell ref="C155:E155"/>
    <mergeCell ref="A157:B157"/>
    <mergeCell ref="A158:B158"/>
    <mergeCell ref="A162:B162"/>
    <mergeCell ref="C162:E162"/>
    <mergeCell ref="A159:B159"/>
    <mergeCell ref="A164:B164"/>
    <mergeCell ref="C164:E164"/>
    <mergeCell ref="C159:E159"/>
    <mergeCell ref="A160:B160"/>
    <mergeCell ref="C160:E160"/>
    <mergeCell ref="A161:B161"/>
    <mergeCell ref="C161:E161"/>
    <mergeCell ref="F179:F181"/>
    <mergeCell ref="A182:B182"/>
    <mergeCell ref="C182:E182"/>
    <mergeCell ref="A183:B183"/>
    <mergeCell ref="C183:E183"/>
    <mergeCell ref="A168:B168"/>
    <mergeCell ref="A169:B169"/>
    <mergeCell ref="A171:B171"/>
    <mergeCell ref="A172:B172"/>
    <mergeCell ref="C172:E172"/>
    <mergeCell ref="A173:B173"/>
    <mergeCell ref="A174:B174"/>
    <mergeCell ref="A170:B170"/>
    <mergeCell ref="A175:B175"/>
    <mergeCell ref="A176:B176"/>
    <mergeCell ref="C175:E175"/>
    <mergeCell ref="C176:E176"/>
    <mergeCell ref="F189:F191"/>
    <mergeCell ref="A192:B192"/>
    <mergeCell ref="C192:E192"/>
    <mergeCell ref="A193:A195"/>
    <mergeCell ref="B193:E195"/>
    <mergeCell ref="F193:F195"/>
    <mergeCell ref="A197:B197"/>
    <mergeCell ref="C197:E197"/>
    <mergeCell ref="F185:F187"/>
    <mergeCell ref="A188:B188"/>
    <mergeCell ref="C188:E188"/>
    <mergeCell ref="A196:B196"/>
    <mergeCell ref="C196:E196"/>
    <mergeCell ref="A202:A204"/>
    <mergeCell ref="B202:E204"/>
    <mergeCell ref="F202:F204"/>
    <mergeCell ref="A206:B206"/>
    <mergeCell ref="C206:E206"/>
    <mergeCell ref="A207:B207"/>
    <mergeCell ref="C207:E207"/>
    <mergeCell ref="F198:F200"/>
    <mergeCell ref="A201:B201"/>
    <mergeCell ref="C201:E201"/>
    <mergeCell ref="A198:A200"/>
    <mergeCell ref="B198:E200"/>
    <mergeCell ref="A212:B212"/>
    <mergeCell ref="C212:E212"/>
    <mergeCell ref="A213:A215"/>
    <mergeCell ref="B213:E215"/>
    <mergeCell ref="F213:F215"/>
    <mergeCell ref="A208:B208"/>
    <mergeCell ref="C208:E208"/>
    <mergeCell ref="A209:A211"/>
    <mergeCell ref="B209:E211"/>
    <mergeCell ref="C227:E227"/>
    <mergeCell ref="A228:A230"/>
    <mergeCell ref="B228:E230"/>
    <mergeCell ref="F228:F230"/>
    <mergeCell ref="A219:B219"/>
    <mergeCell ref="C219:E219"/>
    <mergeCell ref="A220:A222"/>
    <mergeCell ref="B220:E222"/>
    <mergeCell ref="F220:F222"/>
    <mergeCell ref="A223:B223"/>
    <mergeCell ref="C223:E223"/>
    <mergeCell ref="A216:B216"/>
    <mergeCell ref="C216:E216"/>
    <mergeCell ref="A217:B217"/>
    <mergeCell ref="C217:E217"/>
    <mergeCell ref="A218:B218"/>
    <mergeCell ref="C218:E218"/>
    <mergeCell ref="F209:F211"/>
    <mergeCell ref="F244:F246"/>
    <mergeCell ref="A236:B236"/>
    <mergeCell ref="C236:E236"/>
    <mergeCell ref="A237:A239"/>
    <mergeCell ref="B237:E239"/>
    <mergeCell ref="F237:F239"/>
    <mergeCell ref="A231:B231"/>
    <mergeCell ref="C231:E231"/>
    <mergeCell ref="A232:A234"/>
    <mergeCell ref="B232:E234"/>
    <mergeCell ref="F232:F234"/>
    <mergeCell ref="A235:B235"/>
    <mergeCell ref="C235:E235"/>
    <mergeCell ref="A224:A226"/>
    <mergeCell ref="B224:E226"/>
    <mergeCell ref="F224:F226"/>
    <mergeCell ref="A227:B227"/>
    <mergeCell ref="A247:B247"/>
    <mergeCell ref="C247:E247"/>
    <mergeCell ref="A248:B248"/>
    <mergeCell ref="C248:E248"/>
    <mergeCell ref="A249:A251"/>
    <mergeCell ref="B249:E251"/>
    <mergeCell ref="A240:B240"/>
    <mergeCell ref="A242:B242"/>
    <mergeCell ref="C242:E242"/>
    <mergeCell ref="A244:A246"/>
    <mergeCell ref="B244:E246"/>
    <mergeCell ref="A241:B241"/>
    <mergeCell ref="F257:F259"/>
    <mergeCell ref="A260:B260"/>
    <mergeCell ref="C260:E260"/>
    <mergeCell ref="F249:F251"/>
    <mergeCell ref="A252:B252"/>
    <mergeCell ref="C252:E252"/>
    <mergeCell ref="A253:A255"/>
    <mergeCell ref="B253:E255"/>
    <mergeCell ref="F253:F255"/>
    <mergeCell ref="A261:B261"/>
    <mergeCell ref="C261:E261"/>
    <mergeCell ref="A262:B262"/>
    <mergeCell ref="C262:E262"/>
    <mergeCell ref="A263:B263"/>
    <mergeCell ref="C263:E263"/>
    <mergeCell ref="A256:B256"/>
    <mergeCell ref="C256:E256"/>
    <mergeCell ref="A257:A259"/>
    <mergeCell ref="B257:E259"/>
    <mergeCell ref="A267:B267"/>
    <mergeCell ref="C267:E267"/>
    <mergeCell ref="A268:B268"/>
    <mergeCell ref="C268:E268"/>
    <mergeCell ref="A269:B269"/>
    <mergeCell ref="C269:E269"/>
    <mergeCell ref="A264:B264"/>
    <mergeCell ref="C264:E264"/>
    <mergeCell ref="A265:B265"/>
    <mergeCell ref="C265:E265"/>
    <mergeCell ref="A266:B266"/>
    <mergeCell ref="C266:E266"/>
    <mergeCell ref="F272:F274"/>
    <mergeCell ref="A275:B275"/>
    <mergeCell ref="C275:E275"/>
    <mergeCell ref="A270:B270"/>
    <mergeCell ref="C270:E270"/>
    <mergeCell ref="A271:B271"/>
    <mergeCell ref="C271:E271"/>
    <mergeCell ref="A272:A274"/>
    <mergeCell ref="B272:E274"/>
    <mergeCell ref="A281:B281"/>
    <mergeCell ref="C281:E281"/>
    <mergeCell ref="A282:B282"/>
    <mergeCell ref="C282:E282"/>
    <mergeCell ref="A283:A285"/>
    <mergeCell ref="B283:E285"/>
    <mergeCell ref="A276:A278"/>
    <mergeCell ref="B276:E278"/>
    <mergeCell ref="F276:F278"/>
    <mergeCell ref="A279:B279"/>
    <mergeCell ref="C279:E279"/>
    <mergeCell ref="A280:B280"/>
    <mergeCell ref="C280:E280"/>
    <mergeCell ref="A289:A291"/>
    <mergeCell ref="B289:E291"/>
    <mergeCell ref="F289:F291"/>
    <mergeCell ref="A292:B292"/>
    <mergeCell ref="C292:E292"/>
    <mergeCell ref="A294:A296"/>
    <mergeCell ref="B294:E296"/>
    <mergeCell ref="F294:F296"/>
    <mergeCell ref="F283:F285"/>
    <mergeCell ref="A286:B286"/>
    <mergeCell ref="C286:E286"/>
    <mergeCell ref="A287:B287"/>
    <mergeCell ref="C287:E287"/>
    <mergeCell ref="A288:B288"/>
    <mergeCell ref="C288:E288"/>
    <mergeCell ref="A302:B302"/>
    <mergeCell ref="C302:E302"/>
    <mergeCell ref="A303:A305"/>
    <mergeCell ref="B303:E305"/>
    <mergeCell ref="F303:F305"/>
    <mergeCell ref="A306:B306"/>
    <mergeCell ref="C306:E306"/>
    <mergeCell ref="A297:B297"/>
    <mergeCell ref="C297:E297"/>
    <mergeCell ref="A298:A300"/>
    <mergeCell ref="B298:E300"/>
    <mergeCell ref="F298:F300"/>
    <mergeCell ref="A301:B301"/>
    <mergeCell ref="C301:E301"/>
    <mergeCell ref="F315:F317"/>
    <mergeCell ref="A318:B318"/>
    <mergeCell ref="C318:E318"/>
    <mergeCell ref="A307:A309"/>
    <mergeCell ref="B307:E309"/>
    <mergeCell ref="F307:F309"/>
    <mergeCell ref="A310:B310"/>
    <mergeCell ref="C310:E310"/>
    <mergeCell ref="A311:A313"/>
    <mergeCell ref="B311:E313"/>
    <mergeCell ref="F311:F313"/>
    <mergeCell ref="A319:B319"/>
    <mergeCell ref="C319:E319"/>
    <mergeCell ref="A320:B320"/>
    <mergeCell ref="A321:A323"/>
    <mergeCell ref="B321:E323"/>
    <mergeCell ref="A314:B314"/>
    <mergeCell ref="C314:E314"/>
    <mergeCell ref="A315:A317"/>
    <mergeCell ref="B315:E317"/>
    <mergeCell ref="A328:B328"/>
    <mergeCell ref="C328:E328"/>
    <mergeCell ref="A329:A331"/>
    <mergeCell ref="B329:E331"/>
    <mergeCell ref="F329:F331"/>
    <mergeCell ref="A332:B332"/>
    <mergeCell ref="C332:E332"/>
    <mergeCell ref="F321:F323"/>
    <mergeCell ref="A324:B324"/>
    <mergeCell ref="C324:E324"/>
    <mergeCell ref="A325:A327"/>
    <mergeCell ref="B325:E327"/>
    <mergeCell ref="F325:F327"/>
    <mergeCell ref="A336:A338"/>
    <mergeCell ref="B336:E338"/>
    <mergeCell ref="F336:F338"/>
    <mergeCell ref="A339:B339"/>
    <mergeCell ref="C339:E339"/>
    <mergeCell ref="A340:A342"/>
    <mergeCell ref="B340:E342"/>
    <mergeCell ref="F340:F342"/>
    <mergeCell ref="A333:B333"/>
    <mergeCell ref="C333:E333"/>
    <mergeCell ref="A334:B334"/>
    <mergeCell ref="C334:E334"/>
    <mergeCell ref="A335:B335"/>
    <mergeCell ref="C335:E335"/>
    <mergeCell ref="A349:A351"/>
    <mergeCell ref="B349:E351"/>
    <mergeCell ref="F349:F351"/>
    <mergeCell ref="A352:B352"/>
    <mergeCell ref="C352:E352"/>
    <mergeCell ref="A353:A355"/>
    <mergeCell ref="B353:E355"/>
    <mergeCell ref="F353:F355"/>
    <mergeCell ref="A344:B344"/>
    <mergeCell ref="C344:E344"/>
    <mergeCell ref="A345:A347"/>
    <mergeCell ref="B345:E347"/>
    <mergeCell ref="F345:F347"/>
    <mergeCell ref="A348:B348"/>
    <mergeCell ref="C348:E348"/>
    <mergeCell ref="B361:E363"/>
    <mergeCell ref="F361:F363"/>
    <mergeCell ref="A364:B364"/>
    <mergeCell ref="C364:E364"/>
    <mergeCell ref="A365:B365"/>
    <mergeCell ref="C365:E365"/>
    <mergeCell ref="A356:B356"/>
    <mergeCell ref="C356:E356"/>
    <mergeCell ref="A357:A359"/>
    <mergeCell ref="B357:E359"/>
    <mergeCell ref="F357:F359"/>
    <mergeCell ref="A360:B360"/>
    <mergeCell ref="C360:E360"/>
    <mergeCell ref="F368:F370"/>
    <mergeCell ref="A371:B371"/>
    <mergeCell ref="C371:E371"/>
    <mergeCell ref="A373:B373"/>
    <mergeCell ref="C373:E373"/>
    <mergeCell ref="A374:B374"/>
    <mergeCell ref="C374:E374"/>
    <mergeCell ref="A366:B366"/>
    <mergeCell ref="C366:E366"/>
    <mergeCell ref="A367:B367"/>
    <mergeCell ref="C367:E367"/>
    <mergeCell ref="A368:A370"/>
    <mergeCell ref="B368:E370"/>
    <mergeCell ref="A372:B372"/>
    <mergeCell ref="F378:F380"/>
    <mergeCell ref="A381:B381"/>
    <mergeCell ref="C381:E381"/>
    <mergeCell ref="A382:A384"/>
    <mergeCell ref="B382:E384"/>
    <mergeCell ref="F382:F384"/>
    <mergeCell ref="A375:B375"/>
    <mergeCell ref="C375:E375"/>
    <mergeCell ref="A377:B377"/>
    <mergeCell ref="C377:E377"/>
    <mergeCell ref="A378:A380"/>
    <mergeCell ref="B378:E380"/>
    <mergeCell ref="F390:F392"/>
    <mergeCell ref="A393:B393"/>
    <mergeCell ref="C393:E393"/>
    <mergeCell ref="A394:A396"/>
    <mergeCell ref="B394:E396"/>
    <mergeCell ref="F394:F396"/>
    <mergeCell ref="A385:B385"/>
    <mergeCell ref="C385:E385"/>
    <mergeCell ref="A386:A388"/>
    <mergeCell ref="B386:E388"/>
    <mergeCell ref="F386:F388"/>
    <mergeCell ref="A389:B389"/>
    <mergeCell ref="C389:E389"/>
    <mergeCell ref="A343:B343"/>
    <mergeCell ref="C343:E343"/>
    <mergeCell ref="A42:B42"/>
    <mergeCell ref="A43:B43"/>
    <mergeCell ref="C42:E42"/>
    <mergeCell ref="C43:E43"/>
    <mergeCell ref="A376:B376"/>
    <mergeCell ref="C376:E376"/>
    <mergeCell ref="A409:B409"/>
    <mergeCell ref="C409:E409"/>
    <mergeCell ref="A407:B407"/>
    <mergeCell ref="A408:B408"/>
    <mergeCell ref="C408:E408"/>
    <mergeCell ref="A404:B404"/>
    <mergeCell ref="C404:E404"/>
    <mergeCell ref="A405:B405"/>
    <mergeCell ref="A398:B398"/>
    <mergeCell ref="C398:E398"/>
    <mergeCell ref="A399:B399"/>
    <mergeCell ref="A400:B400"/>
    <mergeCell ref="C400:E400"/>
    <mergeCell ref="A390:A392"/>
    <mergeCell ref="B390:E392"/>
    <mergeCell ref="A361:A363"/>
    <mergeCell ref="A397:B397"/>
    <mergeCell ref="C397:E397"/>
    <mergeCell ref="A425:E426"/>
    <mergeCell ref="F425:F426"/>
    <mergeCell ref="A421:B421"/>
    <mergeCell ref="C421:E421"/>
    <mergeCell ref="A424:B424"/>
    <mergeCell ref="C424:E424"/>
    <mergeCell ref="F417:F419"/>
    <mergeCell ref="A420:B420"/>
    <mergeCell ref="C420:E420"/>
    <mergeCell ref="A417:A419"/>
    <mergeCell ref="B417:E419"/>
    <mergeCell ref="F410:F412"/>
    <mergeCell ref="F414:F416"/>
    <mergeCell ref="C402:E402"/>
    <mergeCell ref="A403:B403"/>
    <mergeCell ref="C403:E403"/>
    <mergeCell ref="A410:A412"/>
    <mergeCell ref="B410:E412"/>
    <mergeCell ref="A413:B413"/>
    <mergeCell ref="A423:B423"/>
    <mergeCell ref="C423:E423"/>
    <mergeCell ref="C154:E154"/>
    <mergeCell ref="A154:B154"/>
    <mergeCell ref="A156:B156"/>
    <mergeCell ref="A44:B44"/>
    <mergeCell ref="C44:E44"/>
    <mergeCell ref="A422:B422"/>
    <mergeCell ref="A152:B152"/>
    <mergeCell ref="A293:B293"/>
    <mergeCell ref="A64:B64"/>
    <mergeCell ref="A58:B58"/>
    <mergeCell ref="C58:E58"/>
    <mergeCell ref="C59:E59"/>
    <mergeCell ref="C60:E60"/>
    <mergeCell ref="A59:B59"/>
    <mergeCell ref="A60:B60"/>
    <mergeCell ref="A406:B406"/>
    <mergeCell ref="A401:B401"/>
    <mergeCell ref="C401:E401"/>
    <mergeCell ref="A402:B402"/>
    <mergeCell ref="C413:E413"/>
    <mergeCell ref="A414:A416"/>
    <mergeCell ref="B414:E416"/>
    <mergeCell ref="A205:B205"/>
    <mergeCell ref="C205:E205"/>
    <mergeCell ref="A184:B184"/>
    <mergeCell ref="C184:E184"/>
    <mergeCell ref="A185:A187"/>
    <mergeCell ref="B185:E187"/>
    <mergeCell ref="A177:B177"/>
    <mergeCell ref="C177:E177"/>
    <mergeCell ref="A178:B178"/>
    <mergeCell ref="C178:E178"/>
    <mergeCell ref="A189:A191"/>
    <mergeCell ref="B189:E191"/>
    <mergeCell ref="A179:A181"/>
    <mergeCell ref="B179:E181"/>
  </mergeCells>
  <printOptions/>
  <pageMargins left="0.7086614173228347" right="0.7086614173228347" top="0.7480314960629921" bottom="0.7480314960629921" header="0.31496062992125984" footer="0.31496062992125984"/>
  <pageSetup firstPageNumber="54" useFirstPageNumber="1" horizontalDpi="600" verticalDpi="600" orientation="portrait" paperSize="9" scale="84" r:id="rId1"/>
  <headerFooter>
    <oddFooter>&amp;C&amp;P.oldal</oddFooter>
  </headerFooter>
  <rowBreaks count="5" manualBreakCount="5">
    <brk id="130" max="16383" man="1"/>
    <brk id="192" max="16383" man="1"/>
    <brk id="257" max="16383" man="1"/>
    <brk id="320" max="16383" man="1"/>
    <brk id="38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 topLeftCell="A73">
      <selection activeCell="F8" sqref="F8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375" style="0" customWidth="1"/>
    <col min="5" max="5" width="23.00390625" style="0" customWidth="1"/>
    <col min="6" max="6" width="12.875" style="0" customWidth="1"/>
  </cols>
  <sheetData>
    <row r="1" spans="1:6" ht="12.75">
      <c r="A1" s="1559" t="s">
        <v>1037</v>
      </c>
      <c r="B1" s="1559"/>
      <c r="C1" s="1559"/>
      <c r="D1" s="1559"/>
      <c r="E1" s="1559"/>
      <c r="F1" s="1559"/>
    </row>
    <row r="2" spans="1:6" ht="12.75">
      <c r="A2" s="1559" t="s">
        <v>1038</v>
      </c>
      <c r="B2" s="1559"/>
      <c r="C2" s="1559"/>
      <c r="D2" s="1559"/>
      <c r="E2" s="1559"/>
      <c r="F2" s="1559"/>
    </row>
    <row r="3" spans="1:6" ht="12.75">
      <c r="A3" s="1559" t="s">
        <v>1209</v>
      </c>
      <c r="B3" s="1559"/>
      <c r="C3" s="1559"/>
      <c r="D3" s="1559"/>
      <c r="E3" s="1559"/>
      <c r="F3" s="1559"/>
    </row>
    <row r="4" ht="12.75">
      <c r="F4" s="777" t="s">
        <v>524</v>
      </c>
    </row>
    <row r="5" spans="1:6" ht="13.15" customHeight="1">
      <c r="A5" s="1540" t="s">
        <v>863</v>
      </c>
      <c r="B5" s="1541" t="s">
        <v>864</v>
      </c>
      <c r="C5" s="1541"/>
      <c r="D5" s="1541"/>
      <c r="E5" s="1541"/>
      <c r="F5" s="1555">
        <f>SUM(F8:F50)</f>
        <v>3701095</v>
      </c>
    </row>
    <row r="6" spans="1:6" ht="13.15" customHeight="1">
      <c r="A6" s="1540"/>
      <c r="B6" s="1541"/>
      <c r="C6" s="1541"/>
      <c r="D6" s="1541"/>
      <c r="E6" s="1541"/>
      <c r="F6" s="1556"/>
    </row>
    <row r="7" spans="1:6" ht="13.15" customHeight="1">
      <c r="A7" s="1540"/>
      <c r="B7" s="1541"/>
      <c r="C7" s="1541"/>
      <c r="D7" s="1541"/>
      <c r="E7" s="1541"/>
      <c r="F7" s="1557"/>
    </row>
    <row r="8" spans="1:6" ht="15">
      <c r="A8" s="1545" t="s">
        <v>1215</v>
      </c>
      <c r="B8" s="1545"/>
      <c r="C8" s="1546" t="s">
        <v>363</v>
      </c>
      <c r="D8" s="1547"/>
      <c r="E8" s="1548"/>
      <c r="F8" s="784">
        <f>'1b.mell '!D18+'1b.mell '!D20+'1b.mell '!D21+'1b.mell '!D73</f>
        <v>42600</v>
      </c>
    </row>
    <row r="9" spans="1:6" ht="15">
      <c r="A9" s="1545">
        <v>1020</v>
      </c>
      <c r="B9" s="1545"/>
      <c r="C9" s="790" t="s">
        <v>1039</v>
      </c>
      <c r="D9" s="791"/>
      <c r="E9" s="792"/>
      <c r="F9" s="789">
        <f>'1b.mell '!D17</f>
        <v>0</v>
      </c>
    </row>
    <row r="10" spans="1:6" ht="15">
      <c r="A10" s="1545">
        <v>1016</v>
      </c>
      <c r="B10" s="1545"/>
      <c r="C10" s="960" t="s">
        <v>1354</v>
      </c>
      <c r="D10" s="961"/>
      <c r="E10" s="962"/>
      <c r="F10" s="789">
        <f>'1b.mell '!D16</f>
        <v>10768</v>
      </c>
    </row>
    <row r="11" spans="1:6" ht="15">
      <c r="A11" s="1545">
        <v>1071</v>
      </c>
      <c r="B11" s="1545"/>
      <c r="C11" s="1546" t="s">
        <v>1040</v>
      </c>
      <c r="D11" s="1547"/>
      <c r="E11" s="1548"/>
      <c r="F11" s="784">
        <f>'1b.mell '!D32</f>
        <v>1000</v>
      </c>
    </row>
    <row r="12" spans="1:6" ht="15">
      <c r="A12" s="1545">
        <v>1073</v>
      </c>
      <c r="B12" s="1545"/>
      <c r="C12" s="790" t="s">
        <v>1041</v>
      </c>
      <c r="D12" s="791"/>
      <c r="E12" s="792"/>
      <c r="F12" s="784">
        <f>'1b.mell '!D33</f>
        <v>0</v>
      </c>
    </row>
    <row r="13" spans="1:6" ht="15">
      <c r="A13" s="1545">
        <v>1074</v>
      </c>
      <c r="B13" s="1545"/>
      <c r="C13" s="1546" t="s">
        <v>1042</v>
      </c>
      <c r="D13" s="1547"/>
      <c r="E13" s="1548"/>
      <c r="F13" s="784">
        <f>'1b.mell '!D34</f>
        <v>1000</v>
      </c>
    </row>
    <row r="14" spans="1:6" ht="15">
      <c r="A14" s="1545">
        <v>1078</v>
      </c>
      <c r="B14" s="1545"/>
      <c r="C14" s="1546" t="s">
        <v>1043</v>
      </c>
      <c r="D14" s="1547"/>
      <c r="E14" s="1548"/>
      <c r="F14" s="784">
        <f>'1b.mell '!D38</f>
        <v>2000</v>
      </c>
    </row>
    <row r="15" spans="1:6" ht="15">
      <c r="A15" s="1545">
        <v>1093</v>
      </c>
      <c r="B15" s="1545"/>
      <c r="C15" s="1546" t="s">
        <v>1044</v>
      </c>
      <c r="D15" s="1547"/>
      <c r="E15" s="1548"/>
      <c r="F15" s="784">
        <f>'1b.mell '!D46</f>
        <v>8500</v>
      </c>
    </row>
    <row r="16" spans="1:6" ht="15">
      <c r="A16" s="1545">
        <v>1101</v>
      </c>
      <c r="B16" s="1545"/>
      <c r="C16" s="1546" t="s">
        <v>1045</v>
      </c>
      <c r="D16" s="1547"/>
      <c r="E16" s="1548"/>
      <c r="F16" s="784">
        <f>'1b.mell '!D54</f>
        <v>20000</v>
      </c>
    </row>
    <row r="17" spans="1:6" ht="15">
      <c r="A17" s="1545">
        <v>1110</v>
      </c>
      <c r="B17" s="1545"/>
      <c r="C17" s="1546" t="s">
        <v>1046</v>
      </c>
      <c r="D17" s="1547"/>
      <c r="E17" s="1548"/>
      <c r="F17" s="784">
        <f>'1b.mell '!D58</f>
        <v>0</v>
      </c>
    </row>
    <row r="18" spans="1:6" ht="15">
      <c r="A18" s="1545">
        <v>1121</v>
      </c>
      <c r="B18" s="1545"/>
      <c r="C18" s="1546" t="s">
        <v>1047</v>
      </c>
      <c r="D18" s="1547"/>
      <c r="E18" s="1548"/>
      <c r="F18" s="778">
        <f>'1b.mell '!D60</f>
        <v>20790</v>
      </c>
    </row>
    <row r="19" spans="1:6" ht="15">
      <c r="A19" s="1545">
        <v>1122</v>
      </c>
      <c r="B19" s="1545"/>
      <c r="C19" s="1546" t="s">
        <v>1048</v>
      </c>
      <c r="D19" s="1547"/>
      <c r="E19" s="1548"/>
      <c r="F19" s="778">
        <f>'1b.mell '!D61</f>
        <v>210870</v>
      </c>
    </row>
    <row r="20" spans="1:6" ht="15">
      <c r="A20" s="1545">
        <v>1123</v>
      </c>
      <c r="B20" s="1545"/>
      <c r="C20" s="1546" t="s">
        <v>1049</v>
      </c>
      <c r="D20" s="1547"/>
      <c r="E20" s="1548"/>
      <c r="F20" s="778">
        <f>'1b.mell '!D62</f>
        <v>228714</v>
      </c>
    </row>
    <row r="21" spans="1:6" ht="15">
      <c r="A21" s="1545">
        <v>1141</v>
      </c>
      <c r="B21" s="1545"/>
      <c r="C21" s="1546" t="s">
        <v>389</v>
      </c>
      <c r="D21" s="1547"/>
      <c r="E21" s="1548"/>
      <c r="F21" s="778">
        <f>'1b.mell '!D65</f>
        <v>6000</v>
      </c>
    </row>
    <row r="22" spans="1:6" ht="15">
      <c r="A22" s="1545">
        <v>1150</v>
      </c>
      <c r="B22" s="1545"/>
      <c r="C22" s="1546" t="s">
        <v>198</v>
      </c>
      <c r="D22" s="1547"/>
      <c r="E22" s="1548"/>
      <c r="F22" s="778">
        <f>'1b.mell '!D66</f>
        <v>100000</v>
      </c>
    </row>
    <row r="23" spans="1:6" ht="15">
      <c r="A23" s="1545">
        <v>1151</v>
      </c>
      <c r="B23" s="1545"/>
      <c r="C23" s="1546" t="s">
        <v>368</v>
      </c>
      <c r="D23" s="1547"/>
      <c r="E23" s="1548"/>
      <c r="F23" s="778">
        <f>'1b.mell '!D67</f>
        <v>20425</v>
      </c>
    </row>
    <row r="24" spans="1:6" ht="15">
      <c r="A24" s="1545">
        <v>1160</v>
      </c>
      <c r="B24" s="1545"/>
      <c r="C24" s="1546" t="s">
        <v>199</v>
      </c>
      <c r="D24" s="1547"/>
      <c r="E24" s="1548"/>
      <c r="F24" s="784">
        <f>'1b.mell '!D70</f>
        <v>0</v>
      </c>
    </row>
    <row r="25" spans="1:6" ht="15">
      <c r="A25" s="1545">
        <v>1166</v>
      </c>
      <c r="B25" s="1545"/>
      <c r="C25" s="1546" t="s">
        <v>1216</v>
      </c>
      <c r="D25" s="1547"/>
      <c r="E25" s="1548"/>
      <c r="F25" s="784">
        <f>'1b.mell '!D79</f>
        <v>2404281</v>
      </c>
    </row>
    <row r="26" spans="1:6" ht="15">
      <c r="A26" s="1545">
        <v>1180</v>
      </c>
      <c r="B26" s="1545"/>
      <c r="C26" s="1546" t="s">
        <v>348</v>
      </c>
      <c r="D26" s="1547"/>
      <c r="E26" s="1548"/>
      <c r="F26" s="784">
        <f>'1b.mell '!D81</f>
        <v>296493</v>
      </c>
    </row>
    <row r="27" spans="1:6" ht="15">
      <c r="A27" s="1545">
        <v>1185</v>
      </c>
      <c r="B27" s="1545"/>
      <c r="C27" s="1546" t="s">
        <v>392</v>
      </c>
      <c r="D27" s="1547"/>
      <c r="E27" s="1548"/>
      <c r="F27" s="784">
        <f>'1b.mell '!D84</f>
        <v>0</v>
      </c>
    </row>
    <row r="28" spans="1:6" ht="15">
      <c r="A28" s="1545">
        <v>1165</v>
      </c>
      <c r="B28" s="1545"/>
      <c r="C28" s="793" t="s">
        <v>201</v>
      </c>
      <c r="D28" s="791"/>
      <c r="E28" s="792"/>
      <c r="F28" s="784">
        <f>'1b.mell '!D78</f>
        <v>0</v>
      </c>
    </row>
    <row r="29" spans="1:6" ht="15">
      <c r="A29" s="1545">
        <v>1210</v>
      </c>
      <c r="B29" s="1545"/>
      <c r="C29" s="793" t="s">
        <v>210</v>
      </c>
      <c r="D29" s="791"/>
      <c r="E29" s="792"/>
      <c r="F29" s="784">
        <f>'1b.mell '!D95</f>
        <v>0</v>
      </c>
    </row>
    <row r="30" spans="1:6" ht="15">
      <c r="A30" s="1545">
        <v>1211</v>
      </c>
      <c r="B30" s="1545"/>
      <c r="C30" s="793" t="s">
        <v>1050</v>
      </c>
      <c r="D30" s="791"/>
      <c r="E30" s="792"/>
      <c r="F30" s="784">
        <f>'1b.mell '!D96</f>
        <v>0</v>
      </c>
    </row>
    <row r="31" spans="1:6" ht="15">
      <c r="A31" s="1545">
        <v>1231</v>
      </c>
      <c r="B31" s="1545"/>
      <c r="C31" s="1546" t="s">
        <v>1051</v>
      </c>
      <c r="D31" s="1547"/>
      <c r="E31" s="1548"/>
      <c r="F31" s="784">
        <f>'1b.mell '!D114</f>
        <v>18180</v>
      </c>
    </row>
    <row r="32" spans="1:6" ht="15">
      <c r="A32" s="1545">
        <v>1241</v>
      </c>
      <c r="B32" s="1545"/>
      <c r="C32" s="1546" t="s">
        <v>1044</v>
      </c>
      <c r="D32" s="1547"/>
      <c r="E32" s="1548"/>
      <c r="F32" s="784">
        <f>'1b.mell '!D121</f>
        <v>7000</v>
      </c>
    </row>
    <row r="33" spans="1:6" ht="15">
      <c r="A33" s="1545">
        <v>1250</v>
      </c>
      <c r="B33" s="1545"/>
      <c r="C33" s="1546" t="s">
        <v>192</v>
      </c>
      <c r="D33" s="1547"/>
      <c r="E33" s="1548"/>
      <c r="F33" s="784">
        <f>'1b.mell '!D123</f>
        <v>20000</v>
      </c>
    </row>
    <row r="34" spans="1:6" ht="15">
      <c r="A34" s="1545">
        <v>1260</v>
      </c>
      <c r="B34" s="1545"/>
      <c r="C34" s="1546" t="s">
        <v>196</v>
      </c>
      <c r="D34" s="1547"/>
      <c r="E34" s="1548"/>
      <c r="F34" s="784">
        <f>'1b.mell '!D125</f>
        <v>7290</v>
      </c>
    </row>
    <row r="35" spans="1:6" ht="15">
      <c r="A35" s="1545">
        <v>1262</v>
      </c>
      <c r="B35" s="1545"/>
      <c r="C35" s="1546" t="s">
        <v>389</v>
      </c>
      <c r="D35" s="1547"/>
      <c r="E35" s="1548"/>
      <c r="F35" s="784">
        <f>'1b.mell '!D127</f>
        <v>0</v>
      </c>
    </row>
    <row r="36" spans="1:6" ht="15">
      <c r="A36" s="1545">
        <v>1270</v>
      </c>
      <c r="B36" s="1545"/>
      <c r="C36" s="1546" t="s">
        <v>198</v>
      </c>
      <c r="D36" s="1547"/>
      <c r="E36" s="1548"/>
      <c r="F36" s="784">
        <f>'1b.mell '!D128</f>
        <v>450</v>
      </c>
    </row>
    <row r="37" spans="1:6" ht="15">
      <c r="A37" s="1545">
        <v>1290</v>
      </c>
      <c r="B37" s="1545"/>
      <c r="C37" s="1546" t="s">
        <v>213</v>
      </c>
      <c r="D37" s="1547"/>
      <c r="E37" s="1548"/>
      <c r="F37" s="784">
        <f>'1b.mell '!D140</f>
        <v>0</v>
      </c>
    </row>
    <row r="38" spans="1:6" ht="15">
      <c r="A38" s="1545">
        <v>1560</v>
      </c>
      <c r="B38" s="1545"/>
      <c r="C38" s="790" t="s">
        <v>1052</v>
      </c>
      <c r="D38" s="791"/>
      <c r="E38" s="792"/>
      <c r="F38" s="784">
        <f>'1b.mell '!D233</f>
        <v>19000</v>
      </c>
    </row>
    <row r="39" spans="1:6" ht="15">
      <c r="A39" s="1545">
        <v>1401</v>
      </c>
      <c r="B39" s="1545"/>
      <c r="C39" s="790" t="s">
        <v>1053</v>
      </c>
      <c r="D39" s="791"/>
      <c r="E39" s="792"/>
      <c r="F39" s="784">
        <f>'1b.mell '!D159</f>
        <v>28421</v>
      </c>
    </row>
    <row r="40" spans="1:6" ht="15">
      <c r="A40" s="1545">
        <v>1409</v>
      </c>
      <c r="B40" s="1545"/>
      <c r="C40" s="790" t="s">
        <v>357</v>
      </c>
      <c r="D40" s="791"/>
      <c r="E40" s="792"/>
      <c r="F40" s="784">
        <f>'1b.mell '!D161</f>
        <v>0</v>
      </c>
    </row>
    <row r="41" spans="1:6" ht="15">
      <c r="A41" s="1545">
        <v>1160</v>
      </c>
      <c r="B41" s="1545"/>
      <c r="C41" s="1546" t="s">
        <v>199</v>
      </c>
      <c r="D41" s="1547"/>
      <c r="E41" s="1548"/>
      <c r="F41" s="778">
        <f>'1b.mell '!D70</f>
        <v>0</v>
      </c>
    </row>
    <row r="42" spans="1:6" ht="15">
      <c r="A42" s="1545">
        <v>1436</v>
      </c>
      <c r="B42" s="1545"/>
      <c r="C42" s="790" t="s">
        <v>1054</v>
      </c>
      <c r="D42" s="791"/>
      <c r="E42" s="792"/>
      <c r="F42" s="784">
        <f>'1b.mell '!D179</f>
        <v>0</v>
      </c>
    </row>
    <row r="43" spans="1:6" ht="15">
      <c r="A43" s="1545">
        <v>1445</v>
      </c>
      <c r="B43" s="1545"/>
      <c r="C43" s="794" t="s">
        <v>210</v>
      </c>
      <c r="D43" s="791"/>
      <c r="E43" s="792"/>
      <c r="F43" s="784">
        <f>'1b.mell '!D185</f>
        <v>0</v>
      </c>
    </row>
    <row r="44" spans="1:6" ht="15">
      <c r="A44" s="1545">
        <v>1411</v>
      </c>
      <c r="B44" s="1545"/>
      <c r="C44" s="1546" t="s">
        <v>1044</v>
      </c>
      <c r="D44" s="1547"/>
      <c r="E44" s="1548"/>
      <c r="F44" s="784">
        <f>'1b.mell '!D163</f>
        <v>23596</v>
      </c>
    </row>
    <row r="45" spans="1:6" ht="15">
      <c r="A45" s="1545">
        <v>1420</v>
      </c>
      <c r="B45" s="1545"/>
      <c r="C45" s="1546" t="s">
        <v>192</v>
      </c>
      <c r="D45" s="1547"/>
      <c r="E45" s="1548"/>
      <c r="F45" s="784">
        <f>'1b.mell '!D165</f>
        <v>10338</v>
      </c>
    </row>
    <row r="46" spans="1:6" ht="15">
      <c r="A46" s="1545">
        <v>1422</v>
      </c>
      <c r="B46" s="1545"/>
      <c r="C46" s="1546" t="s">
        <v>196</v>
      </c>
      <c r="D46" s="1547"/>
      <c r="E46" s="1548"/>
      <c r="F46" s="784">
        <f>'1b.mell '!D167</f>
        <v>67718</v>
      </c>
    </row>
    <row r="47" spans="1:6" ht="15">
      <c r="A47" s="1545">
        <v>1424</v>
      </c>
      <c r="B47" s="1545"/>
      <c r="C47" s="1546" t="s">
        <v>389</v>
      </c>
      <c r="D47" s="1547"/>
      <c r="E47" s="1548"/>
      <c r="F47" s="784">
        <f>'1b.mell '!D169</f>
        <v>0</v>
      </c>
    </row>
    <row r="48" spans="1:6" ht="15">
      <c r="A48" s="1545">
        <v>1425</v>
      </c>
      <c r="B48" s="1545"/>
      <c r="C48" s="1546" t="s">
        <v>1055</v>
      </c>
      <c r="D48" s="1547"/>
      <c r="E48" s="1548"/>
      <c r="F48" s="784">
        <f>'1b.mell '!D170</f>
        <v>0</v>
      </c>
    </row>
    <row r="49" spans="1:6" ht="15">
      <c r="A49" s="1545">
        <v>1572</v>
      </c>
      <c r="B49" s="1545"/>
      <c r="C49" s="1546" t="s">
        <v>1056</v>
      </c>
      <c r="D49" s="1547"/>
      <c r="E49" s="1548"/>
      <c r="F49" s="784">
        <f>'1b.mell '!D240</f>
        <v>120591</v>
      </c>
    </row>
    <row r="50" spans="1:6" ht="15">
      <c r="A50" s="1545">
        <v>1423</v>
      </c>
      <c r="B50" s="1545"/>
      <c r="C50" s="1546" t="s">
        <v>197</v>
      </c>
      <c r="D50" s="1547"/>
      <c r="E50" s="1548"/>
      <c r="F50" s="784">
        <f>'1b.mell '!D168</f>
        <v>5070</v>
      </c>
    </row>
    <row r="51" spans="1:6" ht="18" customHeight="1">
      <c r="A51" s="1540" t="s">
        <v>1057</v>
      </c>
      <c r="B51" s="1541" t="s">
        <v>1058</v>
      </c>
      <c r="C51" s="1541"/>
      <c r="D51" s="1541"/>
      <c r="E51" s="1541"/>
      <c r="F51" s="1542">
        <f>SUM(F54:F61)</f>
        <v>9197747</v>
      </c>
    </row>
    <row r="52" spans="1:6" ht="18.95" customHeight="1">
      <c r="A52" s="1540"/>
      <c r="B52" s="1541"/>
      <c r="C52" s="1541"/>
      <c r="D52" s="1541"/>
      <c r="E52" s="1541"/>
      <c r="F52" s="1543"/>
    </row>
    <row r="53" spans="1:6" ht="21.95" customHeight="1">
      <c r="A53" s="1540"/>
      <c r="B53" s="1541"/>
      <c r="C53" s="1541"/>
      <c r="D53" s="1541"/>
      <c r="E53" s="1541"/>
      <c r="F53" s="1544"/>
    </row>
    <row r="54" spans="1:6" ht="15">
      <c r="A54" s="1545">
        <v>1041</v>
      </c>
      <c r="B54" s="1545"/>
      <c r="C54" s="1546" t="s">
        <v>648</v>
      </c>
      <c r="D54" s="1547"/>
      <c r="E54" s="1548"/>
      <c r="F54" s="784">
        <f>'1b.mell '!D25</f>
        <v>3260000</v>
      </c>
    </row>
    <row r="55" spans="1:6" ht="15">
      <c r="A55" s="1545">
        <v>1042</v>
      </c>
      <c r="B55" s="1545"/>
      <c r="C55" s="1546" t="s">
        <v>651</v>
      </c>
      <c r="D55" s="1547"/>
      <c r="E55" s="1548"/>
      <c r="F55" s="784">
        <f>'1b.mell '!D26</f>
        <v>599000</v>
      </c>
    </row>
    <row r="56" spans="1:6" ht="15">
      <c r="A56" s="1545">
        <v>1051</v>
      </c>
      <c r="B56" s="1545"/>
      <c r="C56" s="1546" t="s">
        <v>1059</v>
      </c>
      <c r="D56" s="1547"/>
      <c r="E56" s="1548"/>
      <c r="F56" s="784">
        <f>'1b.mell '!D28</f>
        <v>5161631</v>
      </c>
    </row>
    <row r="57" spans="1:6" ht="15">
      <c r="A57" s="1545">
        <v>1052</v>
      </c>
      <c r="B57" s="1545"/>
      <c r="C57" s="1546" t="s">
        <v>1060</v>
      </c>
      <c r="D57" s="1547"/>
      <c r="E57" s="1548"/>
      <c r="F57" s="784">
        <f>'1b.mell '!D29</f>
        <v>0</v>
      </c>
    </row>
    <row r="58" spans="1:6" ht="15">
      <c r="A58" s="1545">
        <v>1053</v>
      </c>
      <c r="B58" s="1545"/>
      <c r="C58" s="1546" t="s">
        <v>1061</v>
      </c>
      <c r="D58" s="1547"/>
      <c r="E58" s="1548"/>
      <c r="F58" s="784">
        <f>'1b.mell '!D30</f>
        <v>135000</v>
      </c>
    </row>
    <row r="59" spans="1:6" ht="15">
      <c r="A59" s="1545">
        <v>1075</v>
      </c>
      <c r="B59" s="1545"/>
      <c r="C59" s="1546" t="s">
        <v>1062</v>
      </c>
      <c r="D59" s="1547"/>
      <c r="E59" s="1548"/>
      <c r="F59" s="784">
        <f>'1b.mell '!D35</f>
        <v>20000</v>
      </c>
    </row>
    <row r="60" spans="1:6" ht="15">
      <c r="A60" s="1545">
        <v>1076</v>
      </c>
      <c r="B60" s="1545"/>
      <c r="C60" s="1546" t="s">
        <v>1063</v>
      </c>
      <c r="D60" s="1547"/>
      <c r="E60" s="1548"/>
      <c r="F60" s="784">
        <f>'1b.mell '!D36</f>
        <v>12116</v>
      </c>
    </row>
    <row r="61" spans="1:6" ht="15">
      <c r="A61" s="1545">
        <v>1205</v>
      </c>
      <c r="B61" s="1545"/>
      <c r="C61" s="1546" t="s">
        <v>9</v>
      </c>
      <c r="D61" s="1547"/>
      <c r="E61" s="1548"/>
      <c r="F61" s="784">
        <f>'1b.mell '!D117</f>
        <v>10000</v>
      </c>
    </row>
    <row r="62" spans="1:6" ht="13.15" customHeight="1">
      <c r="A62" s="1540" t="s">
        <v>869</v>
      </c>
      <c r="B62" s="1541" t="s">
        <v>870</v>
      </c>
      <c r="C62" s="1541"/>
      <c r="D62" s="1541"/>
      <c r="E62" s="1541"/>
      <c r="F62" s="1542">
        <f>SUM(F65:F75)</f>
        <v>1533758</v>
      </c>
    </row>
    <row r="63" spans="1:6" ht="13.15" customHeight="1">
      <c r="A63" s="1540"/>
      <c r="B63" s="1541"/>
      <c r="C63" s="1541"/>
      <c r="D63" s="1541"/>
      <c r="E63" s="1541"/>
      <c r="F63" s="1543"/>
    </row>
    <row r="64" spans="1:6" ht="13.15" customHeight="1">
      <c r="A64" s="1558"/>
      <c r="B64" s="1541"/>
      <c r="C64" s="1541"/>
      <c r="D64" s="1541"/>
      <c r="E64" s="1541"/>
      <c r="F64" s="1544"/>
    </row>
    <row r="65" spans="1:6" ht="15">
      <c r="A65" s="1545">
        <v>1081</v>
      </c>
      <c r="B65" s="1545"/>
      <c r="C65" s="1546" t="s">
        <v>1064</v>
      </c>
      <c r="D65" s="1547"/>
      <c r="E65" s="1548"/>
      <c r="F65" s="778">
        <f>'1b.mell '!D40</f>
        <v>375000</v>
      </c>
    </row>
    <row r="66" spans="1:6" ht="15">
      <c r="A66" s="1545">
        <v>1094</v>
      </c>
      <c r="B66" s="1545"/>
      <c r="C66" s="1546" t="s">
        <v>1065</v>
      </c>
      <c r="D66" s="1547"/>
      <c r="E66" s="1548"/>
      <c r="F66" s="778">
        <f>'1b.mell '!D47</f>
        <v>35000</v>
      </c>
    </row>
    <row r="67" spans="1:6" ht="15">
      <c r="A67" s="1545">
        <v>1095</v>
      </c>
      <c r="B67" s="1545"/>
      <c r="C67" s="1546" t="s">
        <v>1066</v>
      </c>
      <c r="D67" s="1547"/>
      <c r="E67" s="1548"/>
      <c r="F67" s="778">
        <f>'1b.mell '!D48</f>
        <v>350000</v>
      </c>
    </row>
    <row r="68" spans="1:6" ht="15">
      <c r="A68" s="1545">
        <v>1096</v>
      </c>
      <c r="B68" s="1545"/>
      <c r="C68" s="1546" t="s">
        <v>655</v>
      </c>
      <c r="D68" s="1547"/>
      <c r="E68" s="1548"/>
      <c r="F68" s="778">
        <f>'1b.mell '!D49</f>
        <v>331000</v>
      </c>
    </row>
    <row r="69" spans="1:6" ht="15">
      <c r="A69" s="1545">
        <v>1097</v>
      </c>
      <c r="B69" s="1545"/>
      <c r="C69" s="1546" t="s">
        <v>1067</v>
      </c>
      <c r="D69" s="1547"/>
      <c r="E69" s="1548"/>
      <c r="F69" s="778">
        <f>'1b.mell '!D50</f>
        <v>3000</v>
      </c>
    </row>
    <row r="70" spans="1:6" ht="15">
      <c r="A70" s="1545">
        <v>1099</v>
      </c>
      <c r="B70" s="1545"/>
      <c r="C70" s="1546" t="s">
        <v>1217</v>
      </c>
      <c r="D70" s="1547"/>
      <c r="E70" s="1548"/>
      <c r="F70" s="784">
        <f>'1b.mell '!D52</f>
        <v>8000</v>
      </c>
    </row>
    <row r="71" spans="1:6" ht="15">
      <c r="A71" s="1545">
        <v>1102</v>
      </c>
      <c r="B71" s="1545"/>
      <c r="C71" s="1546" t="s">
        <v>1068</v>
      </c>
      <c r="D71" s="1547"/>
      <c r="E71" s="1548"/>
      <c r="F71" s="784">
        <f>'1b.mell '!D55</f>
        <v>100000</v>
      </c>
    </row>
    <row r="72" spans="1:6" ht="15">
      <c r="A72" s="1545">
        <v>1191</v>
      </c>
      <c r="B72" s="1545"/>
      <c r="C72" s="1546" t="s">
        <v>1069</v>
      </c>
      <c r="D72" s="1547"/>
      <c r="E72" s="1548"/>
      <c r="F72" s="784">
        <f>'1b.mell '!D88</f>
        <v>0</v>
      </c>
    </row>
    <row r="73" spans="1:6" ht="15">
      <c r="A73" s="1545">
        <v>1194</v>
      </c>
      <c r="B73" s="1545"/>
      <c r="C73" s="1546" t="s">
        <v>1070</v>
      </c>
      <c r="D73" s="1547"/>
      <c r="E73" s="1548"/>
      <c r="F73" s="778">
        <f>'1b.mell '!D89</f>
        <v>50000</v>
      </c>
    </row>
    <row r="74" spans="1:6" ht="15">
      <c r="A74" s="1545">
        <v>1195</v>
      </c>
      <c r="B74" s="1545"/>
      <c r="C74" s="1546" t="s">
        <v>1071</v>
      </c>
      <c r="D74" s="1547"/>
      <c r="E74" s="1548"/>
      <c r="F74" s="778">
        <f>'1b.mell '!D90</f>
        <v>240000</v>
      </c>
    </row>
    <row r="75" spans="1:6" ht="15">
      <c r="A75" s="1545">
        <v>1412</v>
      </c>
      <c r="B75" s="1545"/>
      <c r="C75" s="1546" t="s">
        <v>1065</v>
      </c>
      <c r="D75" s="1547"/>
      <c r="E75" s="1548"/>
      <c r="F75" s="778">
        <f>'1b.mell '!D164</f>
        <v>41758</v>
      </c>
    </row>
    <row r="76" spans="1:6" ht="13.15" customHeight="1">
      <c r="A76" s="1540" t="s">
        <v>1072</v>
      </c>
      <c r="B76" s="1541" t="s">
        <v>1073</v>
      </c>
      <c r="C76" s="1541"/>
      <c r="D76" s="1541"/>
      <c r="E76" s="1541"/>
      <c r="F76" s="1555">
        <f>SUM(F79:F79)</f>
        <v>3168317</v>
      </c>
    </row>
    <row r="77" spans="1:6" ht="13.15" customHeight="1">
      <c r="A77" s="1540"/>
      <c r="B77" s="1541"/>
      <c r="C77" s="1541"/>
      <c r="D77" s="1541"/>
      <c r="E77" s="1541"/>
      <c r="F77" s="1556"/>
    </row>
    <row r="78" spans="1:6" ht="13.15" customHeight="1">
      <c r="A78" s="1558"/>
      <c r="B78" s="1541"/>
      <c r="C78" s="1541"/>
      <c r="D78" s="1541"/>
      <c r="E78" s="1541"/>
      <c r="F78" s="1557"/>
    </row>
    <row r="79" spans="1:6" ht="15">
      <c r="A79" s="1545">
        <v>1010</v>
      </c>
      <c r="B79" s="1545"/>
      <c r="C79" s="1546" t="s">
        <v>177</v>
      </c>
      <c r="D79" s="1547"/>
      <c r="E79" s="1548"/>
      <c r="F79" s="778">
        <f>'1b.mell '!D10-'1b.mell '!D16</f>
        <v>3168317</v>
      </c>
    </row>
    <row r="80" spans="1:6" ht="13.15" customHeight="1">
      <c r="A80" s="1540" t="s">
        <v>1074</v>
      </c>
      <c r="B80" s="1541" t="s">
        <v>1075</v>
      </c>
      <c r="C80" s="1541"/>
      <c r="D80" s="1541"/>
      <c r="E80" s="1541"/>
      <c r="F80" s="1555">
        <f>SUM(F83:F84)</f>
        <v>5999369</v>
      </c>
    </row>
    <row r="81" spans="1:6" ht="13.15" customHeight="1">
      <c r="A81" s="1540"/>
      <c r="B81" s="1541"/>
      <c r="C81" s="1541"/>
      <c r="D81" s="1541"/>
      <c r="E81" s="1541"/>
      <c r="F81" s="1556"/>
    </row>
    <row r="82" spans="1:6" ht="13.15" customHeight="1">
      <c r="A82" s="1558"/>
      <c r="B82" s="1541"/>
      <c r="C82" s="1541"/>
      <c r="D82" s="1541"/>
      <c r="E82" s="1541"/>
      <c r="F82" s="1557"/>
    </row>
    <row r="83" spans="1:6" ht="15">
      <c r="A83" s="1545">
        <v>1570.1581</v>
      </c>
      <c r="B83" s="1545"/>
      <c r="C83" s="1546" t="s">
        <v>1076</v>
      </c>
      <c r="D83" s="1547"/>
      <c r="E83" s="1548"/>
      <c r="F83" s="778">
        <f>'1b.mell '!D238+'1b.mell '!D243</f>
        <v>5998903</v>
      </c>
    </row>
    <row r="84" spans="1:6" ht="15">
      <c r="A84" s="1545">
        <v>1573</v>
      </c>
      <c r="B84" s="1545"/>
      <c r="C84" s="1546" t="s">
        <v>1077</v>
      </c>
      <c r="D84" s="1547"/>
      <c r="E84" s="1548"/>
      <c r="F84" s="782">
        <f>'1b.mell '!D241</f>
        <v>466</v>
      </c>
    </row>
    <row r="85" spans="1:6" ht="13.15" customHeight="1">
      <c r="A85" s="1540" t="s">
        <v>915</v>
      </c>
      <c r="B85" s="1541" t="s">
        <v>916</v>
      </c>
      <c r="C85" s="1541"/>
      <c r="D85" s="1541"/>
      <c r="E85" s="1541"/>
      <c r="F85" s="1555">
        <f>SUM(F88:F93)</f>
        <v>1170569</v>
      </c>
    </row>
    <row r="86" spans="1:6" ht="13.15" customHeight="1">
      <c r="A86" s="1540"/>
      <c r="B86" s="1541"/>
      <c r="C86" s="1541"/>
      <c r="D86" s="1541"/>
      <c r="E86" s="1541"/>
      <c r="F86" s="1556"/>
    </row>
    <row r="87" spans="1:6" ht="13.15" customHeight="1">
      <c r="A87" s="1540"/>
      <c r="B87" s="1541"/>
      <c r="C87" s="1541"/>
      <c r="D87" s="1541"/>
      <c r="E87" s="1541"/>
      <c r="F87" s="1557"/>
    </row>
    <row r="88" spans="1:6" ht="15">
      <c r="A88" s="1545">
        <v>1077</v>
      </c>
      <c r="B88" s="1545"/>
      <c r="C88" s="1546" t="s">
        <v>1078</v>
      </c>
      <c r="D88" s="1547"/>
      <c r="E88" s="1548"/>
      <c r="F88" s="784">
        <f>'1b.mell '!D37</f>
        <v>285980</v>
      </c>
    </row>
    <row r="89" spans="1:6" ht="15">
      <c r="A89" s="1545">
        <v>1079</v>
      </c>
      <c r="B89" s="1545"/>
      <c r="C89" s="1546" t="s">
        <v>1079</v>
      </c>
      <c r="D89" s="1547"/>
      <c r="E89" s="1548"/>
      <c r="F89" s="784">
        <f>'1b.mell '!D39</f>
        <v>10000</v>
      </c>
    </row>
    <row r="90" spans="1:6" ht="15">
      <c r="A90" s="1545">
        <v>1206</v>
      </c>
      <c r="B90" s="1545"/>
      <c r="C90" s="1546" t="s">
        <v>1080</v>
      </c>
      <c r="D90" s="1547"/>
      <c r="E90" s="1548"/>
      <c r="F90" s="784">
        <f>'1b.mell '!D118</f>
        <v>25000</v>
      </c>
    </row>
    <row r="91" spans="1:6" ht="15">
      <c r="A91" s="1545">
        <v>1092</v>
      </c>
      <c r="B91" s="1545"/>
      <c r="C91" s="1546" t="s">
        <v>1081</v>
      </c>
      <c r="D91" s="1547"/>
      <c r="E91" s="1548"/>
      <c r="F91" s="784">
        <f>'1b.mell '!D45</f>
        <v>815520</v>
      </c>
    </row>
    <row r="92" spans="1:6" ht="15">
      <c r="A92" s="1545">
        <v>1098</v>
      </c>
      <c r="B92" s="1545"/>
      <c r="C92" s="1546" t="s">
        <v>1082</v>
      </c>
      <c r="D92" s="1547"/>
      <c r="E92" s="1548"/>
      <c r="F92" s="784">
        <f>'1b.mell '!D51</f>
        <v>2500</v>
      </c>
    </row>
    <row r="93" spans="1:6" ht="15">
      <c r="A93" s="1545">
        <v>1103</v>
      </c>
      <c r="B93" s="1545"/>
      <c r="C93" s="1546" t="s">
        <v>1083</v>
      </c>
      <c r="D93" s="1547"/>
      <c r="E93" s="1548"/>
      <c r="F93" s="784">
        <f>'1b.mell '!D56</f>
        <v>31569</v>
      </c>
    </row>
    <row r="94" spans="1:6" ht="13.15" customHeight="1">
      <c r="A94" s="1540" t="s">
        <v>988</v>
      </c>
      <c r="B94" s="1541" t="s">
        <v>989</v>
      </c>
      <c r="C94" s="1541"/>
      <c r="D94" s="1541"/>
      <c r="E94" s="1541"/>
      <c r="F94" s="1542">
        <f>SUM(F97)</f>
        <v>193676</v>
      </c>
    </row>
    <row r="95" spans="1:6" ht="13.15" customHeight="1">
      <c r="A95" s="1540"/>
      <c r="B95" s="1541"/>
      <c r="C95" s="1541"/>
      <c r="D95" s="1541"/>
      <c r="E95" s="1541"/>
      <c r="F95" s="1543"/>
    </row>
    <row r="96" spans="1:6" ht="13.15" customHeight="1">
      <c r="A96" s="1540"/>
      <c r="B96" s="1541"/>
      <c r="C96" s="1541"/>
      <c r="D96" s="1541"/>
      <c r="E96" s="1541"/>
      <c r="F96" s="1544"/>
    </row>
    <row r="97" spans="1:6" ht="15">
      <c r="A97" s="1545">
        <v>1421</v>
      </c>
      <c r="B97" s="1545"/>
      <c r="C97" s="1546" t="s">
        <v>195</v>
      </c>
      <c r="D97" s="1547"/>
      <c r="E97" s="1548"/>
      <c r="F97" s="784">
        <f>'1b.mell '!D166</f>
        <v>193676</v>
      </c>
    </row>
    <row r="98" spans="1:6" ht="12.75">
      <c r="A98" s="1549" t="s">
        <v>128</v>
      </c>
      <c r="B98" s="1550"/>
      <c r="C98" s="1550"/>
      <c r="D98" s="1550"/>
      <c r="E98" s="1550"/>
      <c r="F98" s="1553">
        <f>SUM(F94+F85+F80+F76+F62+F51+F5)</f>
        <v>24964531</v>
      </c>
    </row>
    <row r="99" spans="1:6" ht="12.75">
      <c r="A99" s="1551"/>
      <c r="B99" s="1552"/>
      <c r="C99" s="1552"/>
      <c r="D99" s="1552"/>
      <c r="E99" s="1552"/>
      <c r="F99" s="1554"/>
    </row>
  </sheetData>
  <mergeCells count="159">
    <mergeCell ref="A1:F1"/>
    <mergeCell ref="A2:F2"/>
    <mergeCell ref="A3:F3"/>
    <mergeCell ref="A5:A7"/>
    <mergeCell ref="B5:E7"/>
    <mergeCell ref="F5:F7"/>
    <mergeCell ref="A13:B13"/>
    <mergeCell ref="C13:E13"/>
    <mergeCell ref="A14:B14"/>
    <mergeCell ref="C14:E14"/>
    <mergeCell ref="A15:B15"/>
    <mergeCell ref="C15:E15"/>
    <mergeCell ref="A8:B8"/>
    <mergeCell ref="C8:E8"/>
    <mergeCell ref="A9:B9"/>
    <mergeCell ref="A11:B11"/>
    <mergeCell ref="C11:E11"/>
    <mergeCell ref="A12:B12"/>
    <mergeCell ref="A19:B19"/>
    <mergeCell ref="C19:E19"/>
    <mergeCell ref="A10:B10"/>
    <mergeCell ref="A20:B20"/>
    <mergeCell ref="C20:E20"/>
    <mergeCell ref="A21:B21"/>
    <mergeCell ref="C21:E21"/>
    <mergeCell ref="A16:B16"/>
    <mergeCell ref="C16:E16"/>
    <mergeCell ref="A17:B17"/>
    <mergeCell ref="C17:E17"/>
    <mergeCell ref="A18:B18"/>
    <mergeCell ref="C18:E18"/>
    <mergeCell ref="A26:B26"/>
    <mergeCell ref="C26:E26"/>
    <mergeCell ref="A27:B27"/>
    <mergeCell ref="C27:E27"/>
    <mergeCell ref="A28:B28"/>
    <mergeCell ref="A29:B29"/>
    <mergeCell ref="A22:B22"/>
    <mergeCell ref="C22:E22"/>
    <mergeCell ref="A23:B23"/>
    <mergeCell ref="C23:E23"/>
    <mergeCell ref="A24:B24"/>
    <mergeCell ref="C24:E24"/>
    <mergeCell ref="A25:B25"/>
    <mergeCell ref="C25:E25"/>
    <mergeCell ref="A34:B34"/>
    <mergeCell ref="C34:E34"/>
    <mergeCell ref="A35:B35"/>
    <mergeCell ref="C35:E35"/>
    <mergeCell ref="A36:B36"/>
    <mergeCell ref="C36:E36"/>
    <mergeCell ref="A30:B30"/>
    <mergeCell ref="A31:B31"/>
    <mergeCell ref="C31:E31"/>
    <mergeCell ref="A32:B32"/>
    <mergeCell ref="C32:E32"/>
    <mergeCell ref="A33:B33"/>
    <mergeCell ref="C33:E33"/>
    <mergeCell ref="A42:B42"/>
    <mergeCell ref="A43:B43"/>
    <mergeCell ref="A44:B44"/>
    <mergeCell ref="C44:E44"/>
    <mergeCell ref="A45:B45"/>
    <mergeCell ref="C45:E45"/>
    <mergeCell ref="A37:B37"/>
    <mergeCell ref="C37:E37"/>
    <mergeCell ref="A38:B38"/>
    <mergeCell ref="A39:B39"/>
    <mergeCell ref="A40:B40"/>
    <mergeCell ref="A41:B41"/>
    <mergeCell ref="C41:E41"/>
    <mergeCell ref="A49:B49"/>
    <mergeCell ref="C49:E49"/>
    <mergeCell ref="A50:B50"/>
    <mergeCell ref="C50:E50"/>
    <mergeCell ref="A46:B46"/>
    <mergeCell ref="C46:E46"/>
    <mergeCell ref="A47:B47"/>
    <mergeCell ref="C47:E47"/>
    <mergeCell ref="A48:B48"/>
    <mergeCell ref="C48:E48"/>
    <mergeCell ref="A56:B56"/>
    <mergeCell ref="C56:E56"/>
    <mergeCell ref="A57:B57"/>
    <mergeCell ref="C57:E57"/>
    <mergeCell ref="A58:B58"/>
    <mergeCell ref="C58:E58"/>
    <mergeCell ref="A51:A53"/>
    <mergeCell ref="B51:E53"/>
    <mergeCell ref="F51:F53"/>
    <mergeCell ref="A54:B54"/>
    <mergeCell ref="C54:E54"/>
    <mergeCell ref="A55:B55"/>
    <mergeCell ref="C55:E55"/>
    <mergeCell ref="A62:A64"/>
    <mergeCell ref="B62:E64"/>
    <mergeCell ref="F62:F64"/>
    <mergeCell ref="A65:B65"/>
    <mergeCell ref="C65:E65"/>
    <mergeCell ref="A66:B66"/>
    <mergeCell ref="C66:E66"/>
    <mergeCell ref="A59:B59"/>
    <mergeCell ref="C59:E59"/>
    <mergeCell ref="A60:B60"/>
    <mergeCell ref="C60:E60"/>
    <mergeCell ref="A61:B61"/>
    <mergeCell ref="C61:E61"/>
    <mergeCell ref="A71:B71"/>
    <mergeCell ref="C71:E71"/>
    <mergeCell ref="A72:B72"/>
    <mergeCell ref="C72:E72"/>
    <mergeCell ref="A73:B73"/>
    <mergeCell ref="C73:E73"/>
    <mergeCell ref="A67:B67"/>
    <mergeCell ref="C67:E67"/>
    <mergeCell ref="A68:B68"/>
    <mergeCell ref="C68:E68"/>
    <mergeCell ref="A69:B69"/>
    <mergeCell ref="C69:E69"/>
    <mergeCell ref="A70:B70"/>
    <mergeCell ref="C70:E70"/>
    <mergeCell ref="F76:F78"/>
    <mergeCell ref="A79:B79"/>
    <mergeCell ref="C79:E79"/>
    <mergeCell ref="A80:A82"/>
    <mergeCell ref="B80:E82"/>
    <mergeCell ref="F80:F82"/>
    <mergeCell ref="A74:B74"/>
    <mergeCell ref="C74:E74"/>
    <mergeCell ref="A75:B75"/>
    <mergeCell ref="C75:E75"/>
    <mergeCell ref="A76:A78"/>
    <mergeCell ref="B76:E78"/>
    <mergeCell ref="F85:F87"/>
    <mergeCell ref="A88:B88"/>
    <mergeCell ref="C88:E88"/>
    <mergeCell ref="A89:B89"/>
    <mergeCell ref="C89:E89"/>
    <mergeCell ref="A90:B90"/>
    <mergeCell ref="C90:E90"/>
    <mergeCell ref="A83:B83"/>
    <mergeCell ref="C83:E83"/>
    <mergeCell ref="A84:B84"/>
    <mergeCell ref="C84:E84"/>
    <mergeCell ref="A85:A87"/>
    <mergeCell ref="B85:E87"/>
    <mergeCell ref="A94:A96"/>
    <mergeCell ref="B94:E96"/>
    <mergeCell ref="F94:F96"/>
    <mergeCell ref="A97:B97"/>
    <mergeCell ref="C97:E97"/>
    <mergeCell ref="A98:E99"/>
    <mergeCell ref="F98:F99"/>
    <mergeCell ref="A91:B91"/>
    <mergeCell ref="C91:E91"/>
    <mergeCell ref="A92:B92"/>
    <mergeCell ref="C92:E92"/>
    <mergeCell ref="A93:B93"/>
    <mergeCell ref="C93:E93"/>
  </mergeCells>
  <printOptions/>
  <pageMargins left="0.7086614173228347" right="0.7086614173228347" top="0.7480314960629921" bottom="0.7480314960629921" header="0.31496062992125984" footer="0.31496062992125984"/>
  <pageSetup firstPageNumber="61" useFirstPageNumber="1" horizontalDpi="600" verticalDpi="600" orientation="portrait" paperSize="9" scale="95" r:id="rId1"/>
  <headerFooter>
    <oddFooter>&amp;C&amp;P.oldal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showZeros="0" zoomScaleSheetLayoutView="100" workbookViewId="0" topLeftCell="A109">
      <selection activeCell="B37" sqref="B37"/>
    </sheetView>
  </sheetViews>
  <sheetFormatPr defaultColWidth="9.125" defaultRowHeight="12.75"/>
  <cols>
    <col min="1" max="1" width="8.00390625" style="17" customWidth="1"/>
    <col min="2" max="2" width="71.625" style="17" customWidth="1"/>
    <col min="3" max="4" width="13.625" style="17" customWidth="1"/>
    <col min="5" max="5" width="10.875" style="17" customWidth="1"/>
    <col min="6" max="6" width="9.875" style="17" bestFit="1" customWidth="1"/>
    <col min="7" max="16384" width="9.125" style="17" customWidth="1"/>
  </cols>
  <sheetData>
    <row r="1" spans="1:5" ht="12.75">
      <c r="A1" s="1233" t="s">
        <v>242</v>
      </c>
      <c r="B1" s="1233"/>
      <c r="C1" s="1222"/>
      <c r="D1" s="1222"/>
      <c r="E1" s="1222"/>
    </row>
    <row r="2" spans="1:5" ht="12.75">
      <c r="A2" s="1233" t="s">
        <v>1184</v>
      </c>
      <c r="B2" s="1233"/>
      <c r="C2" s="1222"/>
      <c r="D2" s="1222"/>
      <c r="E2" s="1222"/>
    </row>
    <row r="3" spans="1:2" ht="9" customHeight="1">
      <c r="A3" s="83"/>
      <c r="B3" s="83"/>
    </row>
    <row r="4" spans="1:5" ht="12" customHeight="1">
      <c r="A4" s="73"/>
      <c r="B4" s="72"/>
      <c r="C4" s="70"/>
      <c r="D4" s="70"/>
      <c r="E4" s="70" t="s">
        <v>154</v>
      </c>
    </row>
    <row r="5" spans="1:5" s="19" customFormat="1" ht="12" customHeight="1">
      <c r="A5" s="76"/>
      <c r="B5" s="18"/>
      <c r="C5" s="1228" t="s">
        <v>1320</v>
      </c>
      <c r="D5" s="1228" t="s">
        <v>1327</v>
      </c>
      <c r="E5" s="1230" t="s">
        <v>1183</v>
      </c>
    </row>
    <row r="6" spans="1:5" s="19" customFormat="1" ht="12" customHeight="1">
      <c r="A6" s="1" t="s">
        <v>160</v>
      </c>
      <c r="B6" s="1" t="s">
        <v>138</v>
      </c>
      <c r="C6" s="1234"/>
      <c r="D6" s="1234"/>
      <c r="E6" s="1231"/>
    </row>
    <row r="7" spans="1:5" s="19" customFormat="1" ht="12.75" customHeight="1" thickBot="1">
      <c r="A7" s="20"/>
      <c r="B7" s="20"/>
      <c r="C7" s="1235"/>
      <c r="D7" s="1235"/>
      <c r="E7" s="1232"/>
    </row>
    <row r="8" spans="1:5" ht="12" customHeight="1">
      <c r="A8" s="2" t="s">
        <v>139</v>
      </c>
      <c r="B8" s="3" t="s">
        <v>140</v>
      </c>
      <c r="C8" s="13" t="s">
        <v>141</v>
      </c>
      <c r="D8" s="13" t="s">
        <v>522</v>
      </c>
      <c r="E8" s="13" t="s">
        <v>523</v>
      </c>
    </row>
    <row r="9" spans="1:5" ht="15" customHeight="1">
      <c r="A9" s="2"/>
      <c r="B9" s="93" t="s">
        <v>243</v>
      </c>
      <c r="C9" s="6"/>
      <c r="D9" s="6"/>
      <c r="E9" s="5"/>
    </row>
    <row r="10" spans="1:5" ht="12.75">
      <c r="A10" s="2"/>
      <c r="B10" s="81"/>
      <c r="C10" s="222"/>
      <c r="D10" s="222"/>
      <c r="E10" s="5"/>
    </row>
    <row r="11" spans="1:5" ht="12.75">
      <c r="A11" s="4">
        <v>1710</v>
      </c>
      <c r="B11" s="4" t="s">
        <v>282</v>
      </c>
      <c r="C11" s="224">
        <f aca="true" t="shared" si="0" ref="C11">SUM(C12:C19)</f>
        <v>3079453</v>
      </c>
      <c r="D11" s="224">
        <f aca="true" t="shared" si="1" ref="D11">SUM(D12:D19)</f>
        <v>3493698</v>
      </c>
      <c r="E11" s="159">
        <f>SUM(D11/C11)</f>
        <v>1.1345190200986994</v>
      </c>
    </row>
    <row r="12" spans="1:5" ht="12.75">
      <c r="A12" s="6">
        <v>1711</v>
      </c>
      <c r="B12" s="6" t="s">
        <v>244</v>
      </c>
      <c r="C12" s="222">
        <f>SUM('3a.m.'!C52)</f>
        <v>2162697</v>
      </c>
      <c r="D12" s="222">
        <f>SUM('3a.m.'!D52)</f>
        <v>2244067</v>
      </c>
      <c r="E12" s="541">
        <f aca="true" t="shared" si="2" ref="E12:E75">SUM(D12/C12)</f>
        <v>1.0376243181546005</v>
      </c>
    </row>
    <row r="13" spans="1:5" ht="12.75">
      <c r="A13" s="6">
        <v>1712</v>
      </c>
      <c r="B13" s="6" t="s">
        <v>90</v>
      </c>
      <c r="C13" s="222">
        <f>SUM('3a.m.'!C53)</f>
        <v>338185</v>
      </c>
      <c r="D13" s="222">
        <f>SUM('3a.m.'!D53)</f>
        <v>366509</v>
      </c>
      <c r="E13" s="541">
        <f t="shared" si="2"/>
        <v>1.0837529754424353</v>
      </c>
    </row>
    <row r="14" spans="1:5" ht="12.75">
      <c r="A14" s="6">
        <v>1713</v>
      </c>
      <c r="B14" s="6" t="s">
        <v>91</v>
      </c>
      <c r="C14" s="222">
        <f>SUM('3a.m.'!C54)</f>
        <v>539571</v>
      </c>
      <c r="D14" s="222">
        <f>SUM('3a.m.'!D54)</f>
        <v>719728</v>
      </c>
      <c r="E14" s="541">
        <f t="shared" si="2"/>
        <v>1.3338893305978268</v>
      </c>
    </row>
    <row r="15" spans="1:5" ht="12.75">
      <c r="A15" s="6">
        <v>1714</v>
      </c>
      <c r="B15" s="6" t="s">
        <v>101</v>
      </c>
      <c r="C15" s="222">
        <f>SUM('3a.m.'!H55)</f>
        <v>0</v>
      </c>
      <c r="D15" s="222">
        <f>SUM('3a.m.'!I55)</f>
        <v>0</v>
      </c>
      <c r="E15" s="541"/>
    </row>
    <row r="16" spans="1:5" ht="12.75">
      <c r="A16" s="6">
        <v>1715</v>
      </c>
      <c r="B16" s="5" t="s">
        <v>258</v>
      </c>
      <c r="C16" s="222">
        <f>SUM('3a.m.'!C56)</f>
        <v>0</v>
      </c>
      <c r="D16" s="222">
        <f>SUM('3a.m.'!E56)</f>
        <v>0</v>
      </c>
      <c r="E16" s="541"/>
    </row>
    <row r="17" spans="1:5" ht="12.75">
      <c r="A17" s="6">
        <v>1716</v>
      </c>
      <c r="B17" s="40" t="s">
        <v>217</v>
      </c>
      <c r="C17" s="222">
        <f>SUM('3a.m.'!C60)</f>
        <v>35000</v>
      </c>
      <c r="D17" s="222">
        <f>SUM('3a.m.'!D60)</f>
        <v>158394</v>
      </c>
      <c r="E17" s="541">
        <f t="shared" si="2"/>
        <v>4.525542857142857</v>
      </c>
    </row>
    <row r="18" spans="1:5" ht="12.75">
      <c r="A18" s="6">
        <v>1717</v>
      </c>
      <c r="B18" s="41" t="s">
        <v>218</v>
      </c>
      <c r="C18" s="222">
        <f>SUM('3a.m.'!H59)</f>
        <v>0</v>
      </c>
      <c r="D18" s="222">
        <f>SUM('3a.m.'!I59)</f>
        <v>0</v>
      </c>
      <c r="E18" s="159"/>
    </row>
    <row r="19" spans="1:5" ht="12.75">
      <c r="A19" s="6">
        <v>1718</v>
      </c>
      <c r="B19" s="41" t="s">
        <v>380</v>
      </c>
      <c r="C19" s="222">
        <f>SUM('3a.m.'!C61)</f>
        <v>4000</v>
      </c>
      <c r="D19" s="222">
        <f>SUM('3a.m.'!D61)</f>
        <v>5000</v>
      </c>
      <c r="E19" s="159">
        <f t="shared" si="2"/>
        <v>1.25</v>
      </c>
    </row>
    <row r="20" spans="1:5" ht="12.75">
      <c r="A20" s="6"/>
      <c r="B20" s="6"/>
      <c r="C20" s="222"/>
      <c r="D20" s="222"/>
      <c r="E20" s="159"/>
    </row>
    <row r="21" spans="1:5" ht="12.75">
      <c r="A21" s="6"/>
      <c r="B21" s="94" t="s">
        <v>1330</v>
      </c>
      <c r="C21" s="222"/>
      <c r="D21" s="222"/>
      <c r="E21" s="159"/>
    </row>
    <row r="22" spans="1:5" ht="7.5" customHeight="1">
      <c r="A22" s="2"/>
      <c r="B22" s="81"/>
      <c r="C22" s="222"/>
      <c r="D22" s="222"/>
      <c r="E22" s="159"/>
    </row>
    <row r="23" spans="1:5" ht="12.75">
      <c r="A23" s="7">
        <v>1750</v>
      </c>
      <c r="B23" s="7" t="s">
        <v>35</v>
      </c>
      <c r="C23" s="226">
        <f aca="true" t="shared" si="3" ref="C23">SUM(C24:C32)</f>
        <v>4258634</v>
      </c>
      <c r="D23" s="226">
        <f>SUM(D24:D32)</f>
        <v>5190484</v>
      </c>
      <c r="E23" s="159">
        <f t="shared" si="2"/>
        <v>1.2188142958516746</v>
      </c>
    </row>
    <row r="24" spans="1:5" ht="12.75">
      <c r="A24" s="6">
        <v>1751</v>
      </c>
      <c r="B24" s="6" t="s">
        <v>244</v>
      </c>
      <c r="C24" s="222">
        <f>SUM('3c.m.'!C899)</f>
        <v>216187</v>
      </c>
      <c r="D24" s="222">
        <f>SUM('3c.m.'!D899)</f>
        <v>225792</v>
      </c>
      <c r="E24" s="541">
        <f t="shared" si="2"/>
        <v>1.0444291284859866</v>
      </c>
    </row>
    <row r="25" spans="1:5" ht="12.75">
      <c r="A25" s="6">
        <v>1752</v>
      </c>
      <c r="B25" s="6" t="s">
        <v>90</v>
      </c>
      <c r="C25" s="222">
        <f>SUM('3c.m.'!C900)</f>
        <v>32839</v>
      </c>
      <c r="D25" s="222">
        <f>SUM('3c.m.'!D900)</f>
        <v>35382</v>
      </c>
      <c r="E25" s="541">
        <f t="shared" si="2"/>
        <v>1.0774384116446907</v>
      </c>
    </row>
    <row r="26" spans="1:5" ht="12.75">
      <c r="A26" s="6">
        <v>1753</v>
      </c>
      <c r="B26" s="6" t="s">
        <v>91</v>
      </c>
      <c r="C26" s="222">
        <f>SUM('3c.m.'!C901)</f>
        <v>3572708</v>
      </c>
      <c r="D26" s="222">
        <f>SUM('3c.m.'!D901)</f>
        <v>4117203</v>
      </c>
      <c r="E26" s="541">
        <f t="shared" si="2"/>
        <v>1.1524040027900404</v>
      </c>
    </row>
    <row r="27" spans="1:5" ht="12.75">
      <c r="A27" s="6">
        <v>1754</v>
      </c>
      <c r="B27" s="6" t="s">
        <v>101</v>
      </c>
      <c r="C27" s="222">
        <f>SUM('3c.m.'!C902)</f>
        <v>200000</v>
      </c>
      <c r="D27" s="222">
        <f>SUM('3c.m.'!D902)</f>
        <v>203069</v>
      </c>
      <c r="E27" s="541">
        <f t="shared" si="2"/>
        <v>1.015345</v>
      </c>
    </row>
    <row r="28" spans="1:5" ht="12.75">
      <c r="A28" s="6">
        <v>1755</v>
      </c>
      <c r="B28" s="6" t="s">
        <v>258</v>
      </c>
      <c r="C28" s="222">
        <f>SUM('3c.m.'!C903)</f>
        <v>49700</v>
      </c>
      <c r="D28" s="222">
        <f>SUM('3c.m.'!D903)</f>
        <v>125083</v>
      </c>
      <c r="E28" s="541">
        <f t="shared" si="2"/>
        <v>2.5167605633802816</v>
      </c>
    </row>
    <row r="29" spans="1:5" ht="12.75">
      <c r="A29" s="6">
        <v>1756</v>
      </c>
      <c r="B29" s="6" t="s">
        <v>217</v>
      </c>
      <c r="C29" s="222">
        <f>SUM('3c.m.'!C906)</f>
        <v>37000</v>
      </c>
      <c r="D29" s="222">
        <f>SUM('3c.m.'!D906)</f>
        <v>70200</v>
      </c>
      <c r="E29" s="541">
        <f t="shared" si="2"/>
        <v>1.8972972972972972</v>
      </c>
    </row>
    <row r="30" spans="1:5" ht="12.75">
      <c r="A30" s="5">
        <v>1757</v>
      </c>
      <c r="B30" s="5" t="s">
        <v>218</v>
      </c>
      <c r="C30" s="222">
        <f>SUM('3c.m.'!C907)</f>
        <v>0</v>
      </c>
      <c r="D30" s="222">
        <f>SUM('3c.m.'!D907)</f>
        <v>0</v>
      </c>
      <c r="E30" s="541"/>
    </row>
    <row r="31" spans="1:5" ht="12.75">
      <c r="A31" s="6">
        <v>1758</v>
      </c>
      <c r="B31" s="6" t="s">
        <v>381</v>
      </c>
      <c r="C31" s="222">
        <f>SUM('3c.m.'!C908)</f>
        <v>150200</v>
      </c>
      <c r="D31" s="222">
        <f>SUM('3c.m.'!D908)</f>
        <v>413755</v>
      </c>
      <c r="E31" s="541">
        <f t="shared" si="2"/>
        <v>2.754693741677763</v>
      </c>
    </row>
    <row r="32" spans="1:5" ht="12.75">
      <c r="A32" s="6"/>
      <c r="B32" s="6"/>
      <c r="C32" s="222"/>
      <c r="D32" s="222"/>
      <c r="E32" s="159"/>
    </row>
    <row r="33" spans="1:5" ht="12.75">
      <c r="A33" s="4">
        <v>1760</v>
      </c>
      <c r="B33" s="4" t="s">
        <v>285</v>
      </c>
      <c r="C33" s="224">
        <f aca="true" t="shared" si="4" ref="C33">SUM(C34:C40)</f>
        <v>1141090</v>
      </c>
      <c r="D33" s="224">
        <f aca="true" t="shared" si="5" ref="D33">SUM(D34:D40)</f>
        <v>1222724</v>
      </c>
      <c r="E33" s="159">
        <f t="shared" si="2"/>
        <v>1.071540369296024</v>
      </c>
    </row>
    <row r="34" spans="1:5" ht="12.75">
      <c r="A34" s="6">
        <v>1761</v>
      </c>
      <c r="B34" s="6" t="s">
        <v>244</v>
      </c>
      <c r="C34" s="154">
        <f>SUM('3d.m.'!C59)</f>
        <v>350</v>
      </c>
      <c r="D34" s="154">
        <f>SUM('3d.m.'!D59)</f>
        <v>2468</v>
      </c>
      <c r="E34" s="541">
        <f t="shared" si="2"/>
        <v>7.051428571428572</v>
      </c>
    </row>
    <row r="35" spans="1:5" ht="12.75">
      <c r="A35" s="5">
        <v>1762</v>
      </c>
      <c r="B35" s="5" t="s">
        <v>90</v>
      </c>
      <c r="C35" s="154">
        <f>SUM('3d.m.'!C60)</f>
        <v>150</v>
      </c>
      <c r="D35" s="154">
        <f>SUM('3d.m.'!D60)</f>
        <v>545</v>
      </c>
      <c r="E35" s="541">
        <f t="shared" si="2"/>
        <v>3.6333333333333333</v>
      </c>
    </row>
    <row r="36" spans="1:5" ht="12.75">
      <c r="A36" s="6">
        <v>1763</v>
      </c>
      <c r="B36" s="6" t="s">
        <v>91</v>
      </c>
      <c r="C36" s="154">
        <f>SUM('3d.m.'!C61)</f>
        <v>8000</v>
      </c>
      <c r="D36" s="154">
        <f>SUM('3d.m.'!D61)</f>
        <v>8862</v>
      </c>
      <c r="E36" s="541">
        <f t="shared" si="2"/>
        <v>1.10775</v>
      </c>
    </row>
    <row r="37" spans="1:5" ht="12.75">
      <c r="A37" s="6">
        <v>1764</v>
      </c>
      <c r="B37" s="6" t="s">
        <v>258</v>
      </c>
      <c r="C37" s="154">
        <f>SUM('3d.m.'!C62)</f>
        <v>1020290</v>
      </c>
      <c r="D37" s="154">
        <f>SUM('3d.m.'!D62)</f>
        <v>1028373</v>
      </c>
      <c r="E37" s="541">
        <f t="shared" si="2"/>
        <v>1.0079222573974067</v>
      </c>
    </row>
    <row r="38" spans="1:5" ht="12.75">
      <c r="A38" s="6">
        <v>1765</v>
      </c>
      <c r="B38" s="6" t="s">
        <v>343</v>
      </c>
      <c r="C38" s="154">
        <f>SUM('3d.m.'!C65)</f>
        <v>5000</v>
      </c>
      <c r="D38" s="154">
        <f>SUM('3d.m.'!D65)</f>
        <v>5000</v>
      </c>
      <c r="E38" s="541">
        <f t="shared" si="2"/>
        <v>1</v>
      </c>
    </row>
    <row r="39" spans="1:5" ht="12.75">
      <c r="A39" s="6">
        <v>1766</v>
      </c>
      <c r="B39" s="6" t="s">
        <v>287</v>
      </c>
      <c r="C39" s="154">
        <f>SUM('3d.m.'!C66)</f>
        <v>107300</v>
      </c>
      <c r="D39" s="154">
        <f>SUM('3d.m.'!D66)</f>
        <v>177476</v>
      </c>
      <c r="E39" s="541">
        <f t="shared" si="2"/>
        <v>1.6540167753960857</v>
      </c>
    </row>
    <row r="40" spans="1:5" ht="12.75">
      <c r="A40" s="6"/>
      <c r="B40" s="6"/>
      <c r="C40" s="154"/>
      <c r="D40" s="154"/>
      <c r="E40" s="159"/>
    </row>
    <row r="41" spans="1:5" ht="12.75">
      <c r="A41" s="4">
        <v>1770</v>
      </c>
      <c r="B41" s="21" t="s">
        <v>277</v>
      </c>
      <c r="C41" s="224">
        <f aca="true" t="shared" si="6" ref="C41">SUM(C42:C48)</f>
        <v>4709108</v>
      </c>
      <c r="D41" s="224">
        <f aca="true" t="shared" si="7" ref="D41">SUM(D42:D48)</f>
        <v>6421612</v>
      </c>
      <c r="E41" s="159">
        <f t="shared" si="2"/>
        <v>1.3636578307399194</v>
      </c>
    </row>
    <row r="42" spans="1:5" ht="12.75">
      <c r="A42" s="64">
        <v>1771</v>
      </c>
      <c r="B42" s="6" t="s">
        <v>244</v>
      </c>
      <c r="C42" s="154">
        <f>'4.mell.'!C87</f>
        <v>0</v>
      </c>
      <c r="D42" s="154">
        <f>'4.mell.'!E87</f>
        <v>0</v>
      </c>
      <c r="E42" s="159"/>
    </row>
    <row r="43" spans="1:5" ht="12.75">
      <c r="A43" s="64">
        <v>1772</v>
      </c>
      <c r="B43" s="6" t="s">
        <v>90</v>
      </c>
      <c r="C43" s="154">
        <f>'4.mell.'!C88</f>
        <v>0</v>
      </c>
      <c r="D43" s="154">
        <f>'4.mell.'!E88</f>
        <v>0</v>
      </c>
      <c r="E43" s="159"/>
    </row>
    <row r="44" spans="1:5" ht="12.75">
      <c r="A44" s="6">
        <v>1773</v>
      </c>
      <c r="B44" s="6" t="s">
        <v>91</v>
      </c>
      <c r="C44" s="154">
        <f>SUM('4.mell.'!C89)</f>
        <v>29742</v>
      </c>
      <c r="D44" s="154">
        <f>SUM('4.mell.'!D89)</f>
        <v>59007</v>
      </c>
      <c r="E44" s="541">
        <f t="shared" si="2"/>
        <v>1.9839620738349808</v>
      </c>
    </row>
    <row r="45" spans="1:5" ht="12.75">
      <c r="A45" s="6">
        <v>1774</v>
      </c>
      <c r="B45" s="6" t="s">
        <v>238</v>
      </c>
      <c r="C45" s="154">
        <f>SUM('4.mell.'!C90)</f>
        <v>0</v>
      </c>
      <c r="D45" s="154">
        <f>SUM('4.mell.'!D90)</f>
        <v>0</v>
      </c>
      <c r="E45" s="541"/>
    </row>
    <row r="46" spans="1:5" ht="12.75">
      <c r="A46" s="6">
        <v>1775</v>
      </c>
      <c r="B46" s="6" t="s">
        <v>217</v>
      </c>
      <c r="C46" s="154">
        <f>SUM('4.mell.'!C93)</f>
        <v>618149</v>
      </c>
      <c r="D46" s="154">
        <f>SUM('4.mell.'!D93)</f>
        <v>669593</v>
      </c>
      <c r="E46" s="541">
        <f t="shared" si="2"/>
        <v>1.0832226534379252</v>
      </c>
    </row>
    <row r="47" spans="1:5" ht="12.75">
      <c r="A47" s="6">
        <v>1776</v>
      </c>
      <c r="B47" s="6" t="s">
        <v>218</v>
      </c>
      <c r="C47" s="227">
        <f>SUM('4.mell.'!C94)</f>
        <v>4055217</v>
      </c>
      <c r="D47" s="227">
        <f>SUM('4.mell.'!D94)</f>
        <v>5669346</v>
      </c>
      <c r="E47" s="541">
        <f t="shared" si="2"/>
        <v>1.3980376389228986</v>
      </c>
    </row>
    <row r="48" spans="1:5" ht="12.75">
      <c r="A48" s="6">
        <v>1777</v>
      </c>
      <c r="B48" s="6" t="s">
        <v>287</v>
      </c>
      <c r="C48" s="227">
        <f>SUM('4.mell.'!C95)</f>
        <v>6000</v>
      </c>
      <c r="D48" s="227">
        <f>SUM('4.mell.'!D95)</f>
        <v>23666</v>
      </c>
      <c r="E48" s="541">
        <f t="shared" si="2"/>
        <v>3.9443333333333332</v>
      </c>
    </row>
    <row r="49" spans="1:5" ht="12.75">
      <c r="A49" s="6"/>
      <c r="B49" s="6"/>
      <c r="C49" s="222"/>
      <c r="D49" s="222"/>
      <c r="E49" s="159"/>
    </row>
    <row r="50" spans="1:5" ht="12.75">
      <c r="A50" s="4">
        <v>1780</v>
      </c>
      <c r="B50" s="4" t="s">
        <v>278</v>
      </c>
      <c r="C50" s="224">
        <f>SUM(C51:C57)</f>
        <v>317754</v>
      </c>
      <c r="D50" s="224">
        <f>SUM(D51:D57)</f>
        <v>795519</v>
      </c>
      <c r="E50" s="159">
        <f t="shared" si="2"/>
        <v>2.5035687985045034</v>
      </c>
    </row>
    <row r="51" spans="1:5" ht="12.75">
      <c r="A51" s="64">
        <v>1781</v>
      </c>
      <c r="B51" s="6" t="s">
        <v>244</v>
      </c>
      <c r="C51" s="227">
        <f>SUM('5.mell. '!H48)</f>
        <v>0</v>
      </c>
      <c r="D51" s="227">
        <f>SUM('5.mell. '!I48)</f>
        <v>0</v>
      </c>
      <c r="E51" s="159"/>
    </row>
    <row r="52" spans="1:5" ht="12.75">
      <c r="A52" s="64">
        <v>1782</v>
      </c>
      <c r="B52" s="6" t="s">
        <v>90</v>
      </c>
      <c r="C52" s="227">
        <f>SUM('5.mell. '!H49)</f>
        <v>0</v>
      </c>
      <c r="D52" s="227">
        <f>SUM('5.mell. '!I49)</f>
        <v>0</v>
      </c>
      <c r="E52" s="159"/>
    </row>
    <row r="53" spans="1:5" ht="12.75">
      <c r="A53" s="6">
        <v>1783</v>
      </c>
      <c r="B53" s="6" t="s">
        <v>91</v>
      </c>
      <c r="C53" s="154">
        <f>SUM('5.mell. '!C50)</f>
        <v>0</v>
      </c>
      <c r="D53" s="154">
        <f>SUM('5.mell. '!D50)</f>
        <v>4688</v>
      </c>
      <c r="E53" s="159"/>
    </row>
    <row r="54" spans="1:5" ht="12.75">
      <c r="A54" s="6">
        <v>1784</v>
      </c>
      <c r="B54" s="6" t="s">
        <v>238</v>
      </c>
      <c r="C54" s="154">
        <f>SUM('5.mell. '!H51)</f>
        <v>0</v>
      </c>
      <c r="D54" s="154">
        <f>SUM('5.mell. '!I51)</f>
        <v>0</v>
      </c>
      <c r="E54" s="159"/>
    </row>
    <row r="55" spans="1:5" ht="12.75">
      <c r="A55" s="6">
        <v>1785</v>
      </c>
      <c r="B55" s="6" t="s">
        <v>217</v>
      </c>
      <c r="C55" s="154">
        <f>SUM('5.mell. '!C55)</f>
        <v>317754</v>
      </c>
      <c r="D55" s="154">
        <f>SUM('5.mell. '!D55)</f>
        <v>790831</v>
      </c>
      <c r="E55" s="541">
        <f t="shared" si="2"/>
        <v>2.4888152470149865</v>
      </c>
    </row>
    <row r="56" spans="1:5" ht="12.75">
      <c r="A56" s="6">
        <v>1786</v>
      </c>
      <c r="B56" s="6" t="s">
        <v>218</v>
      </c>
      <c r="C56" s="567"/>
      <c r="D56" s="567"/>
      <c r="E56" s="159"/>
    </row>
    <row r="57" spans="1:5" ht="12.75">
      <c r="A57" s="5">
        <v>1787</v>
      </c>
      <c r="B57" s="6" t="s">
        <v>287</v>
      </c>
      <c r="C57" s="567"/>
      <c r="D57" s="567"/>
      <c r="E57" s="159"/>
    </row>
    <row r="58" spans="1:5" ht="12.75">
      <c r="A58" s="5"/>
      <c r="B58" s="6"/>
      <c r="C58" s="561"/>
      <c r="D58" s="561"/>
      <c r="E58" s="159"/>
    </row>
    <row r="59" spans="1:5" ht="0.6" hidden="1">
      <c r="A59" s="65">
        <v>1790</v>
      </c>
      <c r="B59" s="120" t="s">
        <v>394</v>
      </c>
      <c r="C59" s="536"/>
      <c r="D59" s="536"/>
      <c r="E59" s="159"/>
    </row>
    <row r="60" spans="1:5" ht="12.75" hidden="1">
      <c r="A60" s="5">
        <v>1795</v>
      </c>
      <c r="B60" s="5" t="s">
        <v>331</v>
      </c>
      <c r="C60" s="562"/>
      <c r="D60" s="562"/>
      <c r="E60" s="159"/>
    </row>
    <row r="61" spans="1:5" s="19" customFormat="1" ht="12.75">
      <c r="A61" s="5"/>
      <c r="B61" s="61"/>
      <c r="C61" s="561"/>
      <c r="D61" s="561"/>
      <c r="E61" s="159"/>
    </row>
    <row r="62" spans="1:5" s="22" customFormat="1" ht="14.1" customHeight="1">
      <c r="A62" s="4">
        <v>1801</v>
      </c>
      <c r="B62" s="7" t="s">
        <v>519</v>
      </c>
      <c r="C62" s="537">
        <v>25000</v>
      </c>
      <c r="D62" s="537">
        <f>25000+381</f>
        <v>25381</v>
      </c>
      <c r="E62" s="159">
        <f t="shared" si="2"/>
        <v>1.01524</v>
      </c>
    </row>
    <row r="63" spans="1:5" s="22" customFormat="1" ht="11.45" customHeight="1">
      <c r="A63" s="4"/>
      <c r="B63" s="7"/>
      <c r="C63" s="537"/>
      <c r="D63" s="537"/>
      <c r="E63" s="159"/>
    </row>
    <row r="64" spans="1:5" s="22" customFormat="1" ht="14.1" customHeight="1">
      <c r="A64" s="4">
        <v>1802</v>
      </c>
      <c r="B64" s="7" t="s">
        <v>350</v>
      </c>
      <c r="C64" s="537">
        <v>7865</v>
      </c>
      <c r="D64" s="537">
        <v>7865</v>
      </c>
      <c r="E64" s="159">
        <f t="shared" si="2"/>
        <v>1</v>
      </c>
    </row>
    <row r="65" spans="1:5" s="22" customFormat="1" ht="14.1" customHeight="1">
      <c r="A65" s="4"/>
      <c r="B65" s="7"/>
      <c r="C65" s="537"/>
      <c r="D65" s="537"/>
      <c r="E65" s="159"/>
    </row>
    <row r="66" spans="1:5" s="22" customFormat="1" ht="14.1" customHeight="1">
      <c r="A66" s="4">
        <v>1803</v>
      </c>
      <c r="B66" s="7" t="s">
        <v>379</v>
      </c>
      <c r="C66" s="537">
        <v>1054735</v>
      </c>
      <c r="D66" s="537">
        <v>1054735</v>
      </c>
      <c r="E66" s="159">
        <f t="shared" si="2"/>
        <v>1</v>
      </c>
    </row>
    <row r="67" spans="1:5" s="22" customFormat="1" ht="11.1" customHeight="1">
      <c r="A67" s="4"/>
      <c r="B67" s="7"/>
      <c r="C67" s="537"/>
      <c r="D67" s="537"/>
      <c r="E67" s="159"/>
    </row>
    <row r="68" spans="1:5" s="22" customFormat="1" ht="12.75">
      <c r="A68" s="4">
        <v>1804</v>
      </c>
      <c r="B68" s="7" t="s">
        <v>421</v>
      </c>
      <c r="C68" s="537">
        <v>75000</v>
      </c>
      <c r="D68" s="537">
        <f>75000+2854</f>
        <v>77854</v>
      </c>
      <c r="E68" s="159">
        <f t="shared" si="2"/>
        <v>1.0380533333333333</v>
      </c>
    </row>
    <row r="69" spans="1:5" s="22" customFormat="1" ht="12.75">
      <c r="A69" s="4"/>
      <c r="B69" s="7"/>
      <c r="C69" s="563"/>
      <c r="D69" s="563"/>
      <c r="E69" s="159"/>
    </row>
    <row r="70" spans="1:5" s="22" customFormat="1" ht="12.75">
      <c r="A70" s="4">
        <v>1806</v>
      </c>
      <c r="B70" s="4" t="s">
        <v>327</v>
      </c>
      <c r="C70" s="535"/>
      <c r="D70" s="535"/>
      <c r="E70" s="159"/>
    </row>
    <row r="71" spans="1:5" s="22" customFormat="1" ht="12.75">
      <c r="A71" s="18"/>
      <c r="B71" s="69" t="s">
        <v>328</v>
      </c>
      <c r="C71" s="564"/>
      <c r="D71" s="564"/>
      <c r="E71" s="159"/>
    </row>
    <row r="72" spans="1:5" s="22" customFormat="1" ht="12.75">
      <c r="A72" s="4"/>
      <c r="B72" s="4"/>
      <c r="C72" s="537"/>
      <c r="D72" s="537"/>
      <c r="E72" s="159"/>
    </row>
    <row r="73" spans="1:5" s="22" customFormat="1" ht="12.75">
      <c r="A73" s="65">
        <v>1812</v>
      </c>
      <c r="B73" s="90" t="s">
        <v>36</v>
      </c>
      <c r="C73" s="535">
        <f>SUM('6.mell. '!C12)</f>
        <v>33447</v>
      </c>
      <c r="D73" s="535">
        <f>SUM('6.mell. '!D12)</f>
        <v>35000</v>
      </c>
      <c r="E73" s="159">
        <f t="shared" si="2"/>
        <v>1.0464316680120789</v>
      </c>
    </row>
    <row r="74" spans="1:5" s="22" customFormat="1" ht="12.75">
      <c r="A74" s="65">
        <v>1813</v>
      </c>
      <c r="B74" s="85" t="s">
        <v>37</v>
      </c>
      <c r="C74" s="535">
        <f>SUM('6.mell. '!C14)</f>
        <v>173268</v>
      </c>
      <c r="D74" s="535">
        <f>SUM('6.mell. '!D14)</f>
        <v>330568</v>
      </c>
      <c r="E74" s="159">
        <f t="shared" si="2"/>
        <v>1.9078421866703603</v>
      </c>
    </row>
    <row r="75" spans="1:5" s="22" customFormat="1" ht="12.75">
      <c r="A75" s="18">
        <v>1816</v>
      </c>
      <c r="B75" s="65" t="s">
        <v>61</v>
      </c>
      <c r="C75" s="535">
        <f>SUM('6.mell. '!C20)</f>
        <v>206715</v>
      </c>
      <c r="D75" s="535">
        <f>SUM('6.mell. '!D20)</f>
        <v>365568</v>
      </c>
      <c r="E75" s="159">
        <f t="shared" si="2"/>
        <v>1.7684638270081996</v>
      </c>
    </row>
    <row r="76" spans="1:5" ht="12.75">
      <c r="A76" s="5"/>
      <c r="B76" s="5"/>
      <c r="C76" s="535"/>
      <c r="D76" s="535"/>
      <c r="E76" s="159"/>
    </row>
    <row r="77" spans="1:5" s="24" customFormat="1" ht="14.1" customHeight="1">
      <c r="A77" s="74"/>
      <c r="B77" s="74" t="s">
        <v>56</v>
      </c>
      <c r="C77" s="565"/>
      <c r="D77" s="565"/>
      <c r="E77" s="159"/>
    </row>
    <row r="78" spans="1:5" s="19" customFormat="1" ht="12" customHeight="1">
      <c r="A78" s="5">
        <v>1821</v>
      </c>
      <c r="B78" s="6" t="s">
        <v>244</v>
      </c>
      <c r="C78" s="566">
        <f>SUM(C12+C24+C34+C42+C51)</f>
        <v>2379234</v>
      </c>
      <c r="D78" s="566">
        <f>SUM(D12+D24+D34+D42+D51)</f>
        <v>2472327</v>
      </c>
      <c r="E78" s="541">
        <f aca="true" t="shared" si="8" ref="E78:E139">SUM(D78/C78)</f>
        <v>1.0391272989542013</v>
      </c>
    </row>
    <row r="79" spans="1:5" s="19" customFormat="1" ht="12" customHeight="1">
      <c r="A79" s="5">
        <v>1822</v>
      </c>
      <c r="B79" s="6" t="s">
        <v>90</v>
      </c>
      <c r="C79" s="567">
        <f aca="true" t="shared" si="9" ref="C79">SUM(C13+C25+C35+C43+C52)</f>
        <v>371174</v>
      </c>
      <c r="D79" s="567">
        <f aca="true" t="shared" si="10" ref="D79">SUM(D13+D25+D35+D43+D52)</f>
        <v>402436</v>
      </c>
      <c r="E79" s="541">
        <f t="shared" si="8"/>
        <v>1.0842246493558276</v>
      </c>
    </row>
    <row r="80" spans="1:5" s="19" customFormat="1" ht="12.75">
      <c r="A80" s="148">
        <v>1823</v>
      </c>
      <c r="B80" s="6" t="s">
        <v>91</v>
      </c>
      <c r="C80" s="567">
        <f>SUM(C14+C26+C36+C44+C53+C62+C64+C68)</f>
        <v>4257886</v>
      </c>
      <c r="D80" s="567">
        <f>SUM(D14+D26+D36+D44+D53+D62+D64+D68)</f>
        <v>5020588</v>
      </c>
      <c r="E80" s="541">
        <f t="shared" si="8"/>
        <v>1.1791269188512796</v>
      </c>
    </row>
    <row r="81" spans="1:5" s="19" customFormat="1" ht="12.75">
      <c r="A81" s="148">
        <v>1824</v>
      </c>
      <c r="B81" s="6" t="s">
        <v>101</v>
      </c>
      <c r="C81" s="566">
        <f>SUM(C15+C27)</f>
        <v>200000</v>
      </c>
      <c r="D81" s="566">
        <f>SUM(D15+D27)</f>
        <v>203069</v>
      </c>
      <c r="E81" s="541">
        <f t="shared" si="8"/>
        <v>1.015345</v>
      </c>
    </row>
    <row r="82" spans="1:5" s="19" customFormat="1" ht="12.75">
      <c r="A82" s="5">
        <v>1825</v>
      </c>
      <c r="B82" s="6" t="s">
        <v>258</v>
      </c>
      <c r="C82" s="567">
        <f>SUM(C16+C28+C37+C45+C54+C66+C70+C73+C74)</f>
        <v>2331440</v>
      </c>
      <c r="D82" s="567">
        <f>SUM(D16+D28+D37+D45+D54+D66+D70+D73+D74)</f>
        <v>2573759</v>
      </c>
      <c r="E82" s="541">
        <f t="shared" si="8"/>
        <v>1.1039353361012936</v>
      </c>
    </row>
    <row r="83" spans="1:5" s="19" customFormat="1" ht="12.75" thickBot="1">
      <c r="A83" s="89"/>
      <c r="B83" s="161" t="s">
        <v>67</v>
      </c>
      <c r="C83" s="568">
        <f aca="true" t="shared" si="11" ref="C83">SUM(C75)</f>
        <v>206715</v>
      </c>
      <c r="D83" s="568">
        <f aca="true" t="shared" si="12" ref="D83">SUM(D75)</f>
        <v>365568</v>
      </c>
      <c r="E83" s="629">
        <f t="shared" si="8"/>
        <v>1.7684638270081996</v>
      </c>
    </row>
    <row r="84" spans="1:5" s="19" customFormat="1" ht="17.25" customHeight="1" thickBot="1">
      <c r="A84" s="153">
        <v>1820</v>
      </c>
      <c r="B84" s="153" t="s">
        <v>47</v>
      </c>
      <c r="C84" s="569">
        <f aca="true" t="shared" si="13" ref="C84">SUM(C78:C83)-C83</f>
        <v>9539734</v>
      </c>
      <c r="D84" s="569">
        <f aca="true" t="shared" si="14" ref="D84">SUM(D78:D83)-D83</f>
        <v>10672179</v>
      </c>
      <c r="E84" s="542">
        <f t="shared" si="8"/>
        <v>1.1187082365189638</v>
      </c>
    </row>
    <row r="85" spans="1:5" s="19" customFormat="1" ht="12.75">
      <c r="A85" s="66"/>
      <c r="B85" s="66"/>
      <c r="C85" s="536"/>
      <c r="D85" s="536"/>
      <c r="E85" s="650"/>
    </row>
    <row r="86" spans="1:5" s="19" customFormat="1" ht="12.75">
      <c r="A86" s="5"/>
      <c r="B86" s="90" t="s">
        <v>57</v>
      </c>
      <c r="C86" s="535"/>
      <c r="D86" s="535"/>
      <c r="E86" s="159"/>
    </row>
    <row r="87" spans="1:5" s="19" customFormat="1" ht="12.75">
      <c r="A87" s="5">
        <v>1831</v>
      </c>
      <c r="B87" s="6" t="s">
        <v>217</v>
      </c>
      <c r="C87" s="566">
        <f>SUM(C17+C29+C46+C55+C38)</f>
        <v>1012903</v>
      </c>
      <c r="D87" s="566">
        <f>SUM(D17+D29+D46+D55+D38)</f>
        <v>1694018</v>
      </c>
      <c r="E87" s="541">
        <f t="shared" si="8"/>
        <v>1.672438525702856</v>
      </c>
    </row>
    <row r="88" spans="1:5" s="19" customFormat="1" ht="12.75">
      <c r="A88" s="5">
        <v>1832</v>
      </c>
      <c r="B88" s="6" t="s">
        <v>218</v>
      </c>
      <c r="C88" s="566">
        <f>SUM(C18+C30+C47+C56)</f>
        <v>4055217</v>
      </c>
      <c r="D88" s="566">
        <f>SUM(D18+D30+D47+D56)</f>
        <v>5669346</v>
      </c>
      <c r="E88" s="541">
        <f t="shared" si="8"/>
        <v>1.3980376389228986</v>
      </c>
    </row>
    <row r="89" spans="1:5" s="19" customFormat="1" ht="12.75" thickBot="1">
      <c r="A89" s="5">
        <v>1833</v>
      </c>
      <c r="B89" s="6" t="s">
        <v>287</v>
      </c>
      <c r="C89" s="566">
        <f>SUM(C31+C48+C39+C57+C59+C19)</f>
        <v>267500</v>
      </c>
      <c r="D89" s="566">
        <f>SUM(D31+D48+D39+D57+D59+D19)</f>
        <v>619897</v>
      </c>
      <c r="E89" s="629">
        <f t="shared" si="8"/>
        <v>2.3173719626168223</v>
      </c>
    </row>
    <row r="90" spans="1:5" s="19" customFormat="1" ht="18.75" customHeight="1" thickBot="1">
      <c r="A90" s="146">
        <v>1830</v>
      </c>
      <c r="B90" s="146" t="s">
        <v>58</v>
      </c>
      <c r="C90" s="570">
        <f aca="true" t="shared" si="15" ref="C90">SUM(C87:C89)</f>
        <v>5335620</v>
      </c>
      <c r="D90" s="570">
        <f aca="true" t="shared" si="16" ref="D90">SUM(D87:D89)</f>
        <v>7983261</v>
      </c>
      <c r="E90" s="542">
        <f t="shared" si="8"/>
        <v>1.496219933203639</v>
      </c>
    </row>
    <row r="91" spans="1:5" s="19" customFormat="1" ht="18.75" customHeight="1">
      <c r="A91" s="622"/>
      <c r="B91" s="622"/>
      <c r="C91" s="623"/>
      <c r="D91" s="623"/>
      <c r="E91" s="650"/>
    </row>
    <row r="92" spans="1:6" s="19" customFormat="1" ht="12.75">
      <c r="A92" s="69">
        <v>1842</v>
      </c>
      <c r="B92" s="115" t="s">
        <v>514</v>
      </c>
      <c r="C92" s="535"/>
      <c r="D92" s="535">
        <v>120591</v>
      </c>
      <c r="E92" s="159">
        <v>1</v>
      </c>
      <c r="F92" s="628"/>
    </row>
    <row r="93" spans="1:5" s="19" customFormat="1" ht="12.75">
      <c r="A93" s="69">
        <v>1843</v>
      </c>
      <c r="B93" s="115" t="s">
        <v>395</v>
      </c>
      <c r="C93" s="536">
        <v>100272</v>
      </c>
      <c r="D93" s="536">
        <v>100272</v>
      </c>
      <c r="E93" s="159">
        <f t="shared" si="8"/>
        <v>1</v>
      </c>
    </row>
    <row r="94" spans="1:5" s="19" customFormat="1" ht="12.75">
      <c r="A94" s="69">
        <v>1844</v>
      </c>
      <c r="B94" s="115" t="s">
        <v>400</v>
      </c>
      <c r="C94" s="536"/>
      <c r="D94" s="536"/>
      <c r="E94" s="159"/>
    </row>
    <row r="95" spans="1:5" s="19" customFormat="1" ht="12.75">
      <c r="A95" s="65">
        <v>1845</v>
      </c>
      <c r="B95" s="120" t="s">
        <v>403</v>
      </c>
      <c r="C95" s="536">
        <f>SUM(C96:C98)</f>
        <v>8274723</v>
      </c>
      <c r="D95" s="536">
        <f>SUM(D96:D98)</f>
        <v>8614441</v>
      </c>
      <c r="E95" s="159">
        <f t="shared" si="8"/>
        <v>1.0410549090283747</v>
      </c>
    </row>
    <row r="96" spans="1:5" s="19" customFormat="1" ht="12.75">
      <c r="A96" s="69">
        <v>1846</v>
      </c>
      <c r="B96" s="64" t="s">
        <v>323</v>
      </c>
      <c r="C96" s="525">
        <f>SUM('2.mell'!C644)</f>
        <v>4891143</v>
      </c>
      <c r="D96" s="525">
        <f>SUM('2.mell'!D644)</f>
        <v>5207515</v>
      </c>
      <c r="E96" s="541">
        <f t="shared" si="8"/>
        <v>1.0646826314421802</v>
      </c>
    </row>
    <row r="97" spans="1:5" s="19" customFormat="1" ht="12.75">
      <c r="A97" s="69">
        <v>1847</v>
      </c>
      <c r="B97" s="69" t="s">
        <v>324</v>
      </c>
      <c r="C97" s="525">
        <f>SUM('2.mell'!C645)</f>
        <v>396047</v>
      </c>
      <c r="D97" s="525">
        <f>SUM('2.mell'!D645)</f>
        <v>419393</v>
      </c>
      <c r="E97" s="541">
        <f t="shared" si="8"/>
        <v>1.0589475491545195</v>
      </c>
    </row>
    <row r="98" spans="1:5" s="19" customFormat="1" ht="12.75" thickBot="1">
      <c r="A98" s="145">
        <v>1849</v>
      </c>
      <c r="B98" s="64" t="s">
        <v>311</v>
      </c>
      <c r="C98" s="571">
        <f>SUM('1b.mell '!C148)</f>
        <v>2987533</v>
      </c>
      <c r="D98" s="571">
        <f>SUM('1b.mell '!D148)</f>
        <v>2987533</v>
      </c>
      <c r="E98" s="629">
        <f t="shared" si="8"/>
        <v>1</v>
      </c>
    </row>
    <row r="99" spans="1:5" s="19" customFormat="1" ht="18.75" customHeight="1" thickBot="1">
      <c r="A99" s="152">
        <v>1840</v>
      </c>
      <c r="B99" s="146" t="s">
        <v>49</v>
      </c>
      <c r="C99" s="572">
        <f>SUM(C95+C93+C94)+C92</f>
        <v>8374995</v>
      </c>
      <c r="D99" s="572">
        <f>SUM(D95+D93+D94)+D92</f>
        <v>8835304</v>
      </c>
      <c r="E99" s="542">
        <f t="shared" si="8"/>
        <v>1.0549623014700307</v>
      </c>
    </row>
    <row r="100" spans="1:5" s="19" customFormat="1" ht="12.75">
      <c r="A100" s="155"/>
      <c r="B100" s="155"/>
      <c r="C100" s="536"/>
      <c r="D100" s="536"/>
      <c r="E100" s="650"/>
    </row>
    <row r="101" spans="1:5" s="19" customFormat="1" ht="12.75" thickBot="1">
      <c r="A101" s="64">
        <v>1851</v>
      </c>
      <c r="B101" s="119" t="s">
        <v>396</v>
      </c>
      <c r="C101" s="571">
        <v>48000</v>
      </c>
      <c r="D101" s="571">
        <v>48000</v>
      </c>
      <c r="E101" s="629">
        <f t="shared" si="8"/>
        <v>1</v>
      </c>
    </row>
    <row r="102" spans="1:5" s="19" customFormat="1" ht="18.75" customHeight="1" thickBot="1">
      <c r="A102" s="152">
        <v>1865</v>
      </c>
      <c r="B102" s="146" t="s">
        <v>51</v>
      </c>
      <c r="C102" s="569">
        <f aca="true" t="shared" si="17" ref="C102">SUM(C101)</f>
        <v>48000</v>
      </c>
      <c r="D102" s="569">
        <f aca="true" t="shared" si="18" ref="D102">SUM(D101)</f>
        <v>48000</v>
      </c>
      <c r="E102" s="542">
        <f t="shared" si="8"/>
        <v>1</v>
      </c>
    </row>
    <row r="103" spans="1:5" s="19" customFormat="1" ht="18.75" customHeight="1" thickBot="1">
      <c r="A103" s="152"/>
      <c r="B103" s="182"/>
      <c r="C103" s="569"/>
      <c r="D103" s="569"/>
      <c r="E103" s="542"/>
    </row>
    <row r="104" spans="1:5" s="19" customFormat="1" ht="18" customHeight="1" thickBot="1">
      <c r="A104" s="87">
        <v>1870</v>
      </c>
      <c r="B104" s="144" t="s">
        <v>1339</v>
      </c>
      <c r="C104" s="599">
        <f>SUM(C102+C99+C90+C84)</f>
        <v>23298349</v>
      </c>
      <c r="D104" s="599">
        <f>SUM(D102+D99+D90+D84)</f>
        <v>27538744</v>
      </c>
      <c r="E104" s="542">
        <f t="shared" si="8"/>
        <v>1.1820040982303082</v>
      </c>
    </row>
    <row r="105" spans="1:5" ht="7.5" customHeight="1">
      <c r="A105" s="7"/>
      <c r="B105" s="57"/>
      <c r="C105" s="600"/>
      <c r="D105" s="600"/>
      <c r="E105" s="650"/>
    </row>
    <row r="106" spans="1:5" s="27" customFormat="1" ht="12" customHeight="1">
      <c r="A106" s="14"/>
      <c r="B106" s="26" t="s">
        <v>1335</v>
      </c>
      <c r="C106" s="617"/>
      <c r="D106" s="617"/>
      <c r="E106" s="159"/>
    </row>
    <row r="107" spans="1:5" s="27" customFormat="1" ht="9" customHeight="1">
      <c r="A107" s="14"/>
      <c r="B107" s="26"/>
      <c r="C107" s="617"/>
      <c r="D107" s="617"/>
      <c r="E107" s="159"/>
    </row>
    <row r="108" spans="1:5" s="27" customFormat="1" ht="12" customHeight="1">
      <c r="A108" s="14"/>
      <c r="B108" s="74" t="s">
        <v>56</v>
      </c>
      <c r="C108" s="617"/>
      <c r="D108" s="617"/>
      <c r="E108" s="159"/>
    </row>
    <row r="109" spans="1:5" s="19" customFormat="1" ht="12.75">
      <c r="A109" s="5">
        <v>1911</v>
      </c>
      <c r="B109" s="6" t="s">
        <v>244</v>
      </c>
      <c r="C109" s="567">
        <f>SUM('2.mell'!C650)</f>
        <v>3341838</v>
      </c>
      <c r="D109" s="567">
        <f>SUM('2.mell'!D650)</f>
        <v>3403082</v>
      </c>
      <c r="E109" s="541">
        <f t="shared" si="8"/>
        <v>1.0183264419160953</v>
      </c>
    </row>
    <row r="110" spans="1:5" s="19" customFormat="1" ht="12.75">
      <c r="A110" s="5">
        <v>1912</v>
      </c>
      <c r="B110" s="6" t="s">
        <v>90</v>
      </c>
      <c r="C110" s="567">
        <f>SUM('2.mell'!C651)</f>
        <v>495045</v>
      </c>
      <c r="D110" s="567">
        <f>SUM('2.mell'!D651)</f>
        <v>505094</v>
      </c>
      <c r="E110" s="541">
        <f t="shared" si="8"/>
        <v>1.020299164722399</v>
      </c>
    </row>
    <row r="111" spans="1:5" s="19" customFormat="1" ht="12.75">
      <c r="A111" s="5">
        <v>1913</v>
      </c>
      <c r="B111" s="5" t="s">
        <v>91</v>
      </c>
      <c r="C111" s="567">
        <f>SUM('2.mell'!C652)</f>
        <v>1647666</v>
      </c>
      <c r="D111" s="567">
        <f>SUM('2.mell'!D652)</f>
        <v>1834510</v>
      </c>
      <c r="E111" s="541">
        <f t="shared" si="8"/>
        <v>1.1133991961963166</v>
      </c>
    </row>
    <row r="112" spans="1:5" s="25" customFormat="1" ht="12.75">
      <c r="A112" s="69">
        <v>1915</v>
      </c>
      <c r="B112" s="6" t="s">
        <v>214</v>
      </c>
      <c r="C112" s="567">
        <f>SUM('2.mell'!C653)</f>
        <v>230</v>
      </c>
      <c r="D112" s="567">
        <f>SUM('2.mell'!D653)</f>
        <v>230</v>
      </c>
      <c r="E112" s="541">
        <f t="shared" si="8"/>
        <v>1</v>
      </c>
    </row>
    <row r="113" spans="1:5" s="19" customFormat="1" ht="12.75">
      <c r="A113" s="5">
        <v>1916</v>
      </c>
      <c r="B113" s="6" t="s">
        <v>258</v>
      </c>
      <c r="C113" s="567">
        <f>SUM('2.mell'!C654)</f>
        <v>0</v>
      </c>
      <c r="D113" s="567">
        <f>SUM('2.mell'!D654)</f>
        <v>42</v>
      </c>
      <c r="E113" s="541"/>
    </row>
    <row r="114" spans="1:5" s="19" customFormat="1" ht="12.75">
      <c r="A114" s="65">
        <v>1910</v>
      </c>
      <c r="B114" s="66" t="s">
        <v>47</v>
      </c>
      <c r="C114" s="535">
        <f aca="true" t="shared" si="19" ref="C114:D114">SUM(C109:C113)</f>
        <v>5484779</v>
      </c>
      <c r="D114" s="535">
        <f t="shared" si="19"/>
        <v>5742958</v>
      </c>
      <c r="E114" s="159">
        <f t="shared" si="8"/>
        <v>1.047071905723093</v>
      </c>
    </row>
    <row r="115" spans="1:5" s="19" customFormat="1" ht="12.75">
      <c r="A115" s="5"/>
      <c r="B115" s="85" t="s">
        <v>57</v>
      </c>
      <c r="C115" s="535"/>
      <c r="D115" s="535"/>
      <c r="E115" s="159"/>
    </row>
    <row r="116" spans="1:5" s="19" customFormat="1" ht="12.75">
      <c r="A116" s="5">
        <v>1921</v>
      </c>
      <c r="B116" s="6" t="s">
        <v>217</v>
      </c>
      <c r="C116" s="567">
        <f>SUM('2.mell'!C656)</f>
        <v>64770</v>
      </c>
      <c r="D116" s="567">
        <f>SUM('2.mell'!D656)</f>
        <v>167408</v>
      </c>
      <c r="E116" s="541">
        <f t="shared" si="8"/>
        <v>2.584653388914621</v>
      </c>
    </row>
    <row r="117" spans="1:5" s="19" customFormat="1" ht="12.75">
      <c r="A117" s="5">
        <v>1922</v>
      </c>
      <c r="B117" s="6" t="s">
        <v>218</v>
      </c>
      <c r="C117" s="567">
        <f>SUM('2.mell'!C657)</f>
        <v>108218</v>
      </c>
      <c r="D117" s="567">
        <f>SUM('2.mell'!D657)</f>
        <v>129862</v>
      </c>
      <c r="E117" s="159">
        <f t="shared" si="8"/>
        <v>1.2000036962427691</v>
      </c>
    </row>
    <row r="118" spans="1:5" s="19" customFormat="1" ht="12.75">
      <c r="A118" s="5">
        <v>1923</v>
      </c>
      <c r="B118" s="6" t="s">
        <v>287</v>
      </c>
      <c r="C118" s="567">
        <f>SUM('2.mell'!K658)</f>
        <v>0</v>
      </c>
      <c r="D118" s="567">
        <f>SUM('2.mell'!L658)</f>
        <v>0</v>
      </c>
      <c r="E118" s="159"/>
    </row>
    <row r="119" spans="1:5" s="19" customFormat="1" ht="12.75" thickBot="1">
      <c r="A119" s="86">
        <v>1920</v>
      </c>
      <c r="B119" s="86" t="s">
        <v>53</v>
      </c>
      <c r="C119" s="807">
        <f aca="true" t="shared" si="20" ref="C119:D119">SUM(C116:C118)</f>
        <v>172988</v>
      </c>
      <c r="D119" s="807">
        <f t="shared" si="20"/>
        <v>297270</v>
      </c>
      <c r="E119" s="631">
        <f t="shared" si="8"/>
        <v>1.718442897773256</v>
      </c>
    </row>
    <row r="120" spans="1:5" s="19" customFormat="1" ht="16.5" customHeight="1" thickBot="1">
      <c r="A120" s="87"/>
      <c r="B120" s="146"/>
      <c r="C120" s="599"/>
      <c r="D120" s="599"/>
      <c r="E120" s="542"/>
    </row>
    <row r="121" spans="1:5" s="29" customFormat="1" ht="13.5" thickBot="1">
      <c r="A121" s="28">
        <v>1940</v>
      </c>
      <c r="B121" s="88" t="s">
        <v>1336</v>
      </c>
      <c r="C121" s="618">
        <f aca="true" t="shared" si="21" ref="C121">SUM(C114+C119)</f>
        <v>5657767</v>
      </c>
      <c r="D121" s="618">
        <f aca="true" t="shared" si="22" ref="D121">SUM(D114+D119)</f>
        <v>6040228</v>
      </c>
      <c r="E121" s="542">
        <f t="shared" si="8"/>
        <v>1.067599284311284</v>
      </c>
    </row>
    <row r="122" spans="1:5" s="29" customFormat="1" ht="12.75">
      <c r="A122" s="84"/>
      <c r="B122" s="163"/>
      <c r="C122" s="619"/>
      <c r="D122" s="619"/>
      <c r="E122" s="650"/>
    </row>
    <row r="123" spans="1:5" ht="14.25" customHeight="1">
      <c r="A123" s="14"/>
      <c r="B123" s="14" t="s">
        <v>1337</v>
      </c>
      <c r="C123" s="603"/>
      <c r="D123" s="603"/>
      <c r="E123" s="159"/>
    </row>
    <row r="124" spans="1:5" ht="14.25" customHeight="1">
      <c r="A124" s="14"/>
      <c r="B124" s="74" t="s">
        <v>56</v>
      </c>
      <c r="C124" s="617"/>
      <c r="D124" s="617"/>
      <c r="E124" s="159"/>
    </row>
    <row r="125" spans="1:5" ht="12.75">
      <c r="A125" s="5">
        <v>1951</v>
      </c>
      <c r="B125" s="6" t="s">
        <v>134</v>
      </c>
      <c r="C125" s="561">
        <f aca="true" t="shared" si="23" ref="C125:D127">SUM(C78+C109)</f>
        <v>5721072</v>
      </c>
      <c r="D125" s="561">
        <f t="shared" si="23"/>
        <v>5875409</v>
      </c>
      <c r="E125" s="541">
        <f t="shared" si="8"/>
        <v>1.026976937189394</v>
      </c>
    </row>
    <row r="126" spans="1:5" ht="12.75">
      <c r="A126" s="5">
        <v>1952</v>
      </c>
      <c r="B126" s="6" t="s">
        <v>270</v>
      </c>
      <c r="C126" s="561">
        <f t="shared" si="23"/>
        <v>866219</v>
      </c>
      <c r="D126" s="561">
        <f t="shared" si="23"/>
        <v>907530</v>
      </c>
      <c r="E126" s="541">
        <f t="shared" si="8"/>
        <v>1.0476911727865585</v>
      </c>
    </row>
    <row r="127" spans="1:5" ht="12.75">
      <c r="A127" s="5">
        <v>1953</v>
      </c>
      <c r="B127" s="6" t="s">
        <v>271</v>
      </c>
      <c r="C127" s="561">
        <f t="shared" si="23"/>
        <v>5905552</v>
      </c>
      <c r="D127" s="561">
        <f>SUM(D80+D111)</f>
        <v>6855098</v>
      </c>
      <c r="E127" s="541">
        <f t="shared" si="8"/>
        <v>1.160788695112667</v>
      </c>
    </row>
    <row r="128" spans="1:5" ht="12.75">
      <c r="A128" s="5">
        <v>1954</v>
      </c>
      <c r="B128" s="6" t="s">
        <v>137</v>
      </c>
      <c r="C128" s="561">
        <f>SUM(C112+C81)</f>
        <v>200230</v>
      </c>
      <c r="D128" s="561">
        <f>SUM(D112+D81)</f>
        <v>203299</v>
      </c>
      <c r="E128" s="541">
        <f t="shared" si="8"/>
        <v>1.0153273735204515</v>
      </c>
    </row>
    <row r="129" spans="1:5" ht="12.75" thickBot="1">
      <c r="A129" s="5">
        <v>1955</v>
      </c>
      <c r="B129" s="6" t="s">
        <v>80</v>
      </c>
      <c r="C129" s="815">
        <f>SUM(C82+C113)</f>
        <v>2331440</v>
      </c>
      <c r="D129" s="815">
        <f>SUM(D82+D113)</f>
        <v>2573801</v>
      </c>
      <c r="E129" s="629">
        <f t="shared" si="8"/>
        <v>1.103953350718869</v>
      </c>
    </row>
    <row r="130" spans="1:5" ht="18" customHeight="1" thickBot="1">
      <c r="A130" s="146">
        <v>1950</v>
      </c>
      <c r="B130" s="146" t="s">
        <v>47</v>
      </c>
      <c r="C130" s="572">
        <f aca="true" t="shared" si="24" ref="C130">SUM(C125:C129)</f>
        <v>15024513</v>
      </c>
      <c r="D130" s="572">
        <f aca="true" t="shared" si="25" ref="D130">SUM(D125:D129)</f>
        <v>16415137</v>
      </c>
      <c r="E130" s="898">
        <f t="shared" si="8"/>
        <v>1.0925570100009232</v>
      </c>
    </row>
    <row r="131" spans="1:5" ht="12.75">
      <c r="A131" s="6"/>
      <c r="B131" s="85" t="s">
        <v>57</v>
      </c>
      <c r="C131" s="561"/>
      <c r="D131" s="561"/>
      <c r="E131" s="650"/>
    </row>
    <row r="132" spans="1:5" ht="12.75">
      <c r="A132" s="6">
        <v>1961</v>
      </c>
      <c r="B132" s="85" t="s">
        <v>219</v>
      </c>
      <c r="C132" s="562">
        <f>SUM(C87+C116)</f>
        <v>1077673</v>
      </c>
      <c r="D132" s="562">
        <f>SUM(D87+D116)</f>
        <v>1861426</v>
      </c>
      <c r="E132" s="541">
        <f t="shared" si="8"/>
        <v>1.7272642072316928</v>
      </c>
    </row>
    <row r="133" spans="1:5" ht="12.75">
      <c r="A133" s="5">
        <v>1962</v>
      </c>
      <c r="B133" s="6" t="s">
        <v>218</v>
      </c>
      <c r="C133" s="525">
        <f>SUM(C88+C117)</f>
        <v>4163435</v>
      </c>
      <c r="D133" s="525">
        <f>SUM(D88+D117)</f>
        <v>5799208</v>
      </c>
      <c r="E133" s="541">
        <f t="shared" si="8"/>
        <v>1.3928902456745451</v>
      </c>
    </row>
    <row r="134" spans="1:5" ht="12.75" thickBot="1">
      <c r="A134" s="5">
        <v>1963</v>
      </c>
      <c r="B134" s="6" t="s">
        <v>287</v>
      </c>
      <c r="C134" s="620">
        <f>SUM(C118+C89)</f>
        <v>267500</v>
      </c>
      <c r="D134" s="620">
        <f>SUM(D118+D89)</f>
        <v>619897</v>
      </c>
      <c r="E134" s="629">
        <f t="shared" si="8"/>
        <v>2.3173719626168223</v>
      </c>
    </row>
    <row r="135" spans="1:5" ht="17.25" customHeight="1" thickBot="1">
      <c r="A135" s="146">
        <v>1960</v>
      </c>
      <c r="B135" s="146" t="s">
        <v>53</v>
      </c>
      <c r="C135" s="572">
        <f aca="true" t="shared" si="26" ref="C135">SUM(C132:C134)</f>
        <v>5508608</v>
      </c>
      <c r="D135" s="572">
        <f aca="true" t="shared" si="27" ref="D135">SUM(D132:D134)</f>
        <v>8280531</v>
      </c>
      <c r="E135" s="542">
        <f t="shared" si="8"/>
        <v>1.5031984486824983</v>
      </c>
    </row>
    <row r="136" spans="1:5" ht="13.5" customHeight="1">
      <c r="A136" s="633">
        <v>1973</v>
      </c>
      <c r="B136" s="115" t="s">
        <v>514</v>
      </c>
      <c r="C136" s="634">
        <f>C92</f>
        <v>0</v>
      </c>
      <c r="D136" s="634">
        <f>D92</f>
        <v>120591</v>
      </c>
      <c r="E136" s="650"/>
    </row>
    <row r="137" spans="1:5" ht="12.75">
      <c r="A137" s="69">
        <v>1974</v>
      </c>
      <c r="B137" s="115" t="s">
        <v>403</v>
      </c>
      <c r="C137" s="562">
        <f>SUM(C95)</f>
        <v>8274723</v>
      </c>
      <c r="D137" s="562">
        <f>SUM(D95)</f>
        <v>8614441</v>
      </c>
      <c r="E137" s="541">
        <f t="shared" si="8"/>
        <v>1.0410549090283747</v>
      </c>
    </row>
    <row r="138" spans="1:5" ht="12.75" thickBot="1">
      <c r="A138" s="174">
        <v>1975</v>
      </c>
      <c r="B138" s="115" t="s">
        <v>395</v>
      </c>
      <c r="C138" s="808">
        <f>SUM(C93)</f>
        <v>100272</v>
      </c>
      <c r="D138" s="808">
        <f>SUM(D93)</f>
        <v>100272</v>
      </c>
      <c r="E138" s="629">
        <f t="shared" si="8"/>
        <v>1</v>
      </c>
    </row>
    <row r="139" spans="1:5" ht="17.25" customHeight="1" thickBot="1">
      <c r="A139" s="152">
        <v>1970</v>
      </c>
      <c r="B139" s="146" t="s">
        <v>28</v>
      </c>
      <c r="C139" s="570">
        <f>SUM(C136:C138)</f>
        <v>8374995</v>
      </c>
      <c r="D139" s="570">
        <f>SUM(D136:D138)</f>
        <v>8835304</v>
      </c>
      <c r="E139" s="542">
        <f t="shared" si="8"/>
        <v>1.0549623014700307</v>
      </c>
    </row>
    <row r="140" spans="1:5" ht="12" customHeight="1" thickBot="1">
      <c r="A140" s="6">
        <v>1981</v>
      </c>
      <c r="B140" s="119" t="s">
        <v>396</v>
      </c>
      <c r="C140" s="518">
        <f aca="true" t="shared" si="28" ref="C140">SUM(C101)</f>
        <v>48000</v>
      </c>
      <c r="D140" s="518">
        <f aca="true" t="shared" si="29" ref="D140">SUM(D101)</f>
        <v>48000</v>
      </c>
      <c r="E140" s="630">
        <f aca="true" t="shared" si="30" ref="E140:E142">SUM(D140/C140)</f>
        <v>1</v>
      </c>
    </row>
    <row r="141" spans="1:5" ht="17.25" customHeight="1" thickBot="1">
      <c r="A141" s="152">
        <v>1980</v>
      </c>
      <c r="B141" s="146" t="s">
        <v>27</v>
      </c>
      <c r="C141" s="570">
        <f aca="true" t="shared" si="31" ref="C141">SUM(C140:C140)</f>
        <v>48000</v>
      </c>
      <c r="D141" s="570">
        <f aca="true" t="shared" si="32" ref="D141">SUM(D140:D140)</f>
        <v>48000</v>
      </c>
      <c r="E141" s="542">
        <f t="shared" si="30"/>
        <v>1</v>
      </c>
    </row>
    <row r="142" spans="1:5" ht="26.25" customHeight="1" thickBot="1">
      <c r="A142" s="30"/>
      <c r="B142" s="501" t="s">
        <v>1338</v>
      </c>
      <c r="C142" s="538">
        <f>SUM(C140+C135+C130+C138)+C136</f>
        <v>20681393</v>
      </c>
      <c r="D142" s="538">
        <f>SUM(D140+D135+D130+D138)+D136</f>
        <v>24964531</v>
      </c>
      <c r="E142" s="930">
        <f t="shared" si="30"/>
        <v>1.2071010400508322</v>
      </c>
    </row>
    <row r="143" ht="12.75">
      <c r="E143" s="450"/>
    </row>
    <row r="144" ht="12.75">
      <c r="E144" s="450"/>
    </row>
    <row r="145" ht="12.75">
      <c r="E145" s="450"/>
    </row>
    <row r="146" ht="12.75">
      <c r="E146" s="450"/>
    </row>
    <row r="147" ht="12.75">
      <c r="E147" s="450"/>
    </row>
    <row r="148" ht="12.75">
      <c r="E148" s="450"/>
    </row>
    <row r="149" ht="12.75">
      <c r="E149" s="450"/>
    </row>
    <row r="150" ht="12.75">
      <c r="E150" s="450"/>
    </row>
    <row r="151" ht="12.75">
      <c r="E151" s="450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</sheetData>
  <mergeCells count="5">
    <mergeCell ref="E5:E7"/>
    <mergeCell ref="A2:E2"/>
    <mergeCell ref="A1:E1"/>
    <mergeCell ref="C5:C7"/>
    <mergeCell ref="D5:D7"/>
  </mergeCells>
  <printOptions horizontalCentered="1"/>
  <pageMargins left="0" right="0" top="0.3937007874015748" bottom="0.31496062992125984" header="0.11811023622047245" footer="0"/>
  <pageSetup firstPageNumber="7" useFirstPageNumber="1" horizontalDpi="600" verticalDpi="600" orientation="landscape" paperSize="9" scale="78" r:id="rId1"/>
  <headerFooter alignWithMargins="0">
    <oddFooter>&amp;C&amp;P. oldal</oddFooter>
  </headerFooter>
  <rowBreaks count="2" manualBreakCount="2">
    <brk id="49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60"/>
  <sheetViews>
    <sheetView zoomScaleSheetLayoutView="120" workbookViewId="0" topLeftCell="A348">
      <selection activeCell="C363" sqref="C363"/>
    </sheetView>
  </sheetViews>
  <sheetFormatPr defaultColWidth="9.125" defaultRowHeight="12.75"/>
  <cols>
    <col min="1" max="1" width="8.625" style="183" customWidth="1"/>
    <col min="2" max="2" width="61.875" style="183" customWidth="1"/>
    <col min="3" max="4" width="11.75390625" style="183" customWidth="1"/>
    <col min="5" max="5" width="8.625" style="183" customWidth="1"/>
    <col min="6" max="6" width="9.00390625" style="183" bestFit="1" customWidth="1"/>
    <col min="7" max="7" width="9.75390625" style="183" bestFit="1" customWidth="1"/>
    <col min="8" max="16384" width="9.125" style="183" customWidth="1"/>
  </cols>
  <sheetData>
    <row r="1" spans="1:5" ht="12.75">
      <c r="A1" s="1242" t="s">
        <v>246</v>
      </c>
      <c r="B1" s="1238"/>
      <c r="C1" s="1238"/>
      <c r="D1" s="1238"/>
      <c r="E1" s="1238"/>
    </row>
    <row r="2" spans="1:5" ht="12.75">
      <c r="A2" s="1236" t="s">
        <v>1186</v>
      </c>
      <c r="B2" s="1237"/>
      <c r="C2" s="1238"/>
      <c r="D2" s="1238"/>
      <c r="E2" s="1238"/>
    </row>
    <row r="3" spans="1:2" ht="12.75">
      <c r="A3" s="184"/>
      <c r="B3" s="184"/>
    </row>
    <row r="4" spans="1:5" ht="12.75">
      <c r="A4" s="228"/>
      <c r="B4" s="229"/>
      <c r="C4" s="230"/>
      <c r="D4" s="230"/>
      <c r="E4" s="230" t="s">
        <v>154</v>
      </c>
    </row>
    <row r="5" spans="1:5" ht="12.6" customHeight="1">
      <c r="A5" s="1243" t="s">
        <v>247</v>
      </c>
      <c r="B5" s="1243" t="s">
        <v>138</v>
      </c>
      <c r="C5" s="1214" t="s">
        <v>1320</v>
      </c>
      <c r="D5" s="1214" t="s">
        <v>1327</v>
      </c>
      <c r="E5" s="1239" t="s">
        <v>1185</v>
      </c>
    </row>
    <row r="6" spans="1:5" ht="12.75">
      <c r="A6" s="1244"/>
      <c r="B6" s="1244"/>
      <c r="C6" s="1246"/>
      <c r="D6" s="1246"/>
      <c r="E6" s="1240"/>
    </row>
    <row r="7" spans="1:5" ht="13.5" thickBot="1">
      <c r="A7" s="1245"/>
      <c r="B7" s="1245"/>
      <c r="C7" s="1247"/>
      <c r="D7" s="1247"/>
      <c r="E7" s="1241"/>
    </row>
    <row r="8" spans="1:5" ht="13.5" thickBot="1">
      <c r="A8" s="231" t="s">
        <v>249</v>
      </c>
      <c r="B8" s="232" t="s">
        <v>250</v>
      </c>
      <c r="C8" s="231" t="s">
        <v>141</v>
      </c>
      <c r="D8" s="231" t="s">
        <v>522</v>
      </c>
      <c r="E8" s="231" t="s">
        <v>523</v>
      </c>
    </row>
    <row r="9" spans="1:5" ht="15">
      <c r="A9" s="185">
        <v>2305</v>
      </c>
      <c r="B9" s="233" t="s">
        <v>286</v>
      </c>
      <c r="C9" s="234"/>
      <c r="D9" s="234"/>
      <c r="E9" s="845"/>
    </row>
    <row r="10" spans="1:5" ht="12.75" customHeight="1">
      <c r="A10" s="185"/>
      <c r="B10" s="235" t="s">
        <v>162</v>
      </c>
      <c r="C10" s="234"/>
      <c r="D10" s="234"/>
      <c r="E10" s="845"/>
    </row>
    <row r="11" spans="1:5" ht="12.75" customHeight="1" thickBot="1">
      <c r="A11" s="185"/>
      <c r="B11" s="236" t="s">
        <v>163</v>
      </c>
      <c r="C11" s="846"/>
      <c r="D11" s="846"/>
      <c r="E11" s="845"/>
    </row>
    <row r="12" spans="1:5" ht="13.5" customHeight="1" thickBot="1">
      <c r="A12" s="185"/>
      <c r="B12" s="237" t="s">
        <v>164</v>
      </c>
      <c r="C12" s="844"/>
      <c r="D12" s="844"/>
      <c r="E12" s="847"/>
    </row>
    <row r="13" spans="1:5" ht="12.75">
      <c r="A13" s="238"/>
      <c r="B13" s="235" t="s">
        <v>165</v>
      </c>
      <c r="C13" s="848"/>
      <c r="D13" s="848"/>
      <c r="E13" s="845"/>
    </row>
    <row r="14" spans="1:5" ht="12.75">
      <c r="A14" s="238"/>
      <c r="B14" s="240" t="s">
        <v>166</v>
      </c>
      <c r="C14" s="849"/>
      <c r="D14" s="849"/>
      <c r="E14" s="845"/>
    </row>
    <row r="15" spans="1:5" ht="12.75">
      <c r="A15" s="238"/>
      <c r="B15" s="240" t="s">
        <v>167</v>
      </c>
      <c r="C15" s="849"/>
      <c r="D15" s="849"/>
      <c r="E15" s="845"/>
    </row>
    <row r="16" spans="1:5" ht="12.75">
      <c r="A16" s="238"/>
      <c r="B16" s="241" t="s">
        <v>168</v>
      </c>
      <c r="C16" s="848"/>
      <c r="D16" s="848"/>
      <c r="E16" s="845"/>
    </row>
    <row r="17" spans="1:5" ht="12.75">
      <c r="A17" s="238"/>
      <c r="B17" s="241" t="s">
        <v>169</v>
      </c>
      <c r="C17" s="848"/>
      <c r="D17" s="848"/>
      <c r="E17" s="845"/>
    </row>
    <row r="18" spans="1:5" ht="12.75">
      <c r="A18" s="238"/>
      <c r="B18" s="241" t="s">
        <v>170</v>
      </c>
      <c r="C18" s="848"/>
      <c r="D18" s="848"/>
      <c r="E18" s="845"/>
    </row>
    <row r="19" spans="1:5" ht="12.75">
      <c r="A19" s="238"/>
      <c r="B19" s="242" t="s">
        <v>397</v>
      </c>
      <c r="C19" s="848"/>
      <c r="D19" s="848"/>
      <c r="E19" s="845"/>
    </row>
    <row r="20" spans="1:5" ht="13.5" thickBot="1">
      <c r="A20" s="238"/>
      <c r="B20" s="243" t="s">
        <v>171</v>
      </c>
      <c r="C20" s="848"/>
      <c r="D20" s="848"/>
      <c r="E20" s="845"/>
    </row>
    <row r="21" spans="1:6" ht="13.5" thickBot="1">
      <c r="A21" s="238"/>
      <c r="B21" s="244" t="s">
        <v>308</v>
      </c>
      <c r="C21" s="850"/>
      <c r="D21" s="850"/>
      <c r="E21" s="851"/>
      <c r="F21" s="645"/>
    </row>
    <row r="22" spans="1:6" ht="18.75" customHeight="1" thickBot="1">
      <c r="A22" s="245"/>
      <c r="B22" s="246" t="s">
        <v>54</v>
      </c>
      <c r="C22" s="852"/>
      <c r="D22" s="852"/>
      <c r="E22" s="852"/>
      <c r="F22" s="645"/>
    </row>
    <row r="23" spans="1:6" ht="12.6" customHeight="1" thickBot="1">
      <c r="A23" s="245"/>
      <c r="B23" s="502" t="s">
        <v>408</v>
      </c>
      <c r="C23" s="853"/>
      <c r="D23" s="853"/>
      <c r="E23" s="854"/>
      <c r="F23" s="645"/>
    </row>
    <row r="24" spans="1:6" ht="18.75" customHeight="1" thickBot="1">
      <c r="A24" s="238"/>
      <c r="B24" s="247" t="s">
        <v>55</v>
      </c>
      <c r="C24" s="855"/>
      <c r="D24" s="855"/>
      <c r="E24" s="856"/>
      <c r="F24" s="645"/>
    </row>
    <row r="25" spans="1:6" ht="12.75" customHeight="1">
      <c r="A25" s="238"/>
      <c r="B25" s="498" t="s">
        <v>373</v>
      </c>
      <c r="C25" s="857"/>
      <c r="D25" s="857">
        <v>1471</v>
      </c>
      <c r="E25" s="845">
        <v>1</v>
      </c>
      <c r="F25" s="645"/>
    </row>
    <row r="26" spans="1:6" ht="13.5" thickBot="1">
      <c r="A26" s="238"/>
      <c r="B26" s="249" t="s">
        <v>401</v>
      </c>
      <c r="C26" s="858">
        <v>184763</v>
      </c>
      <c r="D26" s="858">
        <f>184763+118</f>
        <v>184881</v>
      </c>
      <c r="E26" s="870">
        <f>SUM(D26/C26)</f>
        <v>1.000638656007967</v>
      </c>
      <c r="F26" s="646"/>
    </row>
    <row r="27" spans="1:6" ht="18.75" customHeight="1" thickBot="1">
      <c r="A27" s="238"/>
      <c r="B27" s="250" t="s">
        <v>48</v>
      </c>
      <c r="C27" s="851">
        <f aca="true" t="shared" si="0" ref="C27:D27">SUM(C25:C26)</f>
        <v>184763</v>
      </c>
      <c r="D27" s="851">
        <f t="shared" si="0"/>
        <v>186352</v>
      </c>
      <c r="E27" s="890">
        <f aca="true" t="shared" si="1" ref="E27:E75">SUM(D27/C27)</f>
        <v>1.0086002067513518</v>
      </c>
      <c r="F27" s="645"/>
    </row>
    <row r="28" spans="1:6" ht="12.75" customHeight="1" thickBot="1">
      <c r="A28" s="238"/>
      <c r="B28" s="207" t="s">
        <v>373</v>
      </c>
      <c r="C28" s="853"/>
      <c r="D28" s="853">
        <v>300</v>
      </c>
      <c r="E28" s="847">
        <v>1</v>
      </c>
      <c r="F28" s="645"/>
    </row>
    <row r="29" spans="1:6" ht="15" customHeight="1" thickBot="1">
      <c r="A29" s="238"/>
      <c r="B29" s="250" t="s">
        <v>50</v>
      </c>
      <c r="C29" s="859"/>
      <c r="D29" s="859">
        <v>300</v>
      </c>
      <c r="E29" s="847">
        <v>1</v>
      </c>
      <c r="F29" s="645"/>
    </row>
    <row r="30" spans="1:6" ht="15.75" thickBot="1">
      <c r="A30" s="251"/>
      <c r="B30" s="252" t="s">
        <v>59</v>
      </c>
      <c r="C30" s="596">
        <f aca="true" t="shared" si="2" ref="C30:D30">SUM(C22+C24+C27+C29)</f>
        <v>184763</v>
      </c>
      <c r="D30" s="596">
        <f t="shared" si="2"/>
        <v>186652</v>
      </c>
      <c r="E30" s="890">
        <f t="shared" si="1"/>
        <v>1.0102239084665219</v>
      </c>
      <c r="F30" s="645"/>
    </row>
    <row r="31" spans="1:6" ht="12.75">
      <c r="A31" s="234"/>
      <c r="B31" s="253" t="s">
        <v>289</v>
      </c>
      <c r="C31" s="860">
        <v>155631</v>
      </c>
      <c r="D31" s="860">
        <f>155631+35</f>
        <v>155666</v>
      </c>
      <c r="E31" s="845">
        <f t="shared" si="1"/>
        <v>1.0002248909279</v>
      </c>
      <c r="F31" s="646"/>
    </row>
    <row r="32" spans="1:6" ht="12.75">
      <c r="A32" s="234"/>
      <c r="B32" s="253" t="s">
        <v>290</v>
      </c>
      <c r="C32" s="860">
        <v>24021</v>
      </c>
      <c r="D32" s="860">
        <f>24021+68</f>
        <v>24089</v>
      </c>
      <c r="E32" s="845">
        <f t="shared" si="1"/>
        <v>1.0028308563340411</v>
      </c>
      <c r="F32" s="646"/>
    </row>
    <row r="33" spans="1:6" ht="12.75">
      <c r="A33" s="234"/>
      <c r="B33" s="253" t="s">
        <v>291</v>
      </c>
      <c r="C33" s="860">
        <v>4813</v>
      </c>
      <c r="D33" s="860">
        <f>4813+1486</f>
        <v>6299</v>
      </c>
      <c r="E33" s="845">
        <f t="shared" si="1"/>
        <v>1.3087471431539581</v>
      </c>
      <c r="F33" s="646"/>
    </row>
    <row r="34" spans="1:6" ht="12.75">
      <c r="A34" s="234"/>
      <c r="B34" s="254" t="s">
        <v>293</v>
      </c>
      <c r="C34" s="860"/>
      <c r="D34" s="860"/>
      <c r="E34" s="845"/>
      <c r="F34" s="645"/>
    </row>
    <row r="35" spans="1:6" ht="13.5" thickBot="1">
      <c r="A35" s="234"/>
      <c r="B35" s="255" t="s">
        <v>292</v>
      </c>
      <c r="C35" s="860"/>
      <c r="D35" s="860"/>
      <c r="E35" s="870"/>
      <c r="F35" s="645"/>
    </row>
    <row r="36" spans="1:6" ht="13.5" thickBot="1">
      <c r="A36" s="234"/>
      <c r="B36" s="256" t="s">
        <v>47</v>
      </c>
      <c r="C36" s="596">
        <f>SUM(C31:C35)</f>
        <v>184465</v>
      </c>
      <c r="D36" s="596">
        <f>SUM(D31:D35)</f>
        <v>186054</v>
      </c>
      <c r="E36" s="890">
        <f t="shared" si="1"/>
        <v>1.008614100235817</v>
      </c>
      <c r="F36" s="645"/>
    </row>
    <row r="37" spans="1:6" ht="12.75">
      <c r="A37" s="234"/>
      <c r="B37" s="253" t="s">
        <v>1253</v>
      </c>
      <c r="C37" s="860">
        <v>298</v>
      </c>
      <c r="D37" s="860">
        <f>298+300</f>
        <v>598</v>
      </c>
      <c r="E37" s="845">
        <f t="shared" si="1"/>
        <v>2.0067114093959733</v>
      </c>
      <c r="F37" s="646"/>
    </row>
    <row r="38" spans="1:6" ht="12.75">
      <c r="A38" s="234"/>
      <c r="B38" s="253" t="s">
        <v>221</v>
      </c>
      <c r="C38" s="860"/>
      <c r="D38" s="860"/>
      <c r="E38" s="845"/>
      <c r="F38" s="645"/>
    </row>
    <row r="39" spans="1:6" ht="13.5" thickBot="1">
      <c r="A39" s="234"/>
      <c r="B39" s="255" t="s">
        <v>382</v>
      </c>
      <c r="C39" s="860"/>
      <c r="D39" s="860"/>
      <c r="E39" s="870"/>
      <c r="F39" s="645"/>
    </row>
    <row r="40" spans="1:6" ht="13.5" thickBot="1">
      <c r="A40" s="234"/>
      <c r="B40" s="257" t="s">
        <v>53</v>
      </c>
      <c r="C40" s="596">
        <f aca="true" t="shared" si="3" ref="C40:D40">SUM(C37:C39)</f>
        <v>298</v>
      </c>
      <c r="D40" s="596">
        <f t="shared" si="3"/>
        <v>598</v>
      </c>
      <c r="E40" s="890">
        <f t="shared" si="1"/>
        <v>2.0067114093959733</v>
      </c>
      <c r="F40" s="645"/>
    </row>
    <row r="41" spans="1:6" ht="15.75" thickBot="1">
      <c r="A41" s="231"/>
      <c r="B41" s="258" t="s">
        <v>94</v>
      </c>
      <c r="C41" s="589">
        <f aca="true" t="shared" si="4" ref="C41:D41">SUM(C36+C40)</f>
        <v>184763</v>
      </c>
      <c r="D41" s="589">
        <f t="shared" si="4"/>
        <v>186652</v>
      </c>
      <c r="E41" s="891">
        <f t="shared" si="1"/>
        <v>1.0102239084665219</v>
      </c>
      <c r="F41" s="645"/>
    </row>
    <row r="42" spans="1:6" ht="15">
      <c r="A42" s="185">
        <v>2309</v>
      </c>
      <c r="B42" s="259" t="s">
        <v>294</v>
      </c>
      <c r="C42" s="576"/>
      <c r="D42" s="576"/>
      <c r="E42" s="845"/>
      <c r="F42" s="645"/>
    </row>
    <row r="43" spans="1:6" ht="12.6" customHeight="1">
      <c r="A43" s="234"/>
      <c r="B43" s="235" t="s">
        <v>162</v>
      </c>
      <c r="C43" s="576"/>
      <c r="D43" s="576"/>
      <c r="E43" s="845"/>
      <c r="F43" s="645"/>
    </row>
    <row r="44" spans="1:6" ht="13.5" thickBot="1">
      <c r="A44" s="234"/>
      <c r="B44" s="236" t="s">
        <v>163</v>
      </c>
      <c r="C44" s="862"/>
      <c r="D44" s="862"/>
      <c r="E44" s="870"/>
      <c r="F44" s="645"/>
    </row>
    <row r="45" spans="1:6" ht="13.5" thickBot="1">
      <c r="A45" s="234"/>
      <c r="B45" s="237" t="s">
        <v>164</v>
      </c>
      <c r="C45" s="844"/>
      <c r="D45" s="844"/>
      <c r="E45" s="847"/>
      <c r="F45" s="645"/>
    </row>
    <row r="46" spans="1:6" ht="12.75">
      <c r="A46" s="234"/>
      <c r="B46" s="235" t="s">
        <v>165</v>
      </c>
      <c r="C46" s="860"/>
      <c r="D46" s="860"/>
      <c r="E46" s="845"/>
      <c r="F46" s="645"/>
    </row>
    <row r="47" spans="1:6" ht="12.75">
      <c r="A47" s="234"/>
      <c r="B47" s="240" t="s">
        <v>166</v>
      </c>
      <c r="C47" s="863"/>
      <c r="D47" s="863"/>
      <c r="E47" s="845"/>
      <c r="F47" s="645"/>
    </row>
    <row r="48" spans="1:6" ht="12.75">
      <c r="A48" s="234"/>
      <c r="B48" s="240" t="s">
        <v>167</v>
      </c>
      <c r="C48" s="863"/>
      <c r="D48" s="863"/>
      <c r="E48" s="845"/>
      <c r="F48" s="645"/>
    </row>
    <row r="49" spans="1:6" ht="12.75">
      <c r="A49" s="234"/>
      <c r="B49" s="241" t="s">
        <v>168</v>
      </c>
      <c r="C49" s="860"/>
      <c r="D49" s="860"/>
      <c r="E49" s="845"/>
      <c r="F49" s="645"/>
    </row>
    <row r="50" spans="1:6" ht="12.75">
      <c r="A50" s="234"/>
      <c r="B50" s="241" t="s">
        <v>169</v>
      </c>
      <c r="C50" s="860"/>
      <c r="D50" s="860"/>
      <c r="E50" s="845"/>
      <c r="F50" s="645"/>
    </row>
    <row r="51" spans="1:6" ht="12.75">
      <c r="A51" s="234"/>
      <c r="B51" s="241" t="s">
        <v>170</v>
      </c>
      <c r="C51" s="860"/>
      <c r="D51" s="860"/>
      <c r="E51" s="845"/>
      <c r="F51" s="645"/>
    </row>
    <row r="52" spans="1:6" ht="12.75">
      <c r="A52" s="234"/>
      <c r="B52" s="241" t="s">
        <v>312</v>
      </c>
      <c r="C52" s="860"/>
      <c r="D52" s="860"/>
      <c r="E52" s="845"/>
      <c r="F52" s="645"/>
    </row>
    <row r="53" spans="1:6" ht="12.75">
      <c r="A53" s="234"/>
      <c r="B53" s="242" t="s">
        <v>397</v>
      </c>
      <c r="C53" s="860"/>
      <c r="D53" s="860"/>
      <c r="E53" s="845"/>
      <c r="F53" s="645"/>
    </row>
    <row r="54" spans="1:6" ht="13.5" thickBot="1">
      <c r="A54" s="234"/>
      <c r="B54" s="243" t="s">
        <v>171</v>
      </c>
      <c r="C54" s="861"/>
      <c r="D54" s="861"/>
      <c r="E54" s="870"/>
      <c r="F54" s="645"/>
    </row>
    <row r="55" spans="1:6" ht="13.5" thickBot="1">
      <c r="A55" s="234"/>
      <c r="B55" s="244" t="s">
        <v>308</v>
      </c>
      <c r="C55" s="589"/>
      <c r="D55" s="589"/>
      <c r="E55" s="847"/>
      <c r="F55" s="645"/>
    </row>
    <row r="56" spans="1:6" ht="13.5" thickBot="1">
      <c r="A56" s="234"/>
      <c r="B56" s="246" t="s">
        <v>54</v>
      </c>
      <c r="C56" s="859"/>
      <c r="D56" s="859"/>
      <c r="E56" s="847"/>
      <c r="F56" s="645"/>
    </row>
    <row r="57" spans="1:6" ht="13.5" thickBot="1">
      <c r="A57" s="234"/>
      <c r="B57" s="502" t="s">
        <v>408</v>
      </c>
      <c r="C57" s="864"/>
      <c r="D57" s="864"/>
      <c r="E57" s="847"/>
      <c r="F57" s="645"/>
    </row>
    <row r="58" spans="1:6" ht="13.5" thickBot="1">
      <c r="A58" s="234"/>
      <c r="B58" s="247" t="s">
        <v>55</v>
      </c>
      <c r="C58" s="859"/>
      <c r="D58" s="859"/>
      <c r="E58" s="847"/>
      <c r="F58" s="645"/>
    </row>
    <row r="59" spans="1:6" ht="12.75">
      <c r="A59" s="234"/>
      <c r="B59" s="498" t="s">
        <v>373</v>
      </c>
      <c r="C59" s="865"/>
      <c r="D59" s="865">
        <v>701</v>
      </c>
      <c r="E59" s="845">
        <v>1</v>
      </c>
      <c r="F59" s="645"/>
    </row>
    <row r="60" spans="1:6" ht="13.5" thickBot="1">
      <c r="A60" s="234"/>
      <c r="B60" s="249" t="s">
        <v>401</v>
      </c>
      <c r="C60" s="861">
        <v>175168</v>
      </c>
      <c r="D60" s="861">
        <f>175168+68</f>
        <v>175236</v>
      </c>
      <c r="E60" s="870">
        <f t="shared" si="1"/>
        <v>1.000388198757764</v>
      </c>
      <c r="F60" s="646"/>
    </row>
    <row r="61" spans="1:6" ht="13.5" thickBot="1">
      <c r="A61" s="234"/>
      <c r="B61" s="250" t="s">
        <v>48</v>
      </c>
      <c r="C61" s="859">
        <f aca="true" t="shared" si="5" ref="C61:D61">SUM(C59:C60)</f>
        <v>175168</v>
      </c>
      <c r="D61" s="859">
        <f t="shared" si="5"/>
        <v>175937</v>
      </c>
      <c r="E61" s="890">
        <f t="shared" si="1"/>
        <v>1.0043900712458897</v>
      </c>
      <c r="F61" s="645"/>
    </row>
    <row r="62" spans="1:6" ht="13.5" thickBot="1">
      <c r="A62" s="234"/>
      <c r="B62" s="207" t="s">
        <v>373</v>
      </c>
      <c r="C62" s="866"/>
      <c r="D62" s="866">
        <v>50</v>
      </c>
      <c r="E62" s="847">
        <v>1</v>
      </c>
      <c r="F62" s="645"/>
    </row>
    <row r="63" spans="1:6" ht="13.5" thickBot="1">
      <c r="A63" s="234"/>
      <c r="B63" s="250" t="s">
        <v>50</v>
      </c>
      <c r="C63" s="859"/>
      <c r="D63" s="859">
        <v>50</v>
      </c>
      <c r="E63" s="847">
        <v>1</v>
      </c>
      <c r="F63" s="645"/>
    </row>
    <row r="64" spans="1:6" ht="15.75" thickBot="1">
      <c r="A64" s="234"/>
      <c r="B64" s="252" t="s">
        <v>59</v>
      </c>
      <c r="C64" s="596">
        <f aca="true" t="shared" si="6" ref="C64:D64">SUM(C56+C58+C61+C63)</f>
        <v>175168</v>
      </c>
      <c r="D64" s="596">
        <f t="shared" si="6"/>
        <v>175987</v>
      </c>
      <c r="E64" s="890">
        <f t="shared" si="1"/>
        <v>1.0046755115089514</v>
      </c>
      <c r="F64" s="645"/>
    </row>
    <row r="65" spans="1:6" ht="12.75">
      <c r="A65" s="234"/>
      <c r="B65" s="253" t="s">
        <v>289</v>
      </c>
      <c r="C65" s="860">
        <v>146132</v>
      </c>
      <c r="D65" s="860">
        <f>146132+29</f>
        <v>146161</v>
      </c>
      <c r="E65" s="845">
        <f t="shared" si="1"/>
        <v>1.0001984507157913</v>
      </c>
      <c r="F65" s="646"/>
    </row>
    <row r="66" spans="1:6" ht="12.75">
      <c r="A66" s="234"/>
      <c r="B66" s="253" t="s">
        <v>290</v>
      </c>
      <c r="C66" s="860">
        <v>22800</v>
      </c>
      <c r="D66" s="860">
        <f>22800+24</f>
        <v>22824</v>
      </c>
      <c r="E66" s="845">
        <f t="shared" si="1"/>
        <v>1.0010526315789474</v>
      </c>
      <c r="F66" s="646"/>
    </row>
    <row r="67" spans="1:6" ht="12.75">
      <c r="A67" s="234"/>
      <c r="B67" s="253" t="s">
        <v>291</v>
      </c>
      <c r="C67" s="860">
        <v>5635</v>
      </c>
      <c r="D67" s="860">
        <f>5635+716</f>
        <v>6351</v>
      </c>
      <c r="E67" s="845">
        <f t="shared" si="1"/>
        <v>1.1270629991126886</v>
      </c>
      <c r="F67" s="646"/>
    </row>
    <row r="68" spans="1:6" ht="12.75">
      <c r="A68" s="234"/>
      <c r="B68" s="254" t="s">
        <v>293</v>
      </c>
      <c r="C68" s="860"/>
      <c r="D68" s="860"/>
      <c r="E68" s="845"/>
      <c r="F68" s="645"/>
    </row>
    <row r="69" spans="1:6" ht="13.5" thickBot="1">
      <c r="A69" s="234"/>
      <c r="B69" s="255" t="s">
        <v>292</v>
      </c>
      <c r="C69" s="861"/>
      <c r="D69" s="861"/>
      <c r="E69" s="870"/>
      <c r="F69" s="645"/>
    </row>
    <row r="70" spans="1:6" ht="13.5" thickBot="1">
      <c r="A70" s="234"/>
      <c r="B70" s="256" t="s">
        <v>47</v>
      </c>
      <c r="C70" s="589">
        <f aca="true" t="shared" si="7" ref="C70:D70">SUM(C65:C69)</f>
        <v>174567</v>
      </c>
      <c r="D70" s="589">
        <f t="shared" si="7"/>
        <v>175336</v>
      </c>
      <c r="E70" s="890">
        <f t="shared" si="1"/>
        <v>1.0044051854015936</v>
      </c>
      <c r="F70" s="645"/>
    </row>
    <row r="71" spans="1:6" ht="12.75">
      <c r="A71" s="234"/>
      <c r="B71" s="253" t="s">
        <v>1253</v>
      </c>
      <c r="C71" s="860">
        <v>601</v>
      </c>
      <c r="D71" s="860">
        <f>601+50</f>
        <v>651</v>
      </c>
      <c r="E71" s="845">
        <f t="shared" si="1"/>
        <v>1.0831946755407653</v>
      </c>
      <c r="F71" s="646"/>
    </row>
    <row r="72" spans="1:6" ht="12.75">
      <c r="A72" s="234"/>
      <c r="B72" s="253" t="s">
        <v>221</v>
      </c>
      <c r="C72" s="860"/>
      <c r="D72" s="860"/>
      <c r="E72" s="845"/>
      <c r="F72" s="645"/>
    </row>
    <row r="73" spans="1:6" ht="13.5" thickBot="1">
      <c r="A73" s="234"/>
      <c r="B73" s="255" t="s">
        <v>382</v>
      </c>
      <c r="C73" s="861"/>
      <c r="D73" s="861"/>
      <c r="E73" s="870"/>
      <c r="F73" s="645"/>
    </row>
    <row r="74" spans="1:6" ht="13.5" thickBot="1">
      <c r="A74" s="234"/>
      <c r="B74" s="257" t="s">
        <v>53</v>
      </c>
      <c r="C74" s="589">
        <f aca="true" t="shared" si="8" ref="C74:D74">SUM(C71:C73)</f>
        <v>601</v>
      </c>
      <c r="D74" s="589">
        <f t="shared" si="8"/>
        <v>651</v>
      </c>
      <c r="E74" s="890">
        <f t="shared" si="1"/>
        <v>1.0831946755407653</v>
      </c>
      <c r="F74" s="645"/>
    </row>
    <row r="75" spans="1:6" ht="15.75" thickBot="1">
      <c r="A75" s="231"/>
      <c r="B75" s="258" t="s">
        <v>94</v>
      </c>
      <c r="C75" s="596">
        <f aca="true" t="shared" si="9" ref="C75">SUM(C70+C74)</f>
        <v>175168</v>
      </c>
      <c r="D75" s="596">
        <f>SUM(D70+D74)</f>
        <v>175987</v>
      </c>
      <c r="E75" s="891">
        <f t="shared" si="1"/>
        <v>1.0046755115089514</v>
      </c>
      <c r="F75" s="645"/>
    </row>
    <row r="76" spans="1:6" ht="15">
      <c r="A76" s="185">
        <v>2310</v>
      </c>
      <c r="B76" s="259" t="s">
        <v>295</v>
      </c>
      <c r="C76" s="573"/>
      <c r="D76" s="573"/>
      <c r="E76" s="845"/>
      <c r="F76" s="645"/>
    </row>
    <row r="77" spans="1:6" ht="12.6" customHeight="1">
      <c r="A77" s="234"/>
      <c r="B77" s="235" t="s">
        <v>162</v>
      </c>
      <c r="C77" s="576"/>
      <c r="D77" s="576"/>
      <c r="E77" s="845"/>
      <c r="F77" s="645"/>
    </row>
    <row r="78" spans="1:6" ht="13.5" thickBot="1">
      <c r="A78" s="234"/>
      <c r="B78" s="236" t="s">
        <v>163</v>
      </c>
      <c r="C78" s="577"/>
      <c r="D78" s="577"/>
      <c r="E78" s="870"/>
      <c r="F78" s="645"/>
    </row>
    <row r="79" spans="1:6" ht="13.5" thickBot="1">
      <c r="A79" s="234"/>
      <c r="B79" s="237" t="s">
        <v>164</v>
      </c>
      <c r="C79" s="578"/>
      <c r="D79" s="578"/>
      <c r="E79" s="847"/>
      <c r="F79" s="645"/>
    </row>
    <row r="80" spans="1:6" ht="12.75">
      <c r="A80" s="234"/>
      <c r="B80" s="235" t="s">
        <v>165</v>
      </c>
      <c r="C80" s="573"/>
      <c r="D80" s="573"/>
      <c r="E80" s="845"/>
      <c r="F80" s="645"/>
    </row>
    <row r="81" spans="1:6" ht="12.75">
      <c r="A81" s="234"/>
      <c r="B81" s="240" t="s">
        <v>166</v>
      </c>
      <c r="C81" s="579"/>
      <c r="D81" s="579"/>
      <c r="E81" s="845"/>
      <c r="F81" s="645"/>
    </row>
    <row r="82" spans="1:6" ht="12.75">
      <c r="A82" s="234"/>
      <c r="B82" s="240" t="s">
        <v>167</v>
      </c>
      <c r="C82" s="579"/>
      <c r="D82" s="579"/>
      <c r="E82" s="845"/>
      <c r="F82" s="645"/>
    </row>
    <row r="83" spans="1:6" ht="12.75">
      <c r="A83" s="234"/>
      <c r="B83" s="241" t="s">
        <v>168</v>
      </c>
      <c r="C83" s="573"/>
      <c r="D83" s="573"/>
      <c r="E83" s="845"/>
      <c r="F83" s="645"/>
    </row>
    <row r="84" spans="1:6" ht="12.75">
      <c r="A84" s="234"/>
      <c r="B84" s="241" t="s">
        <v>169</v>
      </c>
      <c r="C84" s="573"/>
      <c r="D84" s="573"/>
      <c r="E84" s="845"/>
      <c r="F84" s="645"/>
    </row>
    <row r="85" spans="1:6" ht="12.75">
      <c r="A85" s="234"/>
      <c r="B85" s="241" t="s">
        <v>170</v>
      </c>
      <c r="C85" s="573"/>
      <c r="D85" s="573"/>
      <c r="E85" s="845"/>
      <c r="F85" s="645"/>
    </row>
    <row r="86" spans="1:6" ht="12.75">
      <c r="A86" s="234"/>
      <c r="B86" s="242" t="s">
        <v>397</v>
      </c>
      <c r="C86" s="573"/>
      <c r="D86" s="573"/>
      <c r="E86" s="845"/>
      <c r="F86" s="645"/>
    </row>
    <row r="87" spans="1:6" ht="13.5" thickBot="1">
      <c r="A87" s="234"/>
      <c r="B87" s="243" t="s">
        <v>171</v>
      </c>
      <c r="C87" s="574"/>
      <c r="D87" s="574"/>
      <c r="E87" s="870"/>
      <c r="F87" s="645"/>
    </row>
    <row r="88" spans="1:6" ht="13.5" thickBot="1">
      <c r="A88" s="234"/>
      <c r="B88" s="244" t="s">
        <v>308</v>
      </c>
      <c r="C88" s="580"/>
      <c r="D88" s="580"/>
      <c r="E88" s="847"/>
      <c r="F88" s="645"/>
    </row>
    <row r="89" spans="1:6" ht="13.5" thickBot="1">
      <c r="A89" s="234"/>
      <c r="B89" s="246" t="s">
        <v>54</v>
      </c>
      <c r="C89" s="867"/>
      <c r="D89" s="867"/>
      <c r="E89" s="847"/>
      <c r="F89" s="645"/>
    </row>
    <row r="90" spans="1:6" ht="13.5" thickBot="1">
      <c r="A90" s="234"/>
      <c r="B90" s="502" t="s">
        <v>408</v>
      </c>
      <c r="C90" s="581"/>
      <c r="D90" s="581"/>
      <c r="E90" s="847"/>
      <c r="F90" s="645"/>
    </row>
    <row r="91" spans="1:6" ht="13.5" thickBot="1">
      <c r="A91" s="234"/>
      <c r="B91" s="247" t="s">
        <v>55</v>
      </c>
      <c r="C91" s="582"/>
      <c r="D91" s="582"/>
      <c r="E91" s="847"/>
      <c r="F91" s="645"/>
    </row>
    <row r="92" spans="1:6" ht="12.75">
      <c r="A92" s="234"/>
      <c r="B92" s="498" t="s">
        <v>373</v>
      </c>
      <c r="C92" s="583"/>
      <c r="D92" s="583">
        <v>90</v>
      </c>
      <c r="E92" s="845">
        <v>1</v>
      </c>
      <c r="F92" s="645"/>
    </row>
    <row r="93" spans="1:6" ht="13.5" thickBot="1">
      <c r="A93" s="234"/>
      <c r="B93" s="249" t="s">
        <v>401</v>
      </c>
      <c r="C93" s="574">
        <v>85423</v>
      </c>
      <c r="D93" s="574">
        <f>85423+328</f>
        <v>85751</v>
      </c>
      <c r="E93" s="870">
        <f aca="true" t="shared" si="10" ref="E93:E142">SUM(D93/C93)</f>
        <v>1.0038397152991583</v>
      </c>
      <c r="F93" s="646"/>
    </row>
    <row r="94" spans="1:6" ht="13.5" thickBot="1">
      <c r="A94" s="234"/>
      <c r="B94" s="250" t="s">
        <v>48</v>
      </c>
      <c r="C94" s="582">
        <f aca="true" t="shared" si="11" ref="C94:D94">SUM(C92:C93)</f>
        <v>85423</v>
      </c>
      <c r="D94" s="582">
        <f t="shared" si="11"/>
        <v>85841</v>
      </c>
      <c r="E94" s="890">
        <f t="shared" si="10"/>
        <v>1.0048932957166103</v>
      </c>
      <c r="F94" s="645"/>
    </row>
    <row r="95" spans="1:6" ht="13.5" thickBot="1">
      <c r="A95" s="234"/>
      <c r="B95" s="207" t="s">
        <v>373</v>
      </c>
      <c r="C95" s="581"/>
      <c r="D95" s="581"/>
      <c r="E95" s="847"/>
      <c r="F95" s="645"/>
    </row>
    <row r="96" spans="1:6" ht="13.5" thickBot="1">
      <c r="A96" s="234"/>
      <c r="B96" s="250" t="s">
        <v>50</v>
      </c>
      <c r="C96" s="582"/>
      <c r="D96" s="582"/>
      <c r="E96" s="847"/>
      <c r="F96" s="645"/>
    </row>
    <row r="97" spans="1:6" ht="15.75" thickBot="1">
      <c r="A97" s="234"/>
      <c r="B97" s="252" t="s">
        <v>59</v>
      </c>
      <c r="C97" s="575">
        <f aca="true" t="shared" si="12" ref="C97:D97">SUM(C89+C91+C94+C96)</f>
        <v>85423</v>
      </c>
      <c r="D97" s="575">
        <f t="shared" si="12"/>
        <v>85841</v>
      </c>
      <c r="E97" s="890">
        <f t="shared" si="10"/>
        <v>1.0048932957166103</v>
      </c>
      <c r="F97" s="645"/>
    </row>
    <row r="98" spans="1:6" ht="12.75">
      <c r="A98" s="234"/>
      <c r="B98" s="253" t="s">
        <v>289</v>
      </c>
      <c r="C98" s="573">
        <v>72962</v>
      </c>
      <c r="D98" s="573">
        <f>72962+178</f>
        <v>73140</v>
      </c>
      <c r="E98" s="845">
        <f t="shared" si="10"/>
        <v>1.0024396261067405</v>
      </c>
      <c r="F98" s="646"/>
    </row>
    <row r="99" spans="1:6" ht="12.75">
      <c r="A99" s="234"/>
      <c r="B99" s="253" t="s">
        <v>290</v>
      </c>
      <c r="C99" s="573">
        <v>10041</v>
      </c>
      <c r="D99" s="573">
        <f>10041+120</f>
        <v>10161</v>
      </c>
      <c r="E99" s="845">
        <f t="shared" si="10"/>
        <v>1.011951000896325</v>
      </c>
      <c r="F99" s="646"/>
    </row>
    <row r="100" spans="1:6" ht="12.75">
      <c r="A100" s="234"/>
      <c r="B100" s="253" t="s">
        <v>291</v>
      </c>
      <c r="C100" s="573">
        <v>2204</v>
      </c>
      <c r="D100" s="573">
        <f>2204+120</f>
        <v>2324</v>
      </c>
      <c r="E100" s="845">
        <f t="shared" si="10"/>
        <v>1.0544464609800364</v>
      </c>
      <c r="F100" s="646"/>
    </row>
    <row r="101" spans="1:6" ht="12.75">
      <c r="A101" s="234"/>
      <c r="B101" s="254" t="s">
        <v>293</v>
      </c>
      <c r="C101" s="573"/>
      <c r="D101" s="573"/>
      <c r="E101" s="845"/>
      <c r="F101" s="645"/>
    </row>
    <row r="102" spans="1:6" ht="13.5" thickBot="1">
      <c r="A102" s="234"/>
      <c r="B102" s="255" t="s">
        <v>292</v>
      </c>
      <c r="C102" s="574"/>
      <c r="D102" s="574"/>
      <c r="E102" s="870"/>
      <c r="F102" s="645"/>
    </row>
    <row r="103" spans="1:6" ht="13.5" thickBot="1">
      <c r="A103" s="234"/>
      <c r="B103" s="256" t="s">
        <v>47</v>
      </c>
      <c r="C103" s="580">
        <f aca="true" t="shared" si="13" ref="C103:D103">SUM(C98:C102)</f>
        <v>85207</v>
      </c>
      <c r="D103" s="580">
        <f t="shared" si="13"/>
        <v>85625</v>
      </c>
      <c r="E103" s="890">
        <f t="shared" si="10"/>
        <v>1.004905700235896</v>
      </c>
      <c r="F103" s="645"/>
    </row>
    <row r="104" spans="1:6" ht="12.75">
      <c r="A104" s="234"/>
      <c r="B104" s="253" t="s">
        <v>1253</v>
      </c>
      <c r="C104" s="573">
        <v>216</v>
      </c>
      <c r="D104" s="573">
        <v>216</v>
      </c>
      <c r="E104" s="845">
        <f t="shared" si="10"/>
        <v>1</v>
      </c>
      <c r="F104" s="646"/>
    </row>
    <row r="105" spans="1:6" ht="12.75">
      <c r="A105" s="234"/>
      <c r="B105" s="253" t="s">
        <v>221</v>
      </c>
      <c r="C105" s="573"/>
      <c r="D105" s="573"/>
      <c r="E105" s="845"/>
      <c r="F105" s="645"/>
    </row>
    <row r="106" spans="1:6" ht="13.5" thickBot="1">
      <c r="A106" s="234"/>
      <c r="B106" s="255" t="s">
        <v>382</v>
      </c>
      <c r="C106" s="574"/>
      <c r="D106" s="574"/>
      <c r="E106" s="870"/>
      <c r="F106" s="645"/>
    </row>
    <row r="107" spans="1:6" ht="13.5" thickBot="1">
      <c r="A107" s="234"/>
      <c r="B107" s="257" t="s">
        <v>53</v>
      </c>
      <c r="C107" s="580">
        <f aca="true" t="shared" si="14" ref="C107:D107">SUM(C104:C106)</f>
        <v>216</v>
      </c>
      <c r="D107" s="580">
        <f t="shared" si="14"/>
        <v>216</v>
      </c>
      <c r="E107" s="890">
        <f t="shared" si="10"/>
        <v>1</v>
      </c>
      <c r="F107" s="645"/>
    </row>
    <row r="108" spans="1:6" ht="15.75" thickBot="1">
      <c r="A108" s="231"/>
      <c r="B108" s="258" t="s">
        <v>94</v>
      </c>
      <c r="C108" s="575">
        <f aca="true" t="shared" si="15" ref="C108:D108">SUM(C103+C107)</f>
        <v>85423</v>
      </c>
      <c r="D108" s="575">
        <f t="shared" si="15"/>
        <v>85841</v>
      </c>
      <c r="E108" s="891">
        <f t="shared" si="10"/>
        <v>1.0048932957166103</v>
      </c>
      <c r="F108" s="645"/>
    </row>
    <row r="109" spans="1:6" ht="15">
      <c r="A109" s="186">
        <v>2315</v>
      </c>
      <c r="B109" s="189" t="s">
        <v>174</v>
      </c>
      <c r="C109" s="573"/>
      <c r="D109" s="573"/>
      <c r="E109" s="845"/>
      <c r="F109" s="645"/>
    </row>
    <row r="110" spans="1:6" ht="12.6" customHeight="1">
      <c r="A110" s="234"/>
      <c r="B110" s="235" t="s">
        <v>162</v>
      </c>
      <c r="C110" s="576"/>
      <c r="D110" s="576"/>
      <c r="E110" s="845"/>
      <c r="F110" s="645"/>
    </row>
    <row r="111" spans="1:6" ht="13.5" thickBot="1">
      <c r="A111" s="234"/>
      <c r="B111" s="236" t="s">
        <v>163</v>
      </c>
      <c r="C111" s="577"/>
      <c r="D111" s="577"/>
      <c r="E111" s="870"/>
      <c r="F111" s="645"/>
    </row>
    <row r="112" spans="1:6" ht="13.5" thickBot="1">
      <c r="A112" s="234"/>
      <c r="B112" s="237" t="s">
        <v>164</v>
      </c>
      <c r="C112" s="578"/>
      <c r="D112" s="578"/>
      <c r="E112" s="847"/>
      <c r="F112" s="645"/>
    </row>
    <row r="113" spans="1:6" ht="12.75">
      <c r="A113" s="234"/>
      <c r="B113" s="235" t="s">
        <v>165</v>
      </c>
      <c r="C113" s="573"/>
      <c r="D113" s="573"/>
      <c r="E113" s="845"/>
      <c r="F113" s="645"/>
    </row>
    <row r="114" spans="1:6" ht="12.75">
      <c r="A114" s="234"/>
      <c r="B114" s="240" t="s">
        <v>166</v>
      </c>
      <c r="C114" s="579"/>
      <c r="D114" s="579"/>
      <c r="E114" s="845"/>
      <c r="F114" s="645"/>
    </row>
    <row r="115" spans="1:6" ht="12.75">
      <c r="A115" s="234"/>
      <c r="B115" s="240" t="s">
        <v>167</v>
      </c>
      <c r="C115" s="579"/>
      <c r="D115" s="579"/>
      <c r="E115" s="845"/>
      <c r="F115" s="645"/>
    </row>
    <row r="116" spans="1:6" ht="12.75">
      <c r="A116" s="234"/>
      <c r="B116" s="241" t="s">
        <v>168</v>
      </c>
      <c r="C116" s="573"/>
      <c r="D116" s="573"/>
      <c r="E116" s="845"/>
      <c r="F116" s="645"/>
    </row>
    <row r="117" spans="1:6" ht="12.75">
      <c r="A117" s="234"/>
      <c r="B117" s="241" t="s">
        <v>169</v>
      </c>
      <c r="C117" s="573"/>
      <c r="D117" s="573"/>
      <c r="E117" s="845"/>
      <c r="F117" s="645"/>
    </row>
    <row r="118" spans="1:6" ht="12.75">
      <c r="A118" s="234"/>
      <c r="B118" s="241" t="s">
        <v>170</v>
      </c>
      <c r="C118" s="573"/>
      <c r="D118" s="573"/>
      <c r="E118" s="845"/>
      <c r="F118" s="645"/>
    </row>
    <row r="119" spans="1:6" ht="12.75">
      <c r="A119" s="234"/>
      <c r="B119" s="241" t="s">
        <v>312</v>
      </c>
      <c r="C119" s="573"/>
      <c r="D119" s="573"/>
      <c r="E119" s="845"/>
      <c r="F119" s="645"/>
    </row>
    <row r="120" spans="1:6" ht="12.75">
      <c r="A120" s="234"/>
      <c r="B120" s="242" t="s">
        <v>397</v>
      </c>
      <c r="C120" s="573"/>
      <c r="D120" s="573"/>
      <c r="E120" s="845"/>
      <c r="F120" s="645"/>
    </row>
    <row r="121" spans="1:6" ht="13.5" thickBot="1">
      <c r="A121" s="234"/>
      <c r="B121" s="243" t="s">
        <v>171</v>
      </c>
      <c r="C121" s="574"/>
      <c r="D121" s="574"/>
      <c r="E121" s="870"/>
      <c r="F121" s="645"/>
    </row>
    <row r="122" spans="1:6" ht="13.5" thickBot="1">
      <c r="A122" s="234"/>
      <c r="B122" s="244" t="s">
        <v>308</v>
      </c>
      <c r="C122" s="580"/>
      <c r="D122" s="580"/>
      <c r="E122" s="847"/>
      <c r="F122" s="645"/>
    </row>
    <row r="123" spans="1:6" ht="13.5" thickBot="1">
      <c r="A123" s="234"/>
      <c r="B123" s="246" t="s">
        <v>54</v>
      </c>
      <c r="C123" s="859"/>
      <c r="D123" s="859"/>
      <c r="E123" s="847"/>
      <c r="F123" s="645"/>
    </row>
    <row r="124" spans="1:6" ht="13.5" thickBot="1">
      <c r="A124" s="234"/>
      <c r="B124" s="502" t="s">
        <v>408</v>
      </c>
      <c r="C124" s="581"/>
      <c r="D124" s="581"/>
      <c r="E124" s="847"/>
      <c r="F124" s="645"/>
    </row>
    <row r="125" spans="1:6" ht="13.5" thickBot="1">
      <c r="A125" s="234"/>
      <c r="B125" s="247" t="s">
        <v>55</v>
      </c>
      <c r="C125" s="582"/>
      <c r="D125" s="582"/>
      <c r="E125" s="847"/>
      <c r="F125" s="645"/>
    </row>
    <row r="126" spans="1:6" ht="12.75">
      <c r="A126" s="234"/>
      <c r="B126" s="498" t="s">
        <v>373</v>
      </c>
      <c r="C126" s="583"/>
      <c r="D126" s="583">
        <v>1718</v>
      </c>
      <c r="E126" s="845">
        <v>1</v>
      </c>
      <c r="F126" s="645"/>
    </row>
    <row r="127" spans="1:6" ht="13.5" thickBot="1">
      <c r="A127" s="234"/>
      <c r="B127" s="249" t="s">
        <v>401</v>
      </c>
      <c r="C127" s="574">
        <v>322632</v>
      </c>
      <c r="D127" s="574">
        <f>322632+368</f>
        <v>323000</v>
      </c>
      <c r="E127" s="870">
        <f t="shared" si="10"/>
        <v>1.0011406184135485</v>
      </c>
      <c r="F127" s="646"/>
    </row>
    <row r="128" spans="1:6" ht="13.5" thickBot="1">
      <c r="A128" s="234"/>
      <c r="B128" s="250" t="s">
        <v>48</v>
      </c>
      <c r="C128" s="582">
        <f aca="true" t="shared" si="16" ref="C128:D128">SUM(C126:C127)</f>
        <v>322632</v>
      </c>
      <c r="D128" s="582">
        <f t="shared" si="16"/>
        <v>324718</v>
      </c>
      <c r="E128" s="890">
        <f t="shared" si="10"/>
        <v>1.0064655706811476</v>
      </c>
      <c r="F128" s="645"/>
    </row>
    <row r="129" spans="1:6" ht="13.5" thickBot="1">
      <c r="A129" s="234"/>
      <c r="B129" s="207" t="s">
        <v>373</v>
      </c>
      <c r="C129" s="581"/>
      <c r="D129" s="581">
        <v>60</v>
      </c>
      <c r="E129" s="847">
        <v>1</v>
      </c>
      <c r="F129" s="645"/>
    </row>
    <row r="130" spans="1:6" ht="13.5" thickBot="1">
      <c r="A130" s="234"/>
      <c r="B130" s="250" t="s">
        <v>50</v>
      </c>
      <c r="C130" s="582"/>
      <c r="D130" s="582">
        <v>60</v>
      </c>
      <c r="E130" s="847">
        <v>1</v>
      </c>
      <c r="F130" s="645"/>
    </row>
    <row r="131" spans="1:6" ht="15.75" thickBot="1">
      <c r="A131" s="234"/>
      <c r="B131" s="252" t="s">
        <v>59</v>
      </c>
      <c r="C131" s="575">
        <f aca="true" t="shared" si="17" ref="C131:D131">SUM(C123+C125+C128+C130)</f>
        <v>322632</v>
      </c>
      <c r="D131" s="575">
        <f t="shared" si="17"/>
        <v>324778</v>
      </c>
      <c r="E131" s="890">
        <f t="shared" si="10"/>
        <v>1.0066515410746608</v>
      </c>
      <c r="F131" s="645"/>
    </row>
    <row r="132" spans="1:6" ht="12.75">
      <c r="A132" s="234"/>
      <c r="B132" s="253" t="s">
        <v>289</v>
      </c>
      <c r="C132" s="573">
        <v>272375</v>
      </c>
      <c r="D132" s="573">
        <f>272375+202</f>
        <v>272577</v>
      </c>
      <c r="E132" s="845">
        <f t="shared" si="10"/>
        <v>1.0007416245984397</v>
      </c>
      <c r="F132" s="646"/>
    </row>
    <row r="133" spans="1:6" ht="12.75">
      <c r="A133" s="234"/>
      <c r="B133" s="253" t="s">
        <v>290</v>
      </c>
      <c r="C133" s="573">
        <v>42402</v>
      </c>
      <c r="D133" s="573">
        <f>42402+104</f>
        <v>42506</v>
      </c>
      <c r="E133" s="845">
        <f t="shared" si="10"/>
        <v>1.0024527144945994</v>
      </c>
      <c r="F133" s="646"/>
    </row>
    <row r="134" spans="1:6" ht="12.75">
      <c r="A134" s="234"/>
      <c r="B134" s="253" t="s">
        <v>291</v>
      </c>
      <c r="C134" s="573">
        <v>7455</v>
      </c>
      <c r="D134" s="573">
        <f>7455+1780</f>
        <v>9235</v>
      </c>
      <c r="E134" s="845">
        <f t="shared" si="10"/>
        <v>1.238765928906774</v>
      </c>
      <c r="F134" s="646"/>
    </row>
    <row r="135" spans="1:6" ht="12.75">
      <c r="A135" s="234"/>
      <c r="B135" s="254" t="s">
        <v>293</v>
      </c>
      <c r="C135" s="573"/>
      <c r="D135" s="573"/>
      <c r="E135" s="845"/>
      <c r="F135" s="645"/>
    </row>
    <row r="136" spans="1:6" ht="13.5" thickBot="1">
      <c r="A136" s="234"/>
      <c r="B136" s="255" t="s">
        <v>292</v>
      </c>
      <c r="C136" s="574"/>
      <c r="D136" s="574"/>
      <c r="E136" s="870"/>
      <c r="F136" s="645"/>
    </row>
    <row r="137" spans="1:6" ht="13.5" thickBot="1">
      <c r="A137" s="234"/>
      <c r="B137" s="256" t="s">
        <v>47</v>
      </c>
      <c r="C137" s="575">
        <f aca="true" t="shared" si="18" ref="C137:D137">SUM(C132:C136)</f>
        <v>322232</v>
      </c>
      <c r="D137" s="575">
        <f t="shared" si="18"/>
        <v>324318</v>
      </c>
      <c r="E137" s="890">
        <f t="shared" si="10"/>
        <v>1.0064735966632736</v>
      </c>
      <c r="F137" s="645"/>
    </row>
    <row r="138" spans="1:6" ht="12.75">
      <c r="A138" s="234"/>
      <c r="B138" s="253" t="s">
        <v>1253</v>
      </c>
      <c r="C138" s="573">
        <v>400</v>
      </c>
      <c r="D138" s="573">
        <f>400+60</f>
        <v>460</v>
      </c>
      <c r="E138" s="845">
        <f t="shared" si="10"/>
        <v>1.15</v>
      </c>
      <c r="F138" s="646"/>
    </row>
    <row r="139" spans="1:6" ht="12.75">
      <c r="A139" s="234"/>
      <c r="B139" s="253" t="s">
        <v>221</v>
      </c>
      <c r="C139" s="573"/>
      <c r="D139" s="573"/>
      <c r="E139" s="845"/>
      <c r="F139" s="645"/>
    </row>
    <row r="140" spans="1:6" ht="13.5" thickBot="1">
      <c r="A140" s="234"/>
      <c r="B140" s="255" t="s">
        <v>382</v>
      </c>
      <c r="C140" s="574"/>
      <c r="D140" s="574"/>
      <c r="E140" s="870"/>
      <c r="F140" s="645"/>
    </row>
    <row r="141" spans="1:6" ht="13.5" thickBot="1">
      <c r="A141" s="234"/>
      <c r="B141" s="257" t="s">
        <v>53</v>
      </c>
      <c r="C141" s="575">
        <f aca="true" t="shared" si="19" ref="C141:D141">SUM(C138:C140)</f>
        <v>400</v>
      </c>
      <c r="D141" s="575">
        <f t="shared" si="19"/>
        <v>460</v>
      </c>
      <c r="E141" s="890">
        <f t="shared" si="10"/>
        <v>1.15</v>
      </c>
      <c r="F141" s="645"/>
    </row>
    <row r="142" spans="1:6" ht="15.75" thickBot="1">
      <c r="A142" s="231"/>
      <c r="B142" s="258" t="s">
        <v>94</v>
      </c>
      <c r="C142" s="575">
        <f aca="true" t="shared" si="20" ref="C142:D142">SUM(C137+C141)</f>
        <v>322632</v>
      </c>
      <c r="D142" s="575">
        <f t="shared" si="20"/>
        <v>324778</v>
      </c>
      <c r="E142" s="891">
        <f t="shared" si="10"/>
        <v>1.0066515410746608</v>
      </c>
      <c r="F142" s="645"/>
    </row>
    <row r="143" spans="1:6" ht="15">
      <c r="A143" s="186">
        <v>2325</v>
      </c>
      <c r="B143" s="260" t="s">
        <v>296</v>
      </c>
      <c r="C143" s="573"/>
      <c r="D143" s="573"/>
      <c r="E143" s="845"/>
      <c r="F143" s="645"/>
    </row>
    <row r="144" spans="1:6" ht="12.6" customHeight="1">
      <c r="A144" s="234"/>
      <c r="B144" s="235" t="s">
        <v>162</v>
      </c>
      <c r="C144" s="576"/>
      <c r="D144" s="576"/>
      <c r="E144" s="845"/>
      <c r="F144" s="645"/>
    </row>
    <row r="145" spans="1:6" ht="13.5" thickBot="1">
      <c r="A145" s="234"/>
      <c r="B145" s="236" t="s">
        <v>163</v>
      </c>
      <c r="C145" s="577"/>
      <c r="D145" s="577"/>
      <c r="E145" s="870"/>
      <c r="F145" s="645"/>
    </row>
    <row r="146" spans="1:6" ht="13.5" thickBot="1">
      <c r="A146" s="234"/>
      <c r="B146" s="237" t="s">
        <v>164</v>
      </c>
      <c r="C146" s="578"/>
      <c r="D146" s="578"/>
      <c r="E146" s="847"/>
      <c r="F146" s="645"/>
    </row>
    <row r="147" spans="1:6" ht="12.75">
      <c r="A147" s="234"/>
      <c r="B147" s="235" t="s">
        <v>165</v>
      </c>
      <c r="C147" s="573"/>
      <c r="D147" s="573"/>
      <c r="E147" s="845"/>
      <c r="F147" s="645"/>
    </row>
    <row r="148" spans="1:6" ht="12.75">
      <c r="A148" s="234"/>
      <c r="B148" s="240" t="s">
        <v>166</v>
      </c>
      <c r="C148" s="579"/>
      <c r="D148" s="579"/>
      <c r="E148" s="845"/>
      <c r="F148" s="645"/>
    </row>
    <row r="149" spans="1:6" ht="12.75">
      <c r="A149" s="234"/>
      <c r="B149" s="240" t="s">
        <v>167</v>
      </c>
      <c r="C149" s="579"/>
      <c r="D149" s="579"/>
      <c r="E149" s="845"/>
      <c r="F149" s="645"/>
    </row>
    <row r="150" spans="1:6" ht="12.75">
      <c r="A150" s="234"/>
      <c r="B150" s="241" t="s">
        <v>168</v>
      </c>
      <c r="C150" s="573"/>
      <c r="D150" s="573"/>
      <c r="E150" s="845"/>
      <c r="F150" s="645"/>
    </row>
    <row r="151" spans="1:6" ht="12.75">
      <c r="A151" s="234"/>
      <c r="B151" s="241" t="s">
        <v>169</v>
      </c>
      <c r="C151" s="573"/>
      <c r="D151" s="573"/>
      <c r="E151" s="845"/>
      <c r="F151" s="645"/>
    </row>
    <row r="152" spans="1:6" ht="12.75">
      <c r="A152" s="234"/>
      <c r="B152" s="241" t="s">
        <v>170</v>
      </c>
      <c r="C152" s="573"/>
      <c r="D152" s="573"/>
      <c r="E152" s="845"/>
      <c r="F152" s="645"/>
    </row>
    <row r="153" spans="1:6" ht="12.75">
      <c r="A153" s="234"/>
      <c r="B153" s="242" t="s">
        <v>397</v>
      </c>
      <c r="C153" s="573"/>
      <c r="D153" s="573"/>
      <c r="E153" s="845"/>
      <c r="F153" s="645"/>
    </row>
    <row r="154" spans="1:6" ht="13.5" thickBot="1">
      <c r="A154" s="234"/>
      <c r="B154" s="243" t="s">
        <v>171</v>
      </c>
      <c r="C154" s="574"/>
      <c r="D154" s="574"/>
      <c r="E154" s="870"/>
      <c r="F154" s="645"/>
    </row>
    <row r="155" spans="1:6" ht="13.5" thickBot="1">
      <c r="A155" s="234"/>
      <c r="B155" s="244" t="s">
        <v>308</v>
      </c>
      <c r="C155" s="580"/>
      <c r="D155" s="580"/>
      <c r="E155" s="847"/>
      <c r="F155" s="645"/>
    </row>
    <row r="156" spans="1:6" ht="13.5" thickBot="1">
      <c r="A156" s="234"/>
      <c r="B156" s="246" t="s">
        <v>54</v>
      </c>
      <c r="C156" s="859"/>
      <c r="D156" s="859"/>
      <c r="E156" s="847"/>
      <c r="F156" s="645"/>
    </row>
    <row r="157" spans="1:6" ht="13.5" thickBot="1">
      <c r="A157" s="234"/>
      <c r="B157" s="502" t="s">
        <v>408</v>
      </c>
      <c r="C157" s="581"/>
      <c r="D157" s="581"/>
      <c r="E157" s="847"/>
      <c r="F157" s="645"/>
    </row>
    <row r="158" spans="1:6" ht="13.5" thickBot="1">
      <c r="A158" s="234"/>
      <c r="B158" s="247" t="s">
        <v>55</v>
      </c>
      <c r="C158" s="582"/>
      <c r="D158" s="582"/>
      <c r="E158" s="847"/>
      <c r="F158" s="645"/>
    </row>
    <row r="159" spans="1:6" ht="12.75">
      <c r="A159" s="234"/>
      <c r="B159" s="498" t="s">
        <v>373</v>
      </c>
      <c r="C159" s="583"/>
      <c r="D159" s="583">
        <v>743</v>
      </c>
      <c r="E159" s="845">
        <v>1</v>
      </c>
      <c r="F159" s="645"/>
    </row>
    <row r="160" spans="1:6" ht="13.5" thickBot="1">
      <c r="A160" s="234"/>
      <c r="B160" s="249" t="s">
        <v>401</v>
      </c>
      <c r="C160" s="574">
        <v>183499</v>
      </c>
      <c r="D160" s="574">
        <f>183499+451</f>
        <v>183950</v>
      </c>
      <c r="E160" s="870">
        <f aca="true" t="shared" si="21" ref="E160:E208">SUM(D160/C160)</f>
        <v>1.0024577790614664</v>
      </c>
      <c r="F160" s="646"/>
    </row>
    <row r="161" spans="1:6" ht="13.5" thickBot="1">
      <c r="A161" s="234"/>
      <c r="B161" s="250" t="s">
        <v>48</v>
      </c>
      <c r="C161" s="582">
        <f aca="true" t="shared" si="22" ref="C161:D161">SUM(C159:C160)</f>
        <v>183499</v>
      </c>
      <c r="D161" s="582">
        <f t="shared" si="22"/>
        <v>184693</v>
      </c>
      <c r="E161" s="890">
        <f t="shared" si="21"/>
        <v>1.00650684744876</v>
      </c>
      <c r="F161" s="645"/>
    </row>
    <row r="162" spans="1:6" ht="13.5" thickBot="1">
      <c r="A162" s="234"/>
      <c r="B162" s="207" t="s">
        <v>373</v>
      </c>
      <c r="C162" s="581"/>
      <c r="D162" s="581">
        <v>80</v>
      </c>
      <c r="E162" s="847">
        <v>1</v>
      </c>
      <c r="F162" s="645"/>
    </row>
    <row r="163" spans="1:6" ht="13.5" thickBot="1">
      <c r="A163" s="234"/>
      <c r="B163" s="250" t="s">
        <v>50</v>
      </c>
      <c r="C163" s="582"/>
      <c r="D163" s="582">
        <v>80</v>
      </c>
      <c r="E163" s="847">
        <v>1</v>
      </c>
      <c r="F163" s="645"/>
    </row>
    <row r="164" spans="1:6" ht="15.75" thickBot="1">
      <c r="A164" s="234"/>
      <c r="B164" s="252" t="s">
        <v>59</v>
      </c>
      <c r="C164" s="575">
        <f>SUM(C156+C158+C161+C163)</f>
        <v>183499</v>
      </c>
      <c r="D164" s="575">
        <f>SUM(D156+D158+D161+D163)</f>
        <v>184773</v>
      </c>
      <c r="E164" s="890">
        <f t="shared" si="21"/>
        <v>1.006942817127069</v>
      </c>
      <c r="F164" s="645"/>
    </row>
    <row r="165" spans="1:6" ht="12.75">
      <c r="A165" s="234"/>
      <c r="B165" s="253" t="s">
        <v>289</v>
      </c>
      <c r="C165" s="573">
        <v>153603</v>
      </c>
      <c r="D165" s="573">
        <f>153603+305</f>
        <v>153908</v>
      </c>
      <c r="E165" s="845">
        <f t="shared" si="21"/>
        <v>1.0019856383013352</v>
      </c>
      <c r="F165" s="646"/>
    </row>
    <row r="166" spans="1:6" ht="12.75">
      <c r="A166" s="234"/>
      <c r="B166" s="253" t="s">
        <v>290</v>
      </c>
      <c r="C166" s="573">
        <v>23869</v>
      </c>
      <c r="D166" s="573">
        <f>23869+143</f>
        <v>24012</v>
      </c>
      <c r="E166" s="845">
        <f t="shared" si="21"/>
        <v>1.0059910343960785</v>
      </c>
      <c r="F166" s="646"/>
    </row>
    <row r="167" spans="1:6" ht="12.75">
      <c r="A167" s="234"/>
      <c r="B167" s="253" t="s">
        <v>291</v>
      </c>
      <c r="C167" s="573">
        <v>5627</v>
      </c>
      <c r="D167" s="573">
        <f>5627+746</f>
        <v>6373</v>
      </c>
      <c r="E167" s="845">
        <f t="shared" si="21"/>
        <v>1.1325750844144304</v>
      </c>
      <c r="F167" s="646"/>
    </row>
    <row r="168" spans="1:6" ht="12.75">
      <c r="A168" s="234"/>
      <c r="B168" s="254" t="s">
        <v>293</v>
      </c>
      <c r="C168" s="573"/>
      <c r="D168" s="573"/>
      <c r="E168" s="845"/>
      <c r="F168" s="645"/>
    </row>
    <row r="169" spans="1:6" ht="13.5" thickBot="1">
      <c r="A169" s="234"/>
      <c r="B169" s="255" t="s">
        <v>292</v>
      </c>
      <c r="C169" s="574"/>
      <c r="D169" s="574"/>
      <c r="E169" s="870"/>
      <c r="F169" s="645"/>
    </row>
    <row r="170" spans="1:6" ht="13.5" thickBot="1">
      <c r="A170" s="234"/>
      <c r="B170" s="256" t="s">
        <v>47</v>
      </c>
      <c r="C170" s="580">
        <f aca="true" t="shared" si="23" ref="C170:D170">SUM(C165:C169)</f>
        <v>183099</v>
      </c>
      <c r="D170" s="580">
        <f t="shared" si="23"/>
        <v>184293</v>
      </c>
      <c r="E170" s="890">
        <f t="shared" si="21"/>
        <v>1.0065210623760916</v>
      </c>
      <c r="F170" s="645"/>
    </row>
    <row r="171" spans="1:6" ht="12.75">
      <c r="A171" s="234"/>
      <c r="B171" s="253" t="s">
        <v>1253</v>
      </c>
      <c r="C171" s="573">
        <v>400</v>
      </c>
      <c r="D171" s="573">
        <f>400+80</f>
        <v>480</v>
      </c>
      <c r="E171" s="845">
        <f t="shared" si="21"/>
        <v>1.2</v>
      </c>
      <c r="F171" s="646"/>
    </row>
    <row r="172" spans="1:6" ht="12.75">
      <c r="A172" s="234"/>
      <c r="B172" s="253" t="s">
        <v>221</v>
      </c>
      <c r="C172" s="573"/>
      <c r="D172" s="573"/>
      <c r="E172" s="845"/>
      <c r="F172" s="645"/>
    </row>
    <row r="173" spans="1:6" ht="13.5" thickBot="1">
      <c r="A173" s="234"/>
      <c r="B173" s="255" t="s">
        <v>382</v>
      </c>
      <c r="C173" s="574"/>
      <c r="D173" s="574"/>
      <c r="E173" s="870"/>
      <c r="F173" s="645"/>
    </row>
    <row r="174" spans="1:6" ht="13.5" thickBot="1">
      <c r="A174" s="234"/>
      <c r="B174" s="257" t="s">
        <v>53</v>
      </c>
      <c r="C174" s="580">
        <f aca="true" t="shared" si="24" ref="C174:D174">SUM(C171:C173)</f>
        <v>400</v>
      </c>
      <c r="D174" s="580">
        <f t="shared" si="24"/>
        <v>480</v>
      </c>
      <c r="E174" s="890">
        <f t="shared" si="21"/>
        <v>1.2</v>
      </c>
      <c r="F174" s="645"/>
    </row>
    <row r="175" spans="1:6" ht="15.75" thickBot="1">
      <c r="A175" s="231"/>
      <c r="B175" s="258" t="s">
        <v>94</v>
      </c>
      <c r="C175" s="580">
        <f aca="true" t="shared" si="25" ref="C175:D175">SUM(C170+C174)</f>
        <v>183499</v>
      </c>
      <c r="D175" s="580">
        <f t="shared" si="25"/>
        <v>184773</v>
      </c>
      <c r="E175" s="891">
        <f t="shared" si="21"/>
        <v>1.006942817127069</v>
      </c>
      <c r="F175" s="645"/>
    </row>
    <row r="176" spans="1:6" ht="15">
      <c r="A176" s="186">
        <v>2330</v>
      </c>
      <c r="B176" s="189" t="s">
        <v>297</v>
      </c>
      <c r="C176" s="573"/>
      <c r="D176" s="573"/>
      <c r="E176" s="845"/>
      <c r="F176" s="645"/>
    </row>
    <row r="177" spans="1:6" ht="12.6" customHeight="1">
      <c r="A177" s="234"/>
      <c r="B177" s="235" t="s">
        <v>162</v>
      </c>
      <c r="C177" s="576"/>
      <c r="D177" s="576"/>
      <c r="E177" s="845"/>
      <c r="F177" s="645"/>
    </row>
    <row r="178" spans="1:6" ht="13.5" thickBot="1">
      <c r="A178" s="234"/>
      <c r="B178" s="236" t="s">
        <v>163</v>
      </c>
      <c r="C178" s="577"/>
      <c r="D178" s="577"/>
      <c r="E178" s="870"/>
      <c r="F178" s="645"/>
    </row>
    <row r="179" spans="1:6" ht="13.5" thickBot="1">
      <c r="A179" s="234"/>
      <c r="B179" s="237" t="s">
        <v>175</v>
      </c>
      <c r="C179" s="578"/>
      <c r="D179" s="578"/>
      <c r="E179" s="847"/>
      <c r="F179" s="645"/>
    </row>
    <row r="180" spans="1:6" ht="12.75">
      <c r="A180" s="234"/>
      <c r="B180" s="235" t="s">
        <v>165</v>
      </c>
      <c r="C180" s="573"/>
      <c r="D180" s="573"/>
      <c r="E180" s="845"/>
      <c r="F180" s="645"/>
    </row>
    <row r="181" spans="1:6" ht="12.75">
      <c r="A181" s="234"/>
      <c r="B181" s="240" t="s">
        <v>166</v>
      </c>
      <c r="C181" s="579"/>
      <c r="D181" s="579"/>
      <c r="E181" s="845"/>
      <c r="F181" s="645"/>
    </row>
    <row r="182" spans="1:6" ht="12.75">
      <c r="A182" s="234"/>
      <c r="B182" s="240" t="s">
        <v>167</v>
      </c>
      <c r="C182" s="579"/>
      <c r="D182" s="579"/>
      <c r="E182" s="845"/>
      <c r="F182" s="645"/>
    </row>
    <row r="183" spans="1:6" ht="12.75">
      <c r="A183" s="234"/>
      <c r="B183" s="241" t="s">
        <v>168</v>
      </c>
      <c r="C183" s="573"/>
      <c r="D183" s="573"/>
      <c r="E183" s="845"/>
      <c r="F183" s="645"/>
    </row>
    <row r="184" spans="1:6" ht="12.75">
      <c r="A184" s="234"/>
      <c r="B184" s="241" t="s">
        <v>169</v>
      </c>
      <c r="C184" s="573"/>
      <c r="D184" s="573"/>
      <c r="E184" s="845"/>
      <c r="F184" s="645"/>
    </row>
    <row r="185" spans="1:6" ht="12.75">
      <c r="A185" s="234"/>
      <c r="B185" s="241" t="s">
        <v>170</v>
      </c>
      <c r="C185" s="573"/>
      <c r="D185" s="573"/>
      <c r="E185" s="845"/>
      <c r="F185" s="645"/>
    </row>
    <row r="186" spans="1:6" ht="12.75">
      <c r="A186" s="234"/>
      <c r="B186" s="242" t="s">
        <v>397</v>
      </c>
      <c r="C186" s="573"/>
      <c r="D186" s="573"/>
      <c r="E186" s="845"/>
      <c r="F186" s="645"/>
    </row>
    <row r="187" spans="1:6" ht="13.5" thickBot="1">
      <c r="A187" s="234"/>
      <c r="B187" s="243" t="s">
        <v>171</v>
      </c>
      <c r="C187" s="574"/>
      <c r="D187" s="574"/>
      <c r="E187" s="870"/>
      <c r="F187" s="645"/>
    </row>
    <row r="188" spans="1:6" ht="13.5" thickBot="1">
      <c r="A188" s="234"/>
      <c r="B188" s="244" t="s">
        <v>308</v>
      </c>
      <c r="C188" s="580"/>
      <c r="D188" s="580"/>
      <c r="E188" s="847"/>
      <c r="F188" s="645"/>
    </row>
    <row r="189" spans="1:6" ht="13.5" thickBot="1">
      <c r="A189" s="234"/>
      <c r="B189" s="246" t="s">
        <v>54</v>
      </c>
      <c r="C189" s="859"/>
      <c r="D189" s="859"/>
      <c r="E189" s="847"/>
      <c r="F189" s="645"/>
    </row>
    <row r="190" spans="1:6" ht="13.5" thickBot="1">
      <c r="A190" s="234"/>
      <c r="B190" s="502" t="s">
        <v>408</v>
      </c>
      <c r="C190" s="581"/>
      <c r="D190" s="581"/>
      <c r="E190" s="847"/>
      <c r="F190" s="645"/>
    </row>
    <row r="191" spans="1:6" ht="13.5" thickBot="1">
      <c r="A191" s="234"/>
      <c r="B191" s="247" t="s">
        <v>55</v>
      </c>
      <c r="C191" s="582"/>
      <c r="D191" s="582"/>
      <c r="E191" s="847"/>
      <c r="F191" s="645"/>
    </row>
    <row r="192" spans="1:6" ht="12.75">
      <c r="A192" s="234"/>
      <c r="B192" s="498" t="s">
        <v>373</v>
      </c>
      <c r="C192" s="583"/>
      <c r="D192" s="583">
        <v>980</v>
      </c>
      <c r="E192" s="845">
        <v>1</v>
      </c>
      <c r="F192" s="645"/>
    </row>
    <row r="193" spans="1:6" ht="13.5" thickBot="1">
      <c r="A193" s="234"/>
      <c r="B193" s="249" t="s">
        <v>401</v>
      </c>
      <c r="C193" s="574">
        <v>139172</v>
      </c>
      <c r="D193" s="574">
        <f>139172+128</f>
        <v>139300</v>
      </c>
      <c r="E193" s="870">
        <f t="shared" si="21"/>
        <v>1.000919725232087</v>
      </c>
      <c r="F193" s="646"/>
    </row>
    <row r="194" spans="1:6" ht="13.5" thickBot="1">
      <c r="A194" s="234"/>
      <c r="B194" s="250" t="s">
        <v>48</v>
      </c>
      <c r="C194" s="582">
        <f aca="true" t="shared" si="26" ref="C194:D194">SUM(C192:C193)</f>
        <v>139172</v>
      </c>
      <c r="D194" s="582">
        <f t="shared" si="26"/>
        <v>140280</v>
      </c>
      <c r="E194" s="890">
        <f t="shared" si="21"/>
        <v>1.0079613715402524</v>
      </c>
      <c r="F194" s="645"/>
    </row>
    <row r="195" spans="1:6" ht="13.5" thickBot="1">
      <c r="A195" s="234"/>
      <c r="B195" s="814" t="s">
        <v>373</v>
      </c>
      <c r="C195" s="581"/>
      <c r="D195" s="581">
        <v>61</v>
      </c>
      <c r="E195" s="847">
        <v>1</v>
      </c>
      <c r="F195" s="645"/>
    </row>
    <row r="196" spans="1:6" ht="13.5" thickBot="1">
      <c r="A196" s="234"/>
      <c r="B196" s="250" t="s">
        <v>50</v>
      </c>
      <c r="C196" s="582"/>
      <c r="D196" s="582">
        <v>61</v>
      </c>
      <c r="E196" s="847">
        <v>1</v>
      </c>
      <c r="F196" s="645"/>
    </row>
    <row r="197" spans="1:6" ht="15.75" thickBot="1">
      <c r="A197" s="234"/>
      <c r="B197" s="252" t="s">
        <v>59</v>
      </c>
      <c r="C197" s="575">
        <f>SUM(C189+C191+C194)+C196</f>
        <v>139172</v>
      </c>
      <c r="D197" s="575">
        <f>SUM(D189+D191+D194)+D196</f>
        <v>140341</v>
      </c>
      <c r="E197" s="890">
        <f t="shared" si="21"/>
        <v>1.0083996780961688</v>
      </c>
      <c r="F197" s="645"/>
    </row>
    <row r="198" spans="1:6" ht="12.75">
      <c r="A198" s="234"/>
      <c r="B198" s="253" t="s">
        <v>289</v>
      </c>
      <c r="C198" s="573">
        <v>118779</v>
      </c>
      <c r="D198" s="573">
        <f>118779+63</f>
        <v>118842</v>
      </c>
      <c r="E198" s="845">
        <f t="shared" si="21"/>
        <v>1.000530396787311</v>
      </c>
      <c r="F198" s="646"/>
    </row>
    <row r="199" spans="1:6" ht="12.75">
      <c r="A199" s="234"/>
      <c r="B199" s="253" t="s">
        <v>290</v>
      </c>
      <c r="C199" s="573">
        <v>16259</v>
      </c>
      <c r="D199" s="573">
        <f>16259+50</f>
        <v>16309</v>
      </c>
      <c r="E199" s="845">
        <f t="shared" si="21"/>
        <v>1.0030752198782213</v>
      </c>
      <c r="F199" s="646"/>
    </row>
    <row r="200" spans="1:6" ht="12.75">
      <c r="A200" s="234"/>
      <c r="B200" s="253" t="s">
        <v>291</v>
      </c>
      <c r="C200" s="573">
        <v>3934</v>
      </c>
      <c r="D200" s="573">
        <f>3934+995</f>
        <v>4929</v>
      </c>
      <c r="E200" s="845">
        <f t="shared" si="21"/>
        <v>1.2529232333502796</v>
      </c>
      <c r="F200" s="646"/>
    </row>
    <row r="201" spans="1:6" ht="12.75">
      <c r="A201" s="234"/>
      <c r="B201" s="254" t="s">
        <v>293</v>
      </c>
      <c r="C201" s="573"/>
      <c r="D201" s="573"/>
      <c r="E201" s="845"/>
      <c r="F201" s="645"/>
    </row>
    <row r="202" spans="1:6" ht="13.5" thickBot="1">
      <c r="A202" s="234"/>
      <c r="B202" s="255" t="s">
        <v>292</v>
      </c>
      <c r="C202" s="574"/>
      <c r="D202" s="574"/>
      <c r="E202" s="870"/>
      <c r="F202" s="645"/>
    </row>
    <row r="203" spans="1:6" ht="13.5" thickBot="1">
      <c r="A203" s="234"/>
      <c r="B203" s="256" t="s">
        <v>47</v>
      </c>
      <c r="C203" s="580">
        <f aca="true" t="shared" si="27" ref="C203:D203">SUM(C198:C202)</f>
        <v>138972</v>
      </c>
      <c r="D203" s="580">
        <f t="shared" si="27"/>
        <v>140080</v>
      </c>
      <c r="E203" s="890">
        <f t="shared" si="21"/>
        <v>1.007972829059091</v>
      </c>
      <c r="F203" s="645"/>
    </row>
    <row r="204" spans="1:6" ht="12.75">
      <c r="A204" s="234"/>
      <c r="B204" s="253" t="s">
        <v>1253</v>
      </c>
      <c r="C204" s="573">
        <v>200</v>
      </c>
      <c r="D204" s="573">
        <f>200+61</f>
        <v>261</v>
      </c>
      <c r="E204" s="845">
        <f t="shared" si="21"/>
        <v>1.305</v>
      </c>
      <c r="F204" s="646"/>
    </row>
    <row r="205" spans="1:6" ht="12.75">
      <c r="A205" s="234"/>
      <c r="B205" s="253" t="s">
        <v>221</v>
      </c>
      <c r="C205" s="573"/>
      <c r="D205" s="573"/>
      <c r="E205" s="845"/>
      <c r="F205" s="645"/>
    </row>
    <row r="206" spans="1:6" ht="13.5" thickBot="1">
      <c r="A206" s="234"/>
      <c r="B206" s="255" t="s">
        <v>382</v>
      </c>
      <c r="C206" s="574"/>
      <c r="D206" s="574"/>
      <c r="E206" s="870"/>
      <c r="F206" s="645"/>
    </row>
    <row r="207" spans="1:6" ht="13.5" thickBot="1">
      <c r="A207" s="234"/>
      <c r="B207" s="257" t="s">
        <v>53</v>
      </c>
      <c r="C207" s="580">
        <f aca="true" t="shared" si="28" ref="C207:D207">SUM(C204:C206)</f>
        <v>200</v>
      </c>
      <c r="D207" s="580">
        <f t="shared" si="28"/>
        <v>261</v>
      </c>
      <c r="E207" s="890">
        <f t="shared" si="21"/>
        <v>1.305</v>
      </c>
      <c r="F207" s="645"/>
    </row>
    <row r="208" spans="1:6" ht="15.75" thickBot="1">
      <c r="A208" s="231"/>
      <c r="B208" s="258" t="s">
        <v>94</v>
      </c>
      <c r="C208" s="580">
        <f aca="true" t="shared" si="29" ref="C208:D208">SUM(C203+C207)</f>
        <v>139172</v>
      </c>
      <c r="D208" s="580">
        <f t="shared" si="29"/>
        <v>140341</v>
      </c>
      <c r="E208" s="891">
        <f t="shared" si="21"/>
        <v>1.0083996780961688</v>
      </c>
      <c r="F208" s="645"/>
    </row>
    <row r="209" spans="1:6" ht="15">
      <c r="A209" s="187">
        <v>2335</v>
      </c>
      <c r="B209" s="189" t="s">
        <v>298</v>
      </c>
      <c r="C209" s="573"/>
      <c r="D209" s="573"/>
      <c r="E209" s="845"/>
      <c r="F209" s="645"/>
    </row>
    <row r="210" spans="1:6" ht="12.6" customHeight="1">
      <c r="A210" s="234"/>
      <c r="B210" s="235" t="s">
        <v>162</v>
      </c>
      <c r="C210" s="576"/>
      <c r="D210" s="576"/>
      <c r="E210" s="845"/>
      <c r="F210" s="645"/>
    </row>
    <row r="211" spans="1:6" ht="13.5" thickBot="1">
      <c r="A211" s="234"/>
      <c r="B211" s="236" t="s">
        <v>163</v>
      </c>
      <c r="C211" s="577"/>
      <c r="D211" s="577"/>
      <c r="E211" s="870"/>
      <c r="F211" s="645"/>
    </row>
    <row r="212" spans="1:6" ht="13.5" thickBot="1">
      <c r="A212" s="234"/>
      <c r="B212" s="237" t="s">
        <v>175</v>
      </c>
      <c r="C212" s="578"/>
      <c r="D212" s="578"/>
      <c r="E212" s="847"/>
      <c r="F212" s="645"/>
    </row>
    <row r="213" spans="1:6" ht="12.75">
      <c r="A213" s="234"/>
      <c r="B213" s="235" t="s">
        <v>165</v>
      </c>
      <c r="C213" s="573"/>
      <c r="D213" s="573"/>
      <c r="E213" s="845"/>
      <c r="F213" s="645"/>
    </row>
    <row r="214" spans="1:6" ht="12.75">
      <c r="A214" s="234"/>
      <c r="B214" s="240" t="s">
        <v>166</v>
      </c>
      <c r="C214" s="579"/>
      <c r="D214" s="579"/>
      <c r="E214" s="845"/>
      <c r="F214" s="645"/>
    </row>
    <row r="215" spans="1:6" ht="12.75">
      <c r="A215" s="234"/>
      <c r="B215" s="240" t="s">
        <v>167</v>
      </c>
      <c r="C215" s="579"/>
      <c r="D215" s="579"/>
      <c r="E215" s="845"/>
      <c r="F215" s="645"/>
    </row>
    <row r="216" spans="1:6" ht="12.75">
      <c r="A216" s="234"/>
      <c r="B216" s="241" t="s">
        <v>168</v>
      </c>
      <c r="C216" s="573"/>
      <c r="D216" s="573"/>
      <c r="E216" s="845"/>
      <c r="F216" s="645"/>
    </row>
    <row r="217" spans="1:6" ht="12.75">
      <c r="A217" s="234"/>
      <c r="B217" s="241" t="s">
        <v>169</v>
      </c>
      <c r="C217" s="573"/>
      <c r="D217" s="573"/>
      <c r="E217" s="845"/>
      <c r="F217" s="645"/>
    </row>
    <row r="218" spans="1:6" ht="12.75">
      <c r="A218" s="234"/>
      <c r="B218" s="241" t="s">
        <v>170</v>
      </c>
      <c r="C218" s="573"/>
      <c r="D218" s="573"/>
      <c r="E218" s="845"/>
      <c r="F218" s="645"/>
    </row>
    <row r="219" spans="1:6" ht="12.75">
      <c r="A219" s="234"/>
      <c r="B219" s="242" t="s">
        <v>397</v>
      </c>
      <c r="C219" s="573"/>
      <c r="D219" s="573"/>
      <c r="E219" s="845"/>
      <c r="F219" s="645"/>
    </row>
    <row r="220" spans="1:6" ht="13.5" thickBot="1">
      <c r="A220" s="234"/>
      <c r="B220" s="243" t="s">
        <v>171</v>
      </c>
      <c r="C220" s="574"/>
      <c r="D220" s="574"/>
      <c r="E220" s="870"/>
      <c r="F220" s="645"/>
    </row>
    <row r="221" spans="1:6" ht="13.5" thickBot="1">
      <c r="A221" s="234"/>
      <c r="B221" s="244" t="s">
        <v>308</v>
      </c>
      <c r="C221" s="580"/>
      <c r="D221" s="580"/>
      <c r="E221" s="847"/>
      <c r="F221" s="645"/>
    </row>
    <row r="222" spans="1:6" ht="13.5" thickBot="1">
      <c r="A222" s="234"/>
      <c r="B222" s="246" t="s">
        <v>54</v>
      </c>
      <c r="C222" s="859"/>
      <c r="D222" s="859"/>
      <c r="E222" s="847"/>
      <c r="F222" s="645"/>
    </row>
    <row r="223" spans="1:6" ht="13.5" thickBot="1">
      <c r="A223" s="234"/>
      <c r="B223" s="502" t="s">
        <v>408</v>
      </c>
      <c r="C223" s="581"/>
      <c r="D223" s="581"/>
      <c r="E223" s="847"/>
      <c r="F223" s="645"/>
    </row>
    <row r="224" spans="1:6" ht="13.5" thickBot="1">
      <c r="A224" s="234"/>
      <c r="B224" s="247" t="s">
        <v>55</v>
      </c>
      <c r="C224" s="582"/>
      <c r="D224" s="582"/>
      <c r="E224" s="847"/>
      <c r="F224" s="645"/>
    </row>
    <row r="225" spans="1:6" ht="12.75">
      <c r="A225" s="234"/>
      <c r="B225" s="498" t="s">
        <v>373</v>
      </c>
      <c r="C225" s="583"/>
      <c r="D225" s="583">
        <v>371</v>
      </c>
      <c r="E225" s="845">
        <v>1</v>
      </c>
      <c r="F225" s="645"/>
    </row>
    <row r="226" spans="1:6" ht="13.5" thickBot="1">
      <c r="A226" s="234"/>
      <c r="B226" s="249" t="s">
        <v>401</v>
      </c>
      <c r="C226" s="574">
        <v>98087</v>
      </c>
      <c r="D226" s="574">
        <f>98087+82</f>
        <v>98169</v>
      </c>
      <c r="E226" s="870">
        <f aca="true" t="shared" si="30" ref="E226:E274">SUM(D226/C226)</f>
        <v>1.0008359925372374</v>
      </c>
      <c r="F226" s="646"/>
    </row>
    <row r="227" spans="1:6" ht="13.5" thickBot="1">
      <c r="A227" s="234"/>
      <c r="B227" s="250" t="s">
        <v>48</v>
      </c>
      <c r="C227" s="582">
        <f aca="true" t="shared" si="31" ref="C227:D227">SUM(C225:C226)</f>
        <v>98087</v>
      </c>
      <c r="D227" s="582">
        <f t="shared" si="31"/>
        <v>98540</v>
      </c>
      <c r="E227" s="890">
        <f t="shared" si="30"/>
        <v>1.0046183490166893</v>
      </c>
      <c r="F227" s="645"/>
    </row>
    <row r="228" spans="1:6" ht="13.5" thickBot="1">
      <c r="A228" s="234"/>
      <c r="B228" s="207" t="s">
        <v>373</v>
      </c>
      <c r="C228" s="581"/>
      <c r="D228" s="581">
        <v>200</v>
      </c>
      <c r="E228" s="847">
        <v>1</v>
      </c>
      <c r="F228" s="645"/>
    </row>
    <row r="229" spans="1:6" ht="13.5" thickBot="1">
      <c r="A229" s="234"/>
      <c r="B229" s="250" t="s">
        <v>50</v>
      </c>
      <c r="C229" s="582"/>
      <c r="D229" s="582">
        <v>200</v>
      </c>
      <c r="E229" s="847">
        <v>1</v>
      </c>
      <c r="F229" s="645"/>
    </row>
    <row r="230" spans="1:6" ht="15.75" thickBot="1">
      <c r="A230" s="234"/>
      <c r="B230" s="252" t="s">
        <v>59</v>
      </c>
      <c r="C230" s="575">
        <f aca="true" t="shared" si="32" ref="C230:D230">SUM(C222+C224+C227+C229)</f>
        <v>98087</v>
      </c>
      <c r="D230" s="575">
        <f t="shared" si="32"/>
        <v>98740</v>
      </c>
      <c r="E230" s="890">
        <f t="shared" si="30"/>
        <v>1.006657355205073</v>
      </c>
      <c r="F230" s="645"/>
    </row>
    <row r="231" spans="1:6" ht="12.75">
      <c r="A231" s="234"/>
      <c r="B231" s="253" t="s">
        <v>289</v>
      </c>
      <c r="C231" s="573">
        <v>82624</v>
      </c>
      <c r="D231" s="573">
        <f>82624+35</f>
        <v>82659</v>
      </c>
      <c r="E231" s="845">
        <f t="shared" si="30"/>
        <v>1.0004236057319906</v>
      </c>
      <c r="F231" s="646"/>
    </row>
    <row r="232" spans="1:6" ht="12.75">
      <c r="A232" s="234"/>
      <c r="B232" s="253" t="s">
        <v>290</v>
      </c>
      <c r="C232" s="573">
        <v>11358</v>
      </c>
      <c r="D232" s="573">
        <f>11358+32</f>
        <v>11390</v>
      </c>
      <c r="E232" s="845">
        <f t="shared" si="30"/>
        <v>1.0028173974291248</v>
      </c>
      <c r="F232" s="646"/>
    </row>
    <row r="233" spans="1:6" ht="12.75">
      <c r="A233" s="234"/>
      <c r="B233" s="253" t="s">
        <v>291</v>
      </c>
      <c r="C233" s="573">
        <v>3505</v>
      </c>
      <c r="D233" s="573">
        <f>3505+386</f>
        <v>3891</v>
      </c>
      <c r="E233" s="845">
        <f t="shared" si="30"/>
        <v>1.1101283880171184</v>
      </c>
      <c r="F233" s="646"/>
    </row>
    <row r="234" spans="1:6" ht="12.75">
      <c r="A234" s="234"/>
      <c r="B234" s="254" t="s">
        <v>293</v>
      </c>
      <c r="C234" s="573"/>
      <c r="D234" s="573"/>
      <c r="E234" s="845"/>
      <c r="F234" s="645"/>
    </row>
    <row r="235" spans="1:6" ht="13.5" thickBot="1">
      <c r="A235" s="234"/>
      <c r="B235" s="255" t="s">
        <v>292</v>
      </c>
      <c r="C235" s="574"/>
      <c r="D235" s="574"/>
      <c r="E235" s="870"/>
      <c r="F235" s="645"/>
    </row>
    <row r="236" spans="1:6" ht="13.5" thickBot="1">
      <c r="A236" s="234"/>
      <c r="B236" s="256" t="s">
        <v>47</v>
      </c>
      <c r="C236" s="575">
        <f aca="true" t="shared" si="33" ref="C236:D236">SUM(C231:C235)</f>
        <v>97487</v>
      </c>
      <c r="D236" s="575">
        <f t="shared" si="33"/>
        <v>97940</v>
      </c>
      <c r="E236" s="890">
        <f t="shared" si="30"/>
        <v>1.0046467734159426</v>
      </c>
      <c r="F236" s="645"/>
    </row>
    <row r="237" spans="1:6" ht="12.75">
      <c r="A237" s="234"/>
      <c r="B237" s="253" t="s">
        <v>1253</v>
      </c>
      <c r="C237" s="573">
        <v>600</v>
      </c>
      <c r="D237" s="573">
        <f>600+200</f>
        <v>800</v>
      </c>
      <c r="E237" s="845">
        <f t="shared" si="30"/>
        <v>1.3333333333333333</v>
      </c>
      <c r="F237" s="646"/>
    </row>
    <row r="238" spans="1:6" ht="12.75">
      <c r="A238" s="234"/>
      <c r="B238" s="253" t="s">
        <v>221</v>
      </c>
      <c r="C238" s="573"/>
      <c r="D238" s="573"/>
      <c r="E238" s="845"/>
      <c r="F238" s="645"/>
    </row>
    <row r="239" spans="1:6" ht="13.5" thickBot="1">
      <c r="A239" s="234"/>
      <c r="B239" s="255" t="s">
        <v>382</v>
      </c>
      <c r="C239" s="574"/>
      <c r="D239" s="574"/>
      <c r="E239" s="870"/>
      <c r="F239" s="645"/>
    </row>
    <row r="240" spans="1:6" ht="13.5" thickBot="1">
      <c r="A240" s="234"/>
      <c r="B240" s="257" t="s">
        <v>53</v>
      </c>
      <c r="C240" s="580">
        <f aca="true" t="shared" si="34" ref="C240:D240">SUM(C237:C239)</f>
        <v>600</v>
      </c>
      <c r="D240" s="580">
        <f t="shared" si="34"/>
        <v>800</v>
      </c>
      <c r="E240" s="890">
        <f t="shared" si="30"/>
        <v>1.3333333333333333</v>
      </c>
      <c r="F240" s="645"/>
    </row>
    <row r="241" spans="1:6" ht="15.75" thickBot="1">
      <c r="A241" s="231"/>
      <c r="B241" s="258" t="s">
        <v>94</v>
      </c>
      <c r="C241" s="575">
        <f aca="true" t="shared" si="35" ref="C241:D241">SUM(C236+C240)</f>
        <v>98087</v>
      </c>
      <c r="D241" s="575">
        <f t="shared" si="35"/>
        <v>98740</v>
      </c>
      <c r="E241" s="891">
        <f t="shared" si="30"/>
        <v>1.006657355205073</v>
      </c>
      <c r="F241" s="645"/>
    </row>
    <row r="242" spans="1:6" ht="15">
      <c r="A242" s="186">
        <v>2345</v>
      </c>
      <c r="B242" s="261" t="s">
        <v>299</v>
      </c>
      <c r="C242" s="573"/>
      <c r="D242" s="573"/>
      <c r="E242" s="845"/>
      <c r="F242" s="645"/>
    </row>
    <row r="243" spans="1:6" ht="12.6" customHeight="1">
      <c r="A243" s="234"/>
      <c r="B243" s="235" t="s">
        <v>162</v>
      </c>
      <c r="C243" s="576"/>
      <c r="D243" s="576"/>
      <c r="E243" s="845"/>
      <c r="F243" s="645"/>
    </row>
    <row r="244" spans="1:6" ht="13.5" thickBot="1">
      <c r="A244" s="234"/>
      <c r="B244" s="236" t="s">
        <v>163</v>
      </c>
      <c r="C244" s="577"/>
      <c r="D244" s="577"/>
      <c r="E244" s="870"/>
      <c r="F244" s="645"/>
    </row>
    <row r="245" spans="1:6" ht="13.5" thickBot="1">
      <c r="A245" s="234"/>
      <c r="B245" s="237" t="s">
        <v>175</v>
      </c>
      <c r="C245" s="585"/>
      <c r="D245" s="585"/>
      <c r="E245" s="847"/>
      <c r="F245" s="645"/>
    </row>
    <row r="246" spans="1:6" ht="12.75">
      <c r="A246" s="234"/>
      <c r="B246" s="235" t="s">
        <v>165</v>
      </c>
      <c r="C246" s="573"/>
      <c r="D246" s="573"/>
      <c r="E246" s="845"/>
      <c r="F246" s="645"/>
    </row>
    <row r="247" spans="1:6" ht="12.75">
      <c r="A247" s="234"/>
      <c r="B247" s="240" t="s">
        <v>166</v>
      </c>
      <c r="C247" s="579"/>
      <c r="D247" s="579"/>
      <c r="E247" s="845"/>
      <c r="F247" s="645"/>
    </row>
    <row r="248" spans="1:6" ht="12.75">
      <c r="A248" s="234"/>
      <c r="B248" s="240" t="s">
        <v>167</v>
      </c>
      <c r="C248" s="579"/>
      <c r="D248" s="579"/>
      <c r="E248" s="845"/>
      <c r="F248" s="645"/>
    </row>
    <row r="249" spans="1:6" ht="12.75">
      <c r="A249" s="234"/>
      <c r="B249" s="241" t="s">
        <v>168</v>
      </c>
      <c r="C249" s="573"/>
      <c r="D249" s="573"/>
      <c r="E249" s="845"/>
      <c r="F249" s="645"/>
    </row>
    <row r="250" spans="1:6" ht="12.75">
      <c r="A250" s="234"/>
      <c r="B250" s="241" t="s">
        <v>169</v>
      </c>
      <c r="C250" s="573"/>
      <c r="D250" s="573"/>
      <c r="E250" s="845"/>
      <c r="F250" s="645"/>
    </row>
    <row r="251" spans="1:6" ht="12.75">
      <c r="A251" s="234"/>
      <c r="B251" s="241" t="s">
        <v>170</v>
      </c>
      <c r="C251" s="573"/>
      <c r="D251" s="573"/>
      <c r="E251" s="845"/>
      <c r="F251" s="645"/>
    </row>
    <row r="252" spans="1:6" ht="12.75">
      <c r="A252" s="234"/>
      <c r="B252" s="242" t="s">
        <v>397</v>
      </c>
      <c r="C252" s="573"/>
      <c r="D252" s="573"/>
      <c r="E252" s="845"/>
      <c r="F252" s="645"/>
    </row>
    <row r="253" spans="1:6" ht="13.5" thickBot="1">
      <c r="A253" s="234"/>
      <c r="B253" s="243" t="s">
        <v>171</v>
      </c>
      <c r="C253" s="573"/>
      <c r="D253" s="573"/>
      <c r="E253" s="870"/>
      <c r="F253" s="645"/>
    </row>
    <row r="254" spans="1:6" ht="13.5" thickBot="1">
      <c r="A254" s="234"/>
      <c r="B254" s="244" t="s">
        <v>308</v>
      </c>
      <c r="C254" s="575"/>
      <c r="D254" s="575"/>
      <c r="E254" s="847"/>
      <c r="F254" s="645"/>
    </row>
    <row r="255" spans="1:6" ht="13.5" thickBot="1">
      <c r="A255" s="234"/>
      <c r="B255" s="246" t="s">
        <v>54</v>
      </c>
      <c r="C255" s="859"/>
      <c r="D255" s="859"/>
      <c r="E255" s="847"/>
      <c r="F255" s="645"/>
    </row>
    <row r="256" spans="1:6" ht="13.5" thickBot="1">
      <c r="A256" s="234"/>
      <c r="B256" s="502" t="s">
        <v>408</v>
      </c>
      <c r="C256" s="581"/>
      <c r="D256" s="581"/>
      <c r="E256" s="847"/>
      <c r="F256" s="645"/>
    </row>
    <row r="257" spans="1:6" ht="13.5" thickBot="1">
      <c r="A257" s="234"/>
      <c r="B257" s="247" t="s">
        <v>55</v>
      </c>
      <c r="C257" s="582"/>
      <c r="D257" s="582"/>
      <c r="E257" s="847"/>
      <c r="F257" s="645"/>
    </row>
    <row r="258" spans="1:6" ht="12.75">
      <c r="A258" s="234"/>
      <c r="B258" s="498" t="s">
        <v>373</v>
      </c>
      <c r="C258" s="583"/>
      <c r="D258" s="583">
        <v>1629</v>
      </c>
      <c r="E258" s="845">
        <v>1</v>
      </c>
      <c r="F258" s="645"/>
    </row>
    <row r="259" spans="1:6" ht="13.5" thickBot="1">
      <c r="A259" s="234"/>
      <c r="B259" s="249" t="s">
        <v>401</v>
      </c>
      <c r="C259" s="574">
        <v>104904</v>
      </c>
      <c r="D259" s="574">
        <f>104904+300</f>
        <v>105204</v>
      </c>
      <c r="E259" s="870">
        <f t="shared" si="30"/>
        <v>1.0028597574925646</v>
      </c>
      <c r="F259" s="646"/>
    </row>
    <row r="260" spans="1:6" ht="13.5" thickBot="1">
      <c r="A260" s="234"/>
      <c r="B260" s="250" t="s">
        <v>48</v>
      </c>
      <c r="C260" s="582">
        <f aca="true" t="shared" si="36" ref="C260:D260">SUM(C258:C259)</f>
        <v>104904</v>
      </c>
      <c r="D260" s="582">
        <f t="shared" si="36"/>
        <v>106833</v>
      </c>
      <c r="E260" s="890">
        <f t="shared" si="30"/>
        <v>1.0183882406771905</v>
      </c>
      <c r="F260" s="645"/>
    </row>
    <row r="261" spans="1:6" ht="13.5" thickBot="1">
      <c r="A261" s="234"/>
      <c r="B261" s="207" t="s">
        <v>373</v>
      </c>
      <c r="C261" s="581"/>
      <c r="D261" s="581">
        <v>900</v>
      </c>
      <c r="E261" s="847">
        <v>1</v>
      </c>
      <c r="F261" s="645"/>
    </row>
    <row r="262" spans="1:6" ht="13.5" thickBot="1">
      <c r="A262" s="234"/>
      <c r="B262" s="250" t="s">
        <v>50</v>
      </c>
      <c r="C262" s="582"/>
      <c r="D262" s="582">
        <v>900</v>
      </c>
      <c r="E262" s="847">
        <v>1</v>
      </c>
      <c r="F262" s="645"/>
    </row>
    <row r="263" spans="1:6" ht="15.75" thickBot="1">
      <c r="A263" s="234"/>
      <c r="B263" s="252" t="s">
        <v>59</v>
      </c>
      <c r="C263" s="575">
        <f aca="true" t="shared" si="37" ref="C263:D263">SUM(C255+C257+C260+C262)</f>
        <v>104904</v>
      </c>
      <c r="D263" s="575">
        <f t="shared" si="37"/>
        <v>107733</v>
      </c>
      <c r="E263" s="890">
        <f t="shared" si="30"/>
        <v>1.0269675131548845</v>
      </c>
      <c r="F263" s="645"/>
    </row>
    <row r="264" spans="1:6" ht="12.75">
      <c r="A264" s="234"/>
      <c r="B264" s="253" t="s">
        <v>289</v>
      </c>
      <c r="C264" s="573">
        <v>88890</v>
      </c>
      <c r="D264" s="573">
        <f>88890+151</f>
        <v>89041</v>
      </c>
      <c r="E264" s="845">
        <f t="shared" si="30"/>
        <v>1.0016987287658905</v>
      </c>
      <c r="F264" s="646"/>
    </row>
    <row r="265" spans="1:6" ht="12.75">
      <c r="A265" s="234"/>
      <c r="B265" s="253" t="s">
        <v>290</v>
      </c>
      <c r="C265" s="573">
        <v>12138</v>
      </c>
      <c r="D265" s="573">
        <f>12138+134</f>
        <v>12272</v>
      </c>
      <c r="E265" s="845">
        <f t="shared" si="30"/>
        <v>1.0110397100016477</v>
      </c>
      <c r="F265" s="646"/>
    </row>
    <row r="266" spans="1:6" ht="12.75">
      <c r="A266" s="234"/>
      <c r="B266" s="253" t="s">
        <v>291</v>
      </c>
      <c r="C266" s="573">
        <v>2826</v>
      </c>
      <c r="D266" s="573">
        <f>2826+1644</f>
        <v>4470</v>
      </c>
      <c r="E266" s="845">
        <f t="shared" si="30"/>
        <v>1.5817409766454353</v>
      </c>
      <c r="F266" s="646"/>
    </row>
    <row r="267" spans="1:6" ht="12.75">
      <c r="A267" s="234"/>
      <c r="B267" s="254" t="s">
        <v>293</v>
      </c>
      <c r="C267" s="573"/>
      <c r="D267" s="573"/>
      <c r="E267" s="845"/>
      <c r="F267" s="645"/>
    </row>
    <row r="268" spans="1:6" ht="13.5" thickBot="1">
      <c r="A268" s="234"/>
      <c r="B268" s="255" t="s">
        <v>292</v>
      </c>
      <c r="C268" s="573"/>
      <c r="D268" s="573"/>
      <c r="E268" s="870"/>
      <c r="F268" s="645"/>
    </row>
    <row r="269" spans="1:6" ht="13.5" thickBot="1">
      <c r="A269" s="234"/>
      <c r="B269" s="256" t="s">
        <v>47</v>
      </c>
      <c r="C269" s="575">
        <f aca="true" t="shared" si="38" ref="C269:D269">SUM(C264:C268)</f>
        <v>103854</v>
      </c>
      <c r="D269" s="575">
        <f t="shared" si="38"/>
        <v>105783</v>
      </c>
      <c r="E269" s="890">
        <f t="shared" si="30"/>
        <v>1.018574152175169</v>
      </c>
      <c r="F269" s="645"/>
    </row>
    <row r="270" spans="1:6" ht="12.75">
      <c r="A270" s="234"/>
      <c r="B270" s="253" t="s">
        <v>1253</v>
      </c>
      <c r="C270" s="573">
        <v>1050</v>
      </c>
      <c r="D270" s="573">
        <f>1050+900</f>
        <v>1950</v>
      </c>
      <c r="E270" s="845">
        <f t="shared" si="30"/>
        <v>1.8571428571428572</v>
      </c>
      <c r="F270" s="646"/>
    </row>
    <row r="271" spans="1:6" ht="12.75">
      <c r="A271" s="234"/>
      <c r="B271" s="253" t="s">
        <v>221</v>
      </c>
      <c r="C271" s="573"/>
      <c r="D271" s="573"/>
      <c r="E271" s="845"/>
      <c r="F271" s="645"/>
    </row>
    <row r="272" spans="1:6" ht="13.5" thickBot="1">
      <c r="A272" s="234"/>
      <c r="B272" s="255" t="s">
        <v>382</v>
      </c>
      <c r="C272" s="573"/>
      <c r="D272" s="573"/>
      <c r="E272" s="870"/>
      <c r="F272" s="645"/>
    </row>
    <row r="273" spans="1:6" ht="13.5" thickBot="1">
      <c r="A273" s="234"/>
      <c r="B273" s="257" t="s">
        <v>53</v>
      </c>
      <c r="C273" s="575">
        <f aca="true" t="shared" si="39" ref="C273:D273">SUM(C270:C272)</f>
        <v>1050</v>
      </c>
      <c r="D273" s="575">
        <f t="shared" si="39"/>
        <v>1950</v>
      </c>
      <c r="E273" s="890">
        <f t="shared" si="30"/>
        <v>1.8571428571428572</v>
      </c>
      <c r="F273" s="645"/>
    </row>
    <row r="274" spans="1:6" ht="15.75" thickBot="1">
      <c r="A274" s="231"/>
      <c r="B274" s="258" t="s">
        <v>94</v>
      </c>
      <c r="C274" s="580">
        <f aca="true" t="shared" si="40" ref="C274:D274">SUM(C269+C273)</f>
        <v>104904</v>
      </c>
      <c r="D274" s="580">
        <f t="shared" si="40"/>
        <v>107733</v>
      </c>
      <c r="E274" s="891">
        <f t="shared" si="30"/>
        <v>1.0269675131548845</v>
      </c>
      <c r="F274" s="645"/>
    </row>
    <row r="275" spans="1:6" ht="15">
      <c r="A275" s="186">
        <v>2360</v>
      </c>
      <c r="B275" s="260" t="s">
        <v>300</v>
      </c>
      <c r="C275" s="573"/>
      <c r="D275" s="573"/>
      <c r="E275" s="845"/>
      <c r="F275" s="645"/>
    </row>
    <row r="276" spans="1:6" ht="12.75" customHeight="1">
      <c r="A276" s="234"/>
      <c r="B276" s="235" t="s">
        <v>162</v>
      </c>
      <c r="C276" s="576"/>
      <c r="D276" s="576"/>
      <c r="E276" s="845"/>
      <c r="F276" s="645"/>
    </row>
    <row r="277" spans="1:6" ht="13.5" thickBot="1">
      <c r="A277" s="234"/>
      <c r="B277" s="236" t="s">
        <v>163</v>
      </c>
      <c r="C277" s="577"/>
      <c r="D277" s="577"/>
      <c r="E277" s="870"/>
      <c r="F277" s="645"/>
    </row>
    <row r="278" spans="1:6" ht="13.5" thickBot="1">
      <c r="A278" s="234"/>
      <c r="B278" s="237" t="s">
        <v>175</v>
      </c>
      <c r="C278" s="578"/>
      <c r="D278" s="578"/>
      <c r="E278" s="847"/>
      <c r="F278" s="645"/>
    </row>
    <row r="279" spans="1:6" ht="12.75">
      <c r="A279" s="234"/>
      <c r="B279" s="235" t="s">
        <v>165</v>
      </c>
      <c r="C279" s="573"/>
      <c r="D279" s="573"/>
      <c r="E279" s="845"/>
      <c r="F279" s="645"/>
    </row>
    <row r="280" spans="1:6" ht="12.75">
      <c r="A280" s="234"/>
      <c r="B280" s="240" t="s">
        <v>166</v>
      </c>
      <c r="C280" s="579"/>
      <c r="D280" s="579"/>
      <c r="E280" s="845"/>
      <c r="F280" s="645"/>
    </row>
    <row r="281" spans="1:6" ht="12.75">
      <c r="A281" s="234"/>
      <c r="B281" s="240" t="s">
        <v>167</v>
      </c>
      <c r="C281" s="579"/>
      <c r="D281" s="579"/>
      <c r="E281" s="845"/>
      <c r="F281" s="645"/>
    </row>
    <row r="282" spans="1:6" ht="12.75">
      <c r="A282" s="234"/>
      <c r="B282" s="241" t="s">
        <v>168</v>
      </c>
      <c r="C282" s="573"/>
      <c r="D282" s="573"/>
      <c r="E282" s="845"/>
      <c r="F282" s="645"/>
    </row>
    <row r="283" spans="1:6" ht="12.75">
      <c r="A283" s="234"/>
      <c r="B283" s="241" t="s">
        <v>169</v>
      </c>
      <c r="C283" s="573"/>
      <c r="D283" s="573"/>
      <c r="E283" s="845"/>
      <c r="F283" s="645"/>
    </row>
    <row r="284" spans="1:6" ht="12.75">
      <c r="A284" s="234"/>
      <c r="B284" s="241" t="s">
        <v>170</v>
      </c>
      <c r="C284" s="573"/>
      <c r="D284" s="573"/>
      <c r="E284" s="845"/>
      <c r="F284" s="645"/>
    </row>
    <row r="285" spans="1:6" ht="12.75">
      <c r="A285" s="234"/>
      <c r="B285" s="242" t="s">
        <v>397</v>
      </c>
      <c r="C285" s="573"/>
      <c r="D285" s="573"/>
      <c r="E285" s="845"/>
      <c r="F285" s="645"/>
    </row>
    <row r="286" spans="1:6" ht="13.5" thickBot="1">
      <c r="A286" s="234"/>
      <c r="B286" s="243" t="s">
        <v>171</v>
      </c>
      <c r="C286" s="574"/>
      <c r="D286" s="574"/>
      <c r="E286" s="870"/>
      <c r="F286" s="645"/>
    </row>
    <row r="287" spans="1:6" ht="13.5" thickBot="1">
      <c r="A287" s="234"/>
      <c r="B287" s="244" t="s">
        <v>308</v>
      </c>
      <c r="C287" s="580"/>
      <c r="D287" s="580"/>
      <c r="E287" s="847"/>
      <c r="F287" s="645"/>
    </row>
    <row r="288" spans="1:6" ht="13.5" thickBot="1">
      <c r="A288" s="234"/>
      <c r="B288" s="246" t="s">
        <v>54</v>
      </c>
      <c r="C288" s="859"/>
      <c r="D288" s="859"/>
      <c r="E288" s="847"/>
      <c r="F288" s="645"/>
    </row>
    <row r="289" spans="1:6" ht="13.5" thickBot="1">
      <c r="A289" s="234"/>
      <c r="B289" s="502" t="s">
        <v>408</v>
      </c>
      <c r="C289" s="581"/>
      <c r="D289" s="581"/>
      <c r="E289" s="847"/>
      <c r="F289" s="645"/>
    </row>
    <row r="290" spans="1:6" ht="13.5" thickBot="1">
      <c r="A290" s="234"/>
      <c r="B290" s="247" t="s">
        <v>55</v>
      </c>
      <c r="C290" s="582"/>
      <c r="D290" s="582"/>
      <c r="E290" s="847"/>
      <c r="F290" s="645"/>
    </row>
    <row r="291" spans="1:6" ht="12.75">
      <c r="A291" s="234"/>
      <c r="B291" s="498" t="s">
        <v>373</v>
      </c>
      <c r="C291" s="583"/>
      <c r="D291" s="583">
        <v>341</v>
      </c>
      <c r="E291" s="845">
        <v>1</v>
      </c>
      <c r="F291" s="645"/>
    </row>
    <row r="292" spans="1:6" ht="13.5" thickBot="1">
      <c r="A292" s="234"/>
      <c r="B292" s="249" t="s">
        <v>401</v>
      </c>
      <c r="C292" s="574">
        <v>88883</v>
      </c>
      <c r="D292" s="574">
        <f>88883+190</f>
        <v>89073</v>
      </c>
      <c r="E292" s="870">
        <f aca="true" t="shared" si="41" ref="E292:E346">SUM(D292/C292)</f>
        <v>1.0021376416187573</v>
      </c>
      <c r="F292" s="646"/>
    </row>
    <row r="293" spans="1:6" ht="13.5" thickBot="1">
      <c r="A293" s="234"/>
      <c r="B293" s="250" t="s">
        <v>48</v>
      </c>
      <c r="C293" s="582">
        <f aca="true" t="shared" si="42" ref="C293:D293">SUM(C291:C292)</f>
        <v>88883</v>
      </c>
      <c r="D293" s="582">
        <f t="shared" si="42"/>
        <v>89414</v>
      </c>
      <c r="E293" s="890">
        <f t="shared" si="41"/>
        <v>1.0059741457871585</v>
      </c>
      <c r="F293" s="645"/>
    </row>
    <row r="294" spans="1:6" ht="13.5" thickBot="1">
      <c r="A294" s="234"/>
      <c r="B294" s="207" t="s">
        <v>373</v>
      </c>
      <c r="C294" s="581"/>
      <c r="D294" s="581">
        <v>200</v>
      </c>
      <c r="E294" s="847">
        <v>1</v>
      </c>
      <c r="F294" s="645"/>
    </row>
    <row r="295" spans="1:6" ht="13.5" thickBot="1">
      <c r="A295" s="234"/>
      <c r="B295" s="250" t="s">
        <v>50</v>
      </c>
      <c r="C295" s="582"/>
      <c r="D295" s="582">
        <v>200</v>
      </c>
      <c r="E295" s="847">
        <v>1</v>
      </c>
      <c r="F295" s="645"/>
    </row>
    <row r="296" spans="1:6" ht="15.75" thickBot="1">
      <c r="A296" s="234"/>
      <c r="B296" s="252" t="s">
        <v>59</v>
      </c>
      <c r="C296" s="575">
        <f aca="true" t="shared" si="43" ref="C296:D296">SUM(C288+C290+C293+C295)</f>
        <v>88883</v>
      </c>
      <c r="D296" s="575">
        <f t="shared" si="43"/>
        <v>89614</v>
      </c>
      <c r="E296" s="890">
        <f t="shared" si="41"/>
        <v>1.0082242948595344</v>
      </c>
      <c r="F296" s="645"/>
    </row>
    <row r="297" spans="1:6" ht="12.75">
      <c r="A297" s="234"/>
      <c r="B297" s="253" t="s">
        <v>289</v>
      </c>
      <c r="C297" s="573">
        <v>75008</v>
      </c>
      <c r="D297" s="573">
        <f>75008+123</f>
        <v>75131</v>
      </c>
      <c r="E297" s="845">
        <f t="shared" si="41"/>
        <v>1.0016398250853242</v>
      </c>
      <c r="F297" s="646"/>
    </row>
    <row r="298" spans="1:6" ht="12.75">
      <c r="A298" s="234"/>
      <c r="B298" s="253" t="s">
        <v>290</v>
      </c>
      <c r="C298" s="573">
        <v>10320</v>
      </c>
      <c r="D298" s="573">
        <f>10320+52</f>
        <v>10372</v>
      </c>
      <c r="E298" s="845">
        <f t="shared" si="41"/>
        <v>1.0050387596899224</v>
      </c>
      <c r="F298" s="646"/>
    </row>
    <row r="299" spans="1:6" ht="12.75">
      <c r="A299" s="234"/>
      <c r="B299" s="253" t="s">
        <v>291</v>
      </c>
      <c r="C299" s="573">
        <v>2945</v>
      </c>
      <c r="D299" s="573">
        <f>2945+356</f>
        <v>3301</v>
      </c>
      <c r="E299" s="845">
        <f t="shared" si="41"/>
        <v>1.1208828522920204</v>
      </c>
      <c r="F299" s="646"/>
    </row>
    <row r="300" spans="1:6" ht="12.75">
      <c r="A300" s="234"/>
      <c r="B300" s="254" t="s">
        <v>293</v>
      </c>
      <c r="C300" s="573"/>
      <c r="D300" s="573"/>
      <c r="E300" s="845"/>
      <c r="F300" s="645"/>
    </row>
    <row r="301" spans="1:6" ht="13.5" thickBot="1">
      <c r="A301" s="234"/>
      <c r="B301" s="255" t="s">
        <v>292</v>
      </c>
      <c r="C301" s="573"/>
      <c r="D301" s="573"/>
      <c r="E301" s="870"/>
      <c r="F301" s="645"/>
    </row>
    <row r="302" spans="1:6" ht="13.5" thickBot="1">
      <c r="A302" s="234"/>
      <c r="B302" s="256" t="s">
        <v>47</v>
      </c>
      <c r="C302" s="575">
        <f aca="true" t="shared" si="44" ref="C302:D302">SUM(C297:C301)</f>
        <v>88273</v>
      </c>
      <c r="D302" s="575">
        <f t="shared" si="44"/>
        <v>88804</v>
      </c>
      <c r="E302" s="890">
        <f t="shared" si="41"/>
        <v>1.0060154294065002</v>
      </c>
      <c r="F302" s="645"/>
    </row>
    <row r="303" spans="1:6" ht="12.75">
      <c r="A303" s="234"/>
      <c r="B303" s="253" t="s">
        <v>1253</v>
      </c>
      <c r="C303" s="573">
        <v>610</v>
      </c>
      <c r="D303" s="573">
        <f>610+200</f>
        <v>810</v>
      </c>
      <c r="E303" s="845">
        <f t="shared" si="41"/>
        <v>1.3278688524590163</v>
      </c>
      <c r="F303" s="646"/>
    </row>
    <row r="304" spans="1:6" ht="12.75">
      <c r="A304" s="234"/>
      <c r="B304" s="253" t="s">
        <v>221</v>
      </c>
      <c r="C304" s="573"/>
      <c r="D304" s="573"/>
      <c r="E304" s="845"/>
      <c r="F304" s="645"/>
    </row>
    <row r="305" spans="1:6" ht="13.5" thickBot="1">
      <c r="A305" s="234"/>
      <c r="B305" s="255" t="s">
        <v>382</v>
      </c>
      <c r="C305" s="573"/>
      <c r="D305" s="573"/>
      <c r="E305" s="870"/>
      <c r="F305" s="645"/>
    </row>
    <row r="306" spans="1:6" ht="13.5" thickBot="1">
      <c r="A306" s="234"/>
      <c r="B306" s="257" t="s">
        <v>53</v>
      </c>
      <c r="C306" s="575">
        <f aca="true" t="shared" si="45" ref="C306:D306">SUM(C303:C305)</f>
        <v>610</v>
      </c>
      <c r="D306" s="575">
        <f t="shared" si="45"/>
        <v>810</v>
      </c>
      <c r="E306" s="890">
        <f t="shared" si="41"/>
        <v>1.3278688524590163</v>
      </c>
      <c r="F306" s="645"/>
    </row>
    <row r="307" spans="1:6" ht="15.75" thickBot="1">
      <c r="A307" s="231"/>
      <c r="B307" s="258" t="s">
        <v>94</v>
      </c>
      <c r="C307" s="575">
        <f aca="true" t="shared" si="46" ref="C307:D307">SUM(C302+C306)</f>
        <v>88883</v>
      </c>
      <c r="D307" s="575">
        <f t="shared" si="46"/>
        <v>89614</v>
      </c>
      <c r="E307" s="891">
        <f t="shared" si="41"/>
        <v>1.0082242948595344</v>
      </c>
      <c r="F307" s="645"/>
    </row>
    <row r="308" spans="1:6" ht="15">
      <c r="A308" s="260">
        <v>2499</v>
      </c>
      <c r="B308" s="189" t="s">
        <v>301</v>
      </c>
      <c r="C308" s="586"/>
      <c r="D308" s="586"/>
      <c r="E308" s="845"/>
      <c r="F308" s="645"/>
    </row>
    <row r="309" spans="1:6" ht="12.75" customHeight="1">
      <c r="A309" s="260"/>
      <c r="B309" s="235" t="s">
        <v>162</v>
      </c>
      <c r="C309" s="576"/>
      <c r="D309" s="576"/>
      <c r="E309" s="845"/>
      <c r="F309" s="645"/>
    </row>
    <row r="310" spans="1:6" ht="12.75" customHeight="1" thickBot="1">
      <c r="A310" s="260"/>
      <c r="B310" s="236" t="s">
        <v>163</v>
      </c>
      <c r="C310" s="587"/>
      <c r="D310" s="587"/>
      <c r="E310" s="870"/>
      <c r="F310" s="645"/>
    </row>
    <row r="311" spans="1:6" ht="12.75" customHeight="1" thickBot="1">
      <c r="A311" s="260"/>
      <c r="B311" s="237" t="s">
        <v>175</v>
      </c>
      <c r="C311" s="585"/>
      <c r="D311" s="585"/>
      <c r="E311" s="847"/>
      <c r="F311" s="645"/>
    </row>
    <row r="312" spans="1:6" ht="12.75" customHeight="1">
      <c r="A312" s="260"/>
      <c r="B312" s="235" t="s">
        <v>165</v>
      </c>
      <c r="C312" s="573"/>
      <c r="D312" s="573"/>
      <c r="E312" s="845"/>
      <c r="F312" s="645"/>
    </row>
    <row r="313" spans="1:6" ht="12.75" customHeight="1">
      <c r="A313" s="260"/>
      <c r="B313" s="240" t="s">
        <v>166</v>
      </c>
      <c r="C313" s="579"/>
      <c r="D313" s="579"/>
      <c r="E313" s="845"/>
      <c r="F313" s="645"/>
    </row>
    <row r="314" spans="1:6" ht="12.75" customHeight="1">
      <c r="A314" s="260"/>
      <c r="B314" s="240" t="s">
        <v>167</v>
      </c>
      <c r="C314" s="579"/>
      <c r="D314" s="579"/>
      <c r="E314" s="845"/>
      <c r="F314" s="645"/>
    </row>
    <row r="315" spans="1:6" ht="12.75" customHeight="1">
      <c r="A315" s="260"/>
      <c r="B315" s="241" t="s">
        <v>168</v>
      </c>
      <c r="C315" s="573"/>
      <c r="D315" s="573"/>
      <c r="E315" s="845"/>
      <c r="F315" s="645"/>
    </row>
    <row r="316" spans="1:6" ht="12.75" customHeight="1">
      <c r="A316" s="260"/>
      <c r="B316" s="241" t="s">
        <v>169</v>
      </c>
      <c r="C316" s="573"/>
      <c r="D316" s="573"/>
      <c r="E316" s="845"/>
      <c r="F316" s="645"/>
    </row>
    <row r="317" spans="1:6" ht="13.5" customHeight="1">
      <c r="A317" s="260"/>
      <c r="B317" s="241" t="s">
        <v>170</v>
      </c>
      <c r="C317" s="573"/>
      <c r="D317" s="573"/>
      <c r="E317" s="845"/>
      <c r="F317" s="645"/>
    </row>
    <row r="318" spans="1:6" ht="12.75" customHeight="1">
      <c r="A318" s="260"/>
      <c r="B318" s="241" t="s">
        <v>312</v>
      </c>
      <c r="C318" s="573"/>
      <c r="D318" s="573"/>
      <c r="E318" s="845"/>
      <c r="F318" s="645"/>
    </row>
    <row r="319" spans="1:6" ht="12.75" customHeight="1">
      <c r="A319" s="260"/>
      <c r="B319" s="242" t="s">
        <v>397</v>
      </c>
      <c r="C319" s="573"/>
      <c r="D319" s="573"/>
      <c r="E319" s="845"/>
      <c r="F319" s="645"/>
    </row>
    <row r="320" spans="1:6" ht="12.75" customHeight="1" thickBot="1">
      <c r="A320" s="260"/>
      <c r="B320" s="243" t="s">
        <v>171</v>
      </c>
      <c r="C320" s="573"/>
      <c r="D320" s="573"/>
      <c r="E320" s="870"/>
      <c r="F320" s="645"/>
    </row>
    <row r="321" spans="1:6" ht="12.75" customHeight="1" thickBot="1">
      <c r="A321" s="260"/>
      <c r="B321" s="244" t="s">
        <v>308</v>
      </c>
      <c r="C321" s="575"/>
      <c r="D321" s="575"/>
      <c r="E321" s="847"/>
      <c r="F321" s="645"/>
    </row>
    <row r="322" spans="1:6" ht="12.75" customHeight="1" thickBot="1">
      <c r="A322" s="260"/>
      <c r="B322" s="246" t="s">
        <v>54</v>
      </c>
      <c r="C322" s="867"/>
      <c r="D322" s="867"/>
      <c r="E322" s="847"/>
      <c r="F322" s="645"/>
    </row>
    <row r="323" spans="1:6" ht="12.75" customHeight="1" thickBot="1">
      <c r="A323" s="260"/>
      <c r="B323" s="502" t="s">
        <v>408</v>
      </c>
      <c r="C323" s="584"/>
      <c r="D323" s="584"/>
      <c r="E323" s="847"/>
      <c r="F323" s="645"/>
    </row>
    <row r="324" spans="1:6" ht="12.75" customHeight="1" thickBot="1">
      <c r="A324" s="260"/>
      <c r="B324" s="247" t="s">
        <v>55</v>
      </c>
      <c r="C324" s="590"/>
      <c r="D324" s="590"/>
      <c r="E324" s="847"/>
      <c r="F324" s="645"/>
    </row>
    <row r="325" spans="1:6" ht="12.75" customHeight="1">
      <c r="A325" s="260"/>
      <c r="B325" s="498" t="s">
        <v>373</v>
      </c>
      <c r="C325" s="583">
        <f aca="true" t="shared" si="47" ref="C325:D325">SUM(C25+C59+C92+C126+C159+C192+C225+C258+C291)</f>
        <v>0</v>
      </c>
      <c r="D325" s="583">
        <f t="shared" si="47"/>
        <v>8044</v>
      </c>
      <c r="E325" s="845">
        <v>1</v>
      </c>
      <c r="F325" s="645"/>
    </row>
    <row r="326" spans="1:6" ht="12.75" customHeight="1" thickBot="1">
      <c r="A326" s="260"/>
      <c r="B326" s="249" t="s">
        <v>401</v>
      </c>
      <c r="C326" s="574">
        <f aca="true" t="shared" si="48" ref="C326:D326">SUM(C26+C60+C93+C127+C160+C193+C226+C259+C292)</f>
        <v>1382531</v>
      </c>
      <c r="D326" s="574">
        <f t="shared" si="48"/>
        <v>1384564</v>
      </c>
      <c r="E326" s="870">
        <f t="shared" si="41"/>
        <v>1.0014704914392516</v>
      </c>
      <c r="F326" s="646"/>
    </row>
    <row r="327" spans="1:6" ht="12.75" customHeight="1" thickBot="1">
      <c r="A327" s="260"/>
      <c r="B327" s="250" t="s">
        <v>48</v>
      </c>
      <c r="C327" s="582">
        <f aca="true" t="shared" si="49" ref="C327:D327">SUM(C325:C326)</f>
        <v>1382531</v>
      </c>
      <c r="D327" s="582">
        <f t="shared" si="49"/>
        <v>1392608</v>
      </c>
      <c r="E327" s="890">
        <f t="shared" si="41"/>
        <v>1.007288805820629</v>
      </c>
      <c r="F327" s="645"/>
    </row>
    <row r="328" spans="1:6" ht="12.75" customHeight="1" thickBot="1">
      <c r="A328" s="260"/>
      <c r="B328" s="207" t="s">
        <v>373</v>
      </c>
      <c r="C328" s="581">
        <f>SUM(C29+C63+C96+C130+C163+C229+C262+C295)+C195</f>
        <v>0</v>
      </c>
      <c r="D328" s="581">
        <f>SUM(D29+D63+D96+D130+D163+D229+D262+D295)+D195</f>
        <v>1851</v>
      </c>
      <c r="E328" s="847">
        <v>1</v>
      </c>
      <c r="F328" s="645"/>
    </row>
    <row r="329" spans="1:6" ht="12.75" customHeight="1" thickBot="1">
      <c r="A329" s="260"/>
      <c r="B329" s="250" t="s">
        <v>50</v>
      </c>
      <c r="C329" s="582">
        <f aca="true" t="shared" si="50" ref="C329:D329">SUM(C328)</f>
        <v>0</v>
      </c>
      <c r="D329" s="582">
        <f t="shared" si="50"/>
        <v>1851</v>
      </c>
      <c r="E329" s="847">
        <v>1</v>
      </c>
      <c r="F329" s="645"/>
    </row>
    <row r="330" spans="1:6" ht="12.75" customHeight="1" thickBot="1">
      <c r="A330" s="260"/>
      <c r="B330" s="262" t="s">
        <v>59</v>
      </c>
      <c r="C330" s="590">
        <f aca="true" t="shared" si="51" ref="C330:D330">SUM(C322+C324+C327+C329)</f>
        <v>1382531</v>
      </c>
      <c r="D330" s="590">
        <f t="shared" si="51"/>
        <v>1394459</v>
      </c>
      <c r="E330" s="890">
        <f t="shared" si="41"/>
        <v>1.008627654642102</v>
      </c>
      <c r="F330" s="645"/>
    </row>
    <row r="331" spans="1:6" ht="15">
      <c r="A331" s="260"/>
      <c r="B331" s="253" t="s">
        <v>289</v>
      </c>
      <c r="C331" s="573">
        <f>SUM(C31+C65+C98+C132+C165+C198+C231+C264+C297)</f>
        <v>1166004</v>
      </c>
      <c r="D331" s="573">
        <f>SUM(D31+D65+D98+D132+D165+D198+D231+D264+D297)</f>
        <v>1167125</v>
      </c>
      <c r="E331" s="845">
        <f t="shared" si="41"/>
        <v>1.0009614032198861</v>
      </c>
      <c r="F331" s="646"/>
    </row>
    <row r="332" spans="1:6" ht="12.75">
      <c r="A332" s="234"/>
      <c r="B332" s="253" t="s">
        <v>290</v>
      </c>
      <c r="C332" s="573">
        <f aca="true" t="shared" si="52" ref="C332:D332">SUM(C32+C66+C99+C133+C166+C199+C232+C265+C298)</f>
        <v>173208</v>
      </c>
      <c r="D332" s="573">
        <f t="shared" si="52"/>
        <v>173935</v>
      </c>
      <c r="E332" s="845">
        <f t="shared" si="41"/>
        <v>1.0041972657152094</v>
      </c>
      <c r="F332" s="646"/>
    </row>
    <row r="333" spans="1:6" ht="12.75">
      <c r="A333" s="234"/>
      <c r="B333" s="253" t="s">
        <v>291</v>
      </c>
      <c r="C333" s="573">
        <f aca="true" t="shared" si="53" ref="C333:D333">SUM(C33+C67+C100+C134+C167+C200+C233+C266+C299)</f>
        <v>38944</v>
      </c>
      <c r="D333" s="573">
        <f t="shared" si="53"/>
        <v>47173</v>
      </c>
      <c r="E333" s="845">
        <f t="shared" si="41"/>
        <v>1.2113034100246507</v>
      </c>
      <c r="F333" s="646"/>
    </row>
    <row r="334" spans="1:6" ht="12.75">
      <c r="A334" s="234"/>
      <c r="B334" s="254" t="s">
        <v>293</v>
      </c>
      <c r="C334" s="573">
        <f aca="true" t="shared" si="54" ref="C334:D334">SUM(C34+C68+C101+C135+C168+C201+C234+C267+C300)</f>
        <v>0</v>
      </c>
      <c r="D334" s="573">
        <f t="shared" si="54"/>
        <v>0</v>
      </c>
      <c r="E334" s="845"/>
      <c r="F334" s="645"/>
    </row>
    <row r="335" spans="1:6" ht="13.5" thickBot="1">
      <c r="A335" s="234"/>
      <c r="B335" s="255" t="s">
        <v>292</v>
      </c>
      <c r="C335" s="573">
        <f>SUM(C35+C69+C102+C136+C169+C202+C235+C268+C301)</f>
        <v>0</v>
      </c>
      <c r="D335" s="573">
        <f>SUM(D35+D69+D102+D136+D169+D202+D235+D268+D301)</f>
        <v>0</v>
      </c>
      <c r="E335" s="870"/>
      <c r="F335" s="645"/>
    </row>
    <row r="336" spans="1:6" ht="13.5" thickBot="1">
      <c r="A336" s="234"/>
      <c r="B336" s="256" t="s">
        <v>47</v>
      </c>
      <c r="C336" s="575">
        <f aca="true" t="shared" si="55" ref="C336:D336">SUM(C331:C335)</f>
        <v>1378156</v>
      </c>
      <c r="D336" s="575">
        <f t="shared" si="55"/>
        <v>1388233</v>
      </c>
      <c r="E336" s="890">
        <f t="shared" si="41"/>
        <v>1.0073119443662402</v>
      </c>
      <c r="F336" s="645"/>
    </row>
    <row r="337" spans="1:6" ht="12.75">
      <c r="A337" s="234"/>
      <c r="B337" s="253" t="s">
        <v>220</v>
      </c>
      <c r="C337" s="573">
        <f>SUM(C303+C270+C237+C204+C171+C138+C104+C71+C37)</f>
        <v>4375</v>
      </c>
      <c r="D337" s="573">
        <f>SUM(D303+D270+D237+D204+D171+D138+D104+D71+D37)</f>
        <v>6226</v>
      </c>
      <c r="E337" s="845">
        <f t="shared" si="41"/>
        <v>1.4230857142857143</v>
      </c>
      <c r="F337" s="646"/>
    </row>
    <row r="338" spans="1:6" ht="12.75">
      <c r="A338" s="234"/>
      <c r="B338" s="253" t="s">
        <v>221</v>
      </c>
      <c r="C338" s="573">
        <f>C38+C72+C105+C139+C172+C205+C238+C271</f>
        <v>0</v>
      </c>
      <c r="D338" s="573">
        <f>D38+D72+D105+D139+D172+D205+D238+D271</f>
        <v>0</v>
      </c>
      <c r="E338" s="845"/>
      <c r="F338" s="645"/>
    </row>
    <row r="339" spans="1:6" ht="13.5" thickBot="1">
      <c r="A339" s="234"/>
      <c r="B339" s="255" t="s">
        <v>382</v>
      </c>
      <c r="C339" s="574"/>
      <c r="D339" s="574"/>
      <c r="E339" s="870"/>
      <c r="F339" s="645"/>
    </row>
    <row r="340" spans="1:6" ht="13.5" thickBot="1">
      <c r="A340" s="234"/>
      <c r="B340" s="257" t="s">
        <v>53</v>
      </c>
      <c r="C340" s="575">
        <f aca="true" t="shared" si="56" ref="C340:D340">SUM(C337:C339)</f>
        <v>4375</v>
      </c>
      <c r="D340" s="575">
        <f t="shared" si="56"/>
        <v>6226</v>
      </c>
      <c r="E340" s="890">
        <f t="shared" si="41"/>
        <v>1.4230857142857143</v>
      </c>
      <c r="F340" s="645"/>
    </row>
    <row r="341" spans="1:6" ht="15.75" thickBot="1">
      <c r="A341" s="231"/>
      <c r="B341" s="258" t="s">
        <v>94</v>
      </c>
      <c r="C341" s="575">
        <f aca="true" t="shared" si="57" ref="C341:D341">SUM(C336+C340)</f>
        <v>1382531</v>
      </c>
      <c r="D341" s="575">
        <f t="shared" si="57"/>
        <v>1394459</v>
      </c>
      <c r="E341" s="890">
        <f t="shared" si="41"/>
        <v>1.008627654642102</v>
      </c>
      <c r="F341" s="645"/>
    </row>
    <row r="342" spans="1:6" ht="15">
      <c r="A342" s="188">
        <v>2795</v>
      </c>
      <c r="B342" s="263" t="s">
        <v>19</v>
      </c>
      <c r="C342" s="588"/>
      <c r="D342" s="588"/>
      <c r="E342" s="845"/>
      <c r="F342" s="645"/>
    </row>
    <row r="343" spans="1:6" ht="12.6" customHeight="1">
      <c r="A343" s="234"/>
      <c r="B343" s="235" t="s">
        <v>162</v>
      </c>
      <c r="C343" s="576"/>
      <c r="D343" s="576"/>
      <c r="E343" s="845"/>
      <c r="F343" s="645"/>
    </row>
    <row r="344" spans="1:6" ht="13.5" thickBot="1">
      <c r="A344" s="234"/>
      <c r="B344" s="236" t="s">
        <v>163</v>
      </c>
      <c r="C344" s="574"/>
      <c r="D344" s="574"/>
      <c r="E344" s="870"/>
      <c r="F344" s="645"/>
    </row>
    <row r="345" spans="1:6" ht="13.5" thickBot="1">
      <c r="A345" s="234"/>
      <c r="B345" s="237" t="s">
        <v>175</v>
      </c>
      <c r="C345" s="589"/>
      <c r="D345" s="589"/>
      <c r="E345" s="847"/>
      <c r="F345" s="645"/>
    </row>
    <row r="346" spans="1:6" ht="12.75">
      <c r="A346" s="234"/>
      <c r="B346" s="235" t="s">
        <v>165</v>
      </c>
      <c r="C346" s="573">
        <f aca="true" t="shared" si="58" ref="C346:D346">SUM(C347:C348)</f>
        <v>41380</v>
      </c>
      <c r="D346" s="573">
        <f t="shared" si="58"/>
        <v>41380</v>
      </c>
      <c r="E346" s="845">
        <f t="shared" si="41"/>
        <v>1</v>
      </c>
      <c r="F346" s="645"/>
    </row>
    <row r="347" spans="1:6" ht="12.75">
      <c r="A347" s="234"/>
      <c r="B347" s="240" t="s">
        <v>166</v>
      </c>
      <c r="C347" s="579"/>
      <c r="D347" s="579"/>
      <c r="E347" s="845"/>
      <c r="F347" s="645"/>
    </row>
    <row r="348" spans="1:6" ht="12.75">
      <c r="A348" s="234"/>
      <c r="B348" s="240" t="s">
        <v>167</v>
      </c>
      <c r="C348" s="579">
        <v>41380</v>
      </c>
      <c r="D348" s="579">
        <v>41380</v>
      </c>
      <c r="E348" s="845">
        <f aca="true" t="shared" si="59" ref="E348:E408">SUM(D348/C348)</f>
        <v>1</v>
      </c>
      <c r="F348" s="646"/>
    </row>
    <row r="349" spans="1:6" ht="12.75">
      <c r="A349" s="234"/>
      <c r="B349" s="241" t="s">
        <v>168</v>
      </c>
      <c r="C349" s="573">
        <v>8845</v>
      </c>
      <c r="D349" s="573">
        <v>8845</v>
      </c>
      <c r="E349" s="845">
        <f t="shared" si="59"/>
        <v>1</v>
      </c>
      <c r="F349" s="646"/>
    </row>
    <row r="350" spans="1:6" ht="12.75">
      <c r="A350" s="234"/>
      <c r="B350" s="241" t="s">
        <v>169</v>
      </c>
      <c r="C350" s="573">
        <v>137048</v>
      </c>
      <c r="D350" s="573">
        <v>137048</v>
      </c>
      <c r="E350" s="845">
        <f t="shared" si="59"/>
        <v>1</v>
      </c>
      <c r="F350" s="646"/>
    </row>
    <row r="351" spans="1:6" ht="12.75">
      <c r="A351" s="234"/>
      <c r="B351" s="241" t="s">
        <v>170</v>
      </c>
      <c r="C351" s="573">
        <v>50563</v>
      </c>
      <c r="D351" s="573">
        <v>50563</v>
      </c>
      <c r="E351" s="845">
        <f t="shared" si="59"/>
        <v>1</v>
      </c>
      <c r="F351" s="646"/>
    </row>
    <row r="352" spans="1:6" ht="12.75">
      <c r="A352" s="234"/>
      <c r="B352" s="242" t="s">
        <v>397</v>
      </c>
      <c r="C352" s="573"/>
      <c r="D352" s="573"/>
      <c r="E352" s="845"/>
      <c r="F352" s="645"/>
    </row>
    <row r="353" spans="1:6" ht="13.5" thickBot="1">
      <c r="A353" s="234"/>
      <c r="B353" s="243" t="s">
        <v>171</v>
      </c>
      <c r="C353" s="573"/>
      <c r="D353" s="573"/>
      <c r="E353" s="870"/>
      <c r="F353" s="645"/>
    </row>
    <row r="354" spans="1:6" ht="13.5" thickBot="1">
      <c r="A354" s="234"/>
      <c r="B354" s="244" t="s">
        <v>308</v>
      </c>
      <c r="C354" s="575">
        <f aca="true" t="shared" si="60" ref="C354:D354">SUM(C346+C349+C350+C351+C353+C352)</f>
        <v>237836</v>
      </c>
      <c r="D354" s="575">
        <f t="shared" si="60"/>
        <v>237836</v>
      </c>
      <c r="E354" s="890">
        <f t="shared" si="59"/>
        <v>1</v>
      </c>
      <c r="F354" s="645"/>
    </row>
    <row r="355" spans="1:6" ht="13.5" thickBot="1">
      <c r="A355" s="234"/>
      <c r="B355" s="246" t="s">
        <v>54</v>
      </c>
      <c r="C355" s="868">
        <f aca="true" t="shared" si="61" ref="C355:D355">SUM(C354+C345)</f>
        <v>237836</v>
      </c>
      <c r="D355" s="868">
        <f t="shared" si="61"/>
        <v>237836</v>
      </c>
      <c r="E355" s="890">
        <f t="shared" si="59"/>
        <v>1</v>
      </c>
      <c r="F355" s="645"/>
    </row>
    <row r="356" spans="1:6" ht="13.5" thickBot="1">
      <c r="A356" s="234"/>
      <c r="B356" s="502" t="s">
        <v>355</v>
      </c>
      <c r="C356" s="581"/>
      <c r="D356" s="581"/>
      <c r="E356" s="847"/>
      <c r="F356" s="645"/>
    </row>
    <row r="357" spans="1:6" ht="13.5" thickBot="1">
      <c r="A357" s="234"/>
      <c r="B357" s="247" t="s">
        <v>55</v>
      </c>
      <c r="C357" s="582"/>
      <c r="D357" s="582"/>
      <c r="E357" s="847"/>
      <c r="F357" s="645"/>
    </row>
    <row r="358" spans="1:6" ht="12.75">
      <c r="A358" s="234"/>
      <c r="B358" s="498" t="s">
        <v>373</v>
      </c>
      <c r="C358" s="583"/>
      <c r="D358" s="583">
        <v>11900</v>
      </c>
      <c r="E358" s="845">
        <v>1</v>
      </c>
      <c r="F358" s="645"/>
    </row>
    <row r="359" spans="1:6" ht="12.75">
      <c r="A359" s="234"/>
      <c r="B359" s="990" t="s">
        <v>401</v>
      </c>
      <c r="C359" s="573">
        <v>1408085</v>
      </c>
      <c r="D359" s="573">
        <f>1408085+101188-23346+89502</f>
        <v>1575429</v>
      </c>
      <c r="E359" s="845">
        <f t="shared" si="59"/>
        <v>1.1188450981297293</v>
      </c>
      <c r="F359" s="647"/>
    </row>
    <row r="360" spans="1:6" ht="13.5" thickBot="1">
      <c r="A360" s="234"/>
      <c r="B360" s="991" t="s">
        <v>404</v>
      </c>
      <c r="C360" s="574">
        <v>377777</v>
      </c>
      <c r="D360" s="574">
        <f>377777+23346</f>
        <v>401123</v>
      </c>
      <c r="E360" s="870">
        <f t="shared" si="59"/>
        <v>1.0617983625260405</v>
      </c>
      <c r="F360" s="647"/>
    </row>
    <row r="361" spans="1:6" ht="13.5" thickBot="1">
      <c r="A361" s="234"/>
      <c r="B361" s="250" t="s">
        <v>48</v>
      </c>
      <c r="C361" s="582">
        <f aca="true" t="shared" si="62" ref="C361:D361">SUM(C358:C360)</f>
        <v>1785862</v>
      </c>
      <c r="D361" s="582">
        <f t="shared" si="62"/>
        <v>1988452</v>
      </c>
      <c r="E361" s="890">
        <f t="shared" si="59"/>
        <v>1.1134410161591433</v>
      </c>
      <c r="F361" s="645"/>
    </row>
    <row r="362" spans="1:7" ht="13.5" thickBot="1">
      <c r="A362" s="234"/>
      <c r="B362" s="207" t="s">
        <v>373</v>
      </c>
      <c r="C362" s="581"/>
      <c r="D362" s="581">
        <v>5000</v>
      </c>
      <c r="E362" s="847">
        <v>1</v>
      </c>
      <c r="F362" s="645"/>
      <c r="G362" s="882"/>
    </row>
    <row r="363" spans="1:6" ht="13.5" thickBot="1">
      <c r="A363" s="234"/>
      <c r="B363" s="250" t="s">
        <v>50</v>
      </c>
      <c r="C363" s="582"/>
      <c r="D363" s="582">
        <v>5000</v>
      </c>
      <c r="E363" s="847">
        <v>1</v>
      </c>
      <c r="F363" s="645"/>
    </row>
    <row r="364" spans="1:6" ht="15.75" thickBot="1">
      <c r="A364" s="234"/>
      <c r="B364" s="252" t="s">
        <v>59</v>
      </c>
      <c r="C364" s="575">
        <f>SUM(C355+C357+C361)+C363</f>
        <v>2023698</v>
      </c>
      <c r="D364" s="575">
        <f>SUM(D355+D357+D361)+D363</f>
        <v>2231288</v>
      </c>
      <c r="E364" s="890">
        <f t="shared" si="59"/>
        <v>1.1025795350887335</v>
      </c>
      <c r="F364" s="645"/>
    </row>
    <row r="365" spans="1:6" ht="12.75">
      <c r="A365" s="234"/>
      <c r="B365" s="253" t="s">
        <v>289</v>
      </c>
      <c r="C365" s="573">
        <v>672142</v>
      </c>
      <c r="D365" s="573">
        <f>672142+382+2219</f>
        <v>674743</v>
      </c>
      <c r="E365" s="845">
        <f t="shared" si="59"/>
        <v>1.0038697180060165</v>
      </c>
      <c r="F365" s="646"/>
    </row>
    <row r="366" spans="1:6" ht="12.75">
      <c r="A366" s="234"/>
      <c r="B366" s="253" t="s">
        <v>290</v>
      </c>
      <c r="C366" s="573">
        <v>106741</v>
      </c>
      <c r="D366" s="573">
        <f>106741+343+288</f>
        <v>107372</v>
      </c>
      <c r="E366" s="845">
        <f t="shared" si="59"/>
        <v>1.0059115054196606</v>
      </c>
      <c r="F366" s="646"/>
    </row>
    <row r="367" spans="1:6" ht="12.75">
      <c r="A367" s="234"/>
      <c r="B367" s="253" t="s">
        <v>291</v>
      </c>
      <c r="C367" s="573">
        <v>1089012</v>
      </c>
      <c r="D367" s="573">
        <f>1089012+88191</f>
        <v>1177203</v>
      </c>
      <c r="E367" s="845">
        <f t="shared" si="59"/>
        <v>1.080982578704367</v>
      </c>
      <c r="F367" s="646"/>
    </row>
    <row r="368" spans="1:6" ht="12.75">
      <c r="A368" s="234"/>
      <c r="B368" s="254" t="s">
        <v>293</v>
      </c>
      <c r="C368" s="573"/>
      <c r="D368" s="573"/>
      <c r="E368" s="845"/>
      <c r="F368" s="645"/>
    </row>
    <row r="369" spans="1:6" ht="13.5" thickBot="1">
      <c r="A369" s="234"/>
      <c r="B369" s="255" t="s">
        <v>292</v>
      </c>
      <c r="C369" s="573"/>
      <c r="D369" s="573"/>
      <c r="E369" s="870"/>
      <c r="F369" s="645"/>
    </row>
    <row r="370" spans="1:6" ht="13.5" thickBot="1">
      <c r="A370" s="234"/>
      <c r="B370" s="256" t="s">
        <v>47</v>
      </c>
      <c r="C370" s="575">
        <f aca="true" t="shared" si="63" ref="C370:D370">SUM(C365:C369)</f>
        <v>1867895</v>
      </c>
      <c r="D370" s="575">
        <f t="shared" si="63"/>
        <v>1959318</v>
      </c>
      <c r="E370" s="890">
        <f t="shared" si="59"/>
        <v>1.0489443999796562</v>
      </c>
      <c r="F370" s="645"/>
    </row>
    <row r="371" spans="1:6" ht="12.75">
      <c r="A371" s="234"/>
      <c r="B371" s="253" t="s">
        <v>220</v>
      </c>
      <c r="C371" s="928">
        <f>SUM(C372:C389)</f>
        <v>47585</v>
      </c>
      <c r="D371" s="928">
        <f>SUM(D372:D389)</f>
        <v>142108</v>
      </c>
      <c r="E371" s="845">
        <f t="shared" si="59"/>
        <v>2.986403278344016</v>
      </c>
      <c r="F371" s="648"/>
    </row>
    <row r="372" spans="1:6" ht="12.75">
      <c r="A372" s="234"/>
      <c r="B372" s="447" t="s">
        <v>1249</v>
      </c>
      <c r="C372" s="579">
        <v>14173</v>
      </c>
      <c r="D372" s="579">
        <v>17007</v>
      </c>
      <c r="E372" s="845">
        <f t="shared" si="59"/>
        <v>1.1999576659846187</v>
      </c>
      <c r="F372" s="648"/>
    </row>
    <row r="373" spans="1:6" ht="12.75">
      <c r="A373" s="234"/>
      <c r="B373" s="447" t="s">
        <v>1221</v>
      </c>
      <c r="C373" s="579">
        <v>152</v>
      </c>
      <c r="D373" s="579">
        <f>182</f>
        <v>182</v>
      </c>
      <c r="E373" s="845">
        <f t="shared" si="59"/>
        <v>1.1973684210526316</v>
      </c>
      <c r="F373" s="648"/>
    </row>
    <row r="374" spans="1:7" ht="12.75">
      <c r="A374" s="234"/>
      <c r="B374" s="447" t="s">
        <v>1222</v>
      </c>
      <c r="C374" s="579">
        <v>699</v>
      </c>
      <c r="D374" s="579">
        <v>839</v>
      </c>
      <c r="E374" s="845">
        <f t="shared" si="59"/>
        <v>1.200286123032904</v>
      </c>
      <c r="F374" s="648"/>
      <c r="G374" s="882"/>
    </row>
    <row r="375" spans="1:6" ht="12.75">
      <c r="A375" s="234"/>
      <c r="B375" s="447" t="s">
        <v>1225</v>
      </c>
      <c r="C375" s="579">
        <v>381</v>
      </c>
      <c r="D375" s="579">
        <v>457</v>
      </c>
      <c r="E375" s="845">
        <f t="shared" si="59"/>
        <v>1.1994750656167978</v>
      </c>
      <c r="F375" s="648"/>
    </row>
    <row r="376" spans="1:6" ht="12.75">
      <c r="A376" s="234"/>
      <c r="B376" s="447" t="s">
        <v>1227</v>
      </c>
      <c r="C376" s="579">
        <v>572</v>
      </c>
      <c r="D376" s="579">
        <v>686</v>
      </c>
      <c r="E376" s="845">
        <f t="shared" si="59"/>
        <v>1.1993006993006994</v>
      </c>
      <c r="F376" s="648"/>
    </row>
    <row r="377" spans="1:6" ht="12.75">
      <c r="A377" s="234"/>
      <c r="B377" s="447" t="s">
        <v>1229</v>
      </c>
      <c r="C377" s="579">
        <v>330</v>
      </c>
      <c r="D377" s="579">
        <v>396</v>
      </c>
      <c r="E377" s="845">
        <f t="shared" si="59"/>
        <v>1.2</v>
      </c>
      <c r="F377" s="648"/>
    </row>
    <row r="378" spans="1:6" ht="12.75">
      <c r="A378" s="234"/>
      <c r="B378" s="447" t="s">
        <v>1230</v>
      </c>
      <c r="C378" s="579">
        <v>152</v>
      </c>
      <c r="D378" s="579">
        <v>182</v>
      </c>
      <c r="E378" s="845">
        <f t="shared" si="59"/>
        <v>1.1973684210526316</v>
      </c>
      <c r="F378" s="648"/>
    </row>
    <row r="379" spans="1:6" ht="12.75">
      <c r="A379" s="234"/>
      <c r="B379" s="447" t="s">
        <v>1233</v>
      </c>
      <c r="C379" s="579">
        <v>1244</v>
      </c>
      <c r="D379" s="579">
        <v>1493</v>
      </c>
      <c r="E379" s="845">
        <f t="shared" si="59"/>
        <v>1.20016077170418</v>
      </c>
      <c r="F379" s="648"/>
    </row>
    <row r="380" spans="1:6" ht="12.75">
      <c r="A380" s="234"/>
      <c r="B380" s="447" t="s">
        <v>1235</v>
      </c>
      <c r="C380" s="579">
        <v>838</v>
      </c>
      <c r="D380" s="579">
        <v>1006</v>
      </c>
      <c r="E380" s="845">
        <f t="shared" si="59"/>
        <v>1.2004773269689737</v>
      </c>
      <c r="F380" s="648"/>
    </row>
    <row r="381" spans="1:6" ht="12.75">
      <c r="A381" s="234"/>
      <c r="B381" s="447" t="s">
        <v>1237</v>
      </c>
      <c r="C381" s="579">
        <v>203</v>
      </c>
      <c r="D381" s="579">
        <v>244</v>
      </c>
      <c r="E381" s="845">
        <f t="shared" si="59"/>
        <v>1.2019704433497538</v>
      </c>
      <c r="F381" s="648"/>
    </row>
    <row r="382" spans="1:6" ht="12.75">
      <c r="A382" s="234"/>
      <c r="B382" s="447" t="s">
        <v>1241</v>
      </c>
      <c r="C382" s="579">
        <v>3175</v>
      </c>
      <c r="D382" s="579">
        <v>3810</v>
      </c>
      <c r="E382" s="845">
        <f t="shared" si="59"/>
        <v>1.2</v>
      </c>
      <c r="F382" s="648"/>
    </row>
    <row r="383" spans="1:6" ht="12.75">
      <c r="A383" s="234"/>
      <c r="B383" s="447" t="s">
        <v>1242</v>
      </c>
      <c r="C383" s="579">
        <v>1778</v>
      </c>
      <c r="D383" s="579">
        <v>2133</v>
      </c>
      <c r="E383" s="845">
        <f t="shared" si="59"/>
        <v>1.1996625421822271</v>
      </c>
      <c r="F383" s="648"/>
    </row>
    <row r="384" spans="1:6" ht="12.75">
      <c r="A384" s="234"/>
      <c r="B384" s="447" t="s">
        <v>1244</v>
      </c>
      <c r="C384" s="579">
        <v>17780</v>
      </c>
      <c r="D384" s="579">
        <v>21336</v>
      </c>
      <c r="E384" s="845">
        <f t="shared" si="59"/>
        <v>1.2</v>
      </c>
      <c r="F384" s="648"/>
    </row>
    <row r="385" spans="1:6" ht="12.75">
      <c r="A385" s="234"/>
      <c r="B385" s="447" t="s">
        <v>1245</v>
      </c>
      <c r="C385" s="579">
        <v>190</v>
      </c>
      <c r="D385" s="579">
        <v>228</v>
      </c>
      <c r="E385" s="845">
        <f t="shared" si="59"/>
        <v>1.2</v>
      </c>
      <c r="F385" s="648"/>
    </row>
    <row r="386" spans="1:6" ht="12.75">
      <c r="A386" s="234"/>
      <c r="B386" s="447" t="s">
        <v>1246</v>
      </c>
      <c r="C386" s="579">
        <v>2819</v>
      </c>
      <c r="D386" s="579">
        <v>3383</v>
      </c>
      <c r="E386" s="845">
        <f t="shared" si="59"/>
        <v>1.2000709471443773</v>
      </c>
      <c r="F386" s="648"/>
    </row>
    <row r="387" spans="1:6" ht="12.75">
      <c r="A387" s="234"/>
      <c r="B387" s="447" t="s">
        <v>1247</v>
      </c>
      <c r="C387" s="579">
        <v>508</v>
      </c>
      <c r="D387" s="579">
        <v>610</v>
      </c>
      <c r="E387" s="845">
        <f t="shared" si="59"/>
        <v>1.2007874015748032</v>
      </c>
      <c r="F387" s="648"/>
    </row>
    <row r="388" spans="1:6" ht="12.75">
      <c r="A388" s="234"/>
      <c r="B388" s="447" t="s">
        <v>1356</v>
      </c>
      <c r="C388" s="579"/>
      <c r="D388" s="579">
        <v>50000</v>
      </c>
      <c r="E388" s="845">
        <v>1</v>
      </c>
      <c r="F388" s="648"/>
    </row>
    <row r="389" spans="1:6" ht="12.75">
      <c r="A389" s="234"/>
      <c r="B389" s="447" t="s">
        <v>1248</v>
      </c>
      <c r="C389" s="579">
        <v>2591</v>
      </c>
      <c r="D389" s="579">
        <v>38116</v>
      </c>
      <c r="E389" s="845">
        <f t="shared" si="59"/>
        <v>14.710922423774605</v>
      </c>
      <c r="F389" s="648"/>
    </row>
    <row r="390" spans="1:6" ht="12.75">
      <c r="A390" s="234"/>
      <c r="B390" s="253" t="s">
        <v>221</v>
      </c>
      <c r="C390" s="928">
        <f>SUM(C391:C405)</f>
        <v>108218</v>
      </c>
      <c r="D390" s="928">
        <f>SUM(D391:D405)</f>
        <v>129862</v>
      </c>
      <c r="E390" s="845">
        <f t="shared" si="59"/>
        <v>1.2000036962427691</v>
      </c>
      <c r="F390" s="645"/>
    </row>
    <row r="391" spans="1:6" ht="12.75">
      <c r="A391" s="234"/>
      <c r="B391" s="447" t="s">
        <v>1218</v>
      </c>
      <c r="C391" s="579">
        <v>17780</v>
      </c>
      <c r="D391" s="579">
        <v>21336</v>
      </c>
      <c r="E391" s="845">
        <f t="shared" si="59"/>
        <v>1.2</v>
      </c>
      <c r="F391" s="645"/>
    </row>
    <row r="392" spans="1:6" ht="12.75">
      <c r="A392" s="234"/>
      <c r="B392" s="447" t="s">
        <v>1219</v>
      </c>
      <c r="C392" s="579">
        <v>31750</v>
      </c>
      <c r="D392" s="579">
        <v>38100</v>
      </c>
      <c r="E392" s="845">
        <f t="shared" si="59"/>
        <v>1.2</v>
      </c>
      <c r="F392" s="645"/>
    </row>
    <row r="393" spans="1:6" ht="12.75">
      <c r="A393" s="234"/>
      <c r="B393" s="447" t="s">
        <v>1220</v>
      </c>
      <c r="C393" s="579">
        <v>2159</v>
      </c>
      <c r="D393" s="579">
        <v>2591</v>
      </c>
      <c r="E393" s="845">
        <f t="shared" si="59"/>
        <v>1.2000926354793886</v>
      </c>
      <c r="F393" s="645"/>
    </row>
    <row r="394" spans="1:6" ht="12.75">
      <c r="A394" s="234"/>
      <c r="B394" s="447" t="s">
        <v>1223</v>
      </c>
      <c r="C394" s="579">
        <v>1651</v>
      </c>
      <c r="D394" s="579">
        <v>1981</v>
      </c>
      <c r="E394" s="845">
        <f t="shared" si="59"/>
        <v>1.1998788612961842</v>
      </c>
      <c r="F394" s="645"/>
    </row>
    <row r="395" spans="1:6" ht="12.75">
      <c r="A395" s="234"/>
      <c r="B395" s="447" t="s">
        <v>1224</v>
      </c>
      <c r="C395" s="579">
        <v>11811</v>
      </c>
      <c r="D395" s="579">
        <v>14173</v>
      </c>
      <c r="E395" s="845">
        <f t="shared" si="59"/>
        <v>1.1999830666328</v>
      </c>
      <c r="F395" s="645"/>
    </row>
    <row r="396" spans="1:6" ht="12.75">
      <c r="A396" s="234"/>
      <c r="B396" s="447" t="s">
        <v>1226</v>
      </c>
      <c r="C396" s="579">
        <v>1524</v>
      </c>
      <c r="D396" s="579">
        <v>1829</v>
      </c>
      <c r="E396" s="845">
        <f t="shared" si="59"/>
        <v>1.2001312335958005</v>
      </c>
      <c r="F396" s="645"/>
    </row>
    <row r="397" spans="1:6" ht="12.75">
      <c r="A397" s="234"/>
      <c r="B397" s="447" t="s">
        <v>1228</v>
      </c>
      <c r="C397" s="579">
        <v>1778</v>
      </c>
      <c r="D397" s="579">
        <v>2134</v>
      </c>
      <c r="E397" s="845">
        <f t="shared" si="59"/>
        <v>1.2002249718785152</v>
      </c>
      <c r="F397" s="645"/>
    </row>
    <row r="398" spans="1:6" ht="12.75">
      <c r="A398" s="234"/>
      <c r="B398" s="447" t="s">
        <v>1231</v>
      </c>
      <c r="C398" s="579">
        <v>381</v>
      </c>
      <c r="D398" s="579">
        <v>457</v>
      </c>
      <c r="E398" s="845">
        <f t="shared" si="59"/>
        <v>1.1994750656167978</v>
      </c>
      <c r="F398" s="645"/>
    </row>
    <row r="399" spans="1:6" ht="12.75">
      <c r="A399" s="234"/>
      <c r="B399" s="447" t="s">
        <v>1232</v>
      </c>
      <c r="C399" s="579">
        <v>1016</v>
      </c>
      <c r="D399" s="579">
        <v>1219</v>
      </c>
      <c r="E399" s="845">
        <f t="shared" si="59"/>
        <v>1.1998031496062993</v>
      </c>
      <c r="F399" s="645"/>
    </row>
    <row r="400" spans="1:6" ht="12.75">
      <c r="A400" s="234"/>
      <c r="B400" s="447" t="s">
        <v>1234</v>
      </c>
      <c r="C400" s="579">
        <v>381</v>
      </c>
      <c r="D400" s="579">
        <v>457</v>
      </c>
      <c r="E400" s="845">
        <f t="shared" si="59"/>
        <v>1.1994750656167978</v>
      </c>
      <c r="F400" s="645"/>
    </row>
    <row r="401" spans="1:6" ht="12.75">
      <c r="A401" s="234"/>
      <c r="B401" s="447" t="s">
        <v>1238</v>
      </c>
      <c r="C401" s="579">
        <v>356</v>
      </c>
      <c r="D401" s="579">
        <v>427</v>
      </c>
      <c r="E401" s="845">
        <f t="shared" si="59"/>
        <v>1.199438202247191</v>
      </c>
      <c r="F401" s="645"/>
    </row>
    <row r="402" spans="1:6" ht="12.75">
      <c r="A402" s="234"/>
      <c r="B402" s="447" t="s">
        <v>1236</v>
      </c>
      <c r="C402" s="579">
        <v>381</v>
      </c>
      <c r="D402" s="579">
        <v>457</v>
      </c>
      <c r="E402" s="845">
        <f t="shared" si="59"/>
        <v>1.1994750656167978</v>
      </c>
      <c r="F402" s="645"/>
    </row>
    <row r="403" spans="1:6" ht="12.75">
      <c r="A403" s="234"/>
      <c r="B403" s="447" t="s">
        <v>1239</v>
      </c>
      <c r="C403" s="579">
        <v>229</v>
      </c>
      <c r="D403" s="579">
        <v>275</v>
      </c>
      <c r="E403" s="845">
        <f t="shared" si="59"/>
        <v>1.2008733624454149</v>
      </c>
      <c r="F403" s="645"/>
    </row>
    <row r="404" spans="1:6" ht="12.75">
      <c r="A404" s="234"/>
      <c r="B404" s="447" t="s">
        <v>1240</v>
      </c>
      <c r="C404" s="579">
        <v>35560</v>
      </c>
      <c r="D404" s="579">
        <v>42672</v>
      </c>
      <c r="E404" s="845">
        <f t="shared" si="59"/>
        <v>1.2</v>
      </c>
      <c r="F404" s="645"/>
    </row>
    <row r="405" spans="1:6" ht="12.75">
      <c r="A405" s="234"/>
      <c r="B405" s="447" t="s">
        <v>1243</v>
      </c>
      <c r="C405" s="579">
        <v>1461</v>
      </c>
      <c r="D405" s="579">
        <v>1754</v>
      </c>
      <c r="E405" s="845">
        <f t="shared" si="59"/>
        <v>1.2005475701574264</v>
      </c>
      <c r="F405" s="645"/>
    </row>
    <row r="406" spans="1:6" ht="13.5" thickBot="1">
      <c r="A406" s="234"/>
      <c r="B406" s="255" t="s">
        <v>382</v>
      </c>
      <c r="C406" s="580"/>
      <c r="D406" s="580"/>
      <c r="E406" s="870"/>
      <c r="F406" s="645"/>
    </row>
    <row r="407" spans="1:6" ht="13.5" thickBot="1">
      <c r="A407" s="234"/>
      <c r="B407" s="257" t="s">
        <v>53</v>
      </c>
      <c r="C407" s="580">
        <f>SUM(C371+C390)</f>
        <v>155803</v>
      </c>
      <c r="D407" s="580">
        <f>SUM(D371+D390)</f>
        <v>271970</v>
      </c>
      <c r="E407" s="890">
        <f t="shared" si="59"/>
        <v>1.745601817680019</v>
      </c>
      <c r="F407" s="645"/>
    </row>
    <row r="408" spans="1:6" ht="15.75" thickBot="1">
      <c r="A408" s="231"/>
      <c r="B408" s="258" t="s">
        <v>94</v>
      </c>
      <c r="C408" s="580">
        <f>SUM(C370+C407)</f>
        <v>2023698</v>
      </c>
      <c r="D408" s="580">
        <f>SUM(D370+D407)</f>
        <v>2231288</v>
      </c>
      <c r="E408" s="891">
        <f t="shared" si="59"/>
        <v>1.1025795350887335</v>
      </c>
      <c r="F408" s="645"/>
    </row>
    <row r="409" spans="1:6" ht="15">
      <c r="A409" s="186">
        <v>2799</v>
      </c>
      <c r="B409" s="189" t="s">
        <v>66</v>
      </c>
      <c r="C409" s="586"/>
      <c r="D409" s="586"/>
      <c r="E409" s="845"/>
      <c r="F409" s="645"/>
    </row>
    <row r="410" spans="1:6" ht="12.75">
      <c r="A410" s="234"/>
      <c r="B410" s="235" t="s">
        <v>162</v>
      </c>
      <c r="C410" s="576"/>
      <c r="D410" s="576"/>
      <c r="E410" s="845"/>
      <c r="F410" s="645"/>
    </row>
    <row r="411" spans="1:6" ht="13.5" thickBot="1">
      <c r="A411" s="234"/>
      <c r="B411" s="236" t="s">
        <v>163</v>
      </c>
      <c r="C411" s="587">
        <f>C310+C344</f>
        <v>0</v>
      </c>
      <c r="D411" s="587">
        <f>D310+D344</f>
        <v>0</v>
      </c>
      <c r="E411" s="870"/>
      <c r="F411" s="645"/>
    </row>
    <row r="412" spans="1:6" ht="13.5" thickBot="1">
      <c r="A412" s="234"/>
      <c r="B412" s="237" t="s">
        <v>175</v>
      </c>
      <c r="C412" s="585">
        <f aca="true" t="shared" si="64" ref="C412:D412">SUM(C411)</f>
        <v>0</v>
      </c>
      <c r="D412" s="585">
        <f t="shared" si="64"/>
        <v>0</v>
      </c>
      <c r="E412" s="847"/>
      <c r="F412" s="645"/>
    </row>
    <row r="413" spans="1:6" ht="12.75">
      <c r="A413" s="234"/>
      <c r="B413" s="235" t="s">
        <v>165</v>
      </c>
      <c r="C413" s="573">
        <f aca="true" t="shared" si="65" ref="C413:D413">SUM(C414:C415)</f>
        <v>41380</v>
      </c>
      <c r="D413" s="573">
        <f t="shared" si="65"/>
        <v>41380</v>
      </c>
      <c r="E413" s="845">
        <f aca="true" t="shared" si="66" ref="E413:E475">SUM(D413/C413)</f>
        <v>1</v>
      </c>
      <c r="F413" s="645"/>
    </row>
    <row r="414" spans="1:6" ht="12.75">
      <c r="A414" s="234"/>
      <c r="B414" s="240" t="s">
        <v>166</v>
      </c>
      <c r="C414" s="579">
        <f aca="true" t="shared" si="67" ref="C414:D418">SUM(C347+C313)</f>
        <v>0</v>
      </c>
      <c r="D414" s="579">
        <f t="shared" si="67"/>
        <v>0</v>
      </c>
      <c r="E414" s="845"/>
      <c r="F414" s="645"/>
    </row>
    <row r="415" spans="1:6" ht="12.75">
      <c r="A415" s="234"/>
      <c r="B415" s="240" t="s">
        <v>167</v>
      </c>
      <c r="C415" s="579">
        <f t="shared" si="67"/>
        <v>41380</v>
      </c>
      <c r="D415" s="579">
        <f t="shared" si="67"/>
        <v>41380</v>
      </c>
      <c r="E415" s="845">
        <f t="shared" si="66"/>
        <v>1</v>
      </c>
      <c r="F415" s="646"/>
    </row>
    <row r="416" spans="1:6" ht="12.75">
      <c r="A416" s="234"/>
      <c r="B416" s="241" t="s">
        <v>168</v>
      </c>
      <c r="C416" s="573">
        <f t="shared" si="67"/>
        <v>8845</v>
      </c>
      <c r="D416" s="573">
        <f t="shared" si="67"/>
        <v>8845</v>
      </c>
      <c r="E416" s="845">
        <f t="shared" si="66"/>
        <v>1</v>
      </c>
      <c r="F416" s="646"/>
    </row>
    <row r="417" spans="1:6" ht="12.75">
      <c r="A417" s="234"/>
      <c r="B417" s="241" t="s">
        <v>169</v>
      </c>
      <c r="C417" s="573">
        <f t="shared" si="67"/>
        <v>137048</v>
      </c>
      <c r="D417" s="573">
        <f t="shared" si="67"/>
        <v>137048</v>
      </c>
      <c r="E417" s="845">
        <f t="shared" si="66"/>
        <v>1</v>
      </c>
      <c r="F417" s="646"/>
    </row>
    <row r="418" spans="1:6" ht="12.75">
      <c r="A418" s="234"/>
      <c r="B418" s="241" t="s">
        <v>170</v>
      </c>
      <c r="C418" s="573">
        <f t="shared" si="67"/>
        <v>50563</v>
      </c>
      <c r="D418" s="573">
        <f t="shared" si="67"/>
        <v>50563</v>
      </c>
      <c r="E418" s="845">
        <f t="shared" si="66"/>
        <v>1</v>
      </c>
      <c r="F418" s="646"/>
    </row>
    <row r="419" spans="1:6" ht="12.75">
      <c r="A419" s="234"/>
      <c r="B419" s="241" t="s">
        <v>312</v>
      </c>
      <c r="C419" s="573">
        <f>C318</f>
        <v>0</v>
      </c>
      <c r="D419" s="573">
        <f>D318</f>
        <v>0</v>
      </c>
      <c r="E419" s="845"/>
      <c r="F419" s="645"/>
    </row>
    <row r="420" spans="1:6" ht="12.75">
      <c r="A420" s="234"/>
      <c r="B420" s="242" t="s">
        <v>397</v>
      </c>
      <c r="C420" s="573">
        <f>SUM(C352+C319)</f>
        <v>0</v>
      </c>
      <c r="D420" s="573">
        <f>SUM(D352+D319)</f>
        <v>0</v>
      </c>
      <c r="E420" s="845"/>
      <c r="F420" s="645"/>
    </row>
    <row r="421" spans="1:6" ht="13.5" thickBot="1">
      <c r="A421" s="234"/>
      <c r="B421" s="243" t="s">
        <v>171</v>
      </c>
      <c r="C421" s="573">
        <f>SUM(C353+C320)</f>
        <v>0</v>
      </c>
      <c r="D421" s="573">
        <f>SUM(D353+D320)</f>
        <v>0</v>
      </c>
      <c r="E421" s="870"/>
      <c r="F421" s="645"/>
    </row>
    <row r="422" spans="1:6" ht="13.5" thickBot="1">
      <c r="A422" s="234"/>
      <c r="B422" s="244" t="s">
        <v>308</v>
      </c>
      <c r="C422" s="575">
        <f aca="true" t="shared" si="68" ref="C422:D422">SUM(C413+C416+C417+C418+C421+C419+C420)</f>
        <v>237836</v>
      </c>
      <c r="D422" s="575">
        <f t="shared" si="68"/>
        <v>237836</v>
      </c>
      <c r="E422" s="890">
        <f t="shared" si="66"/>
        <v>1</v>
      </c>
      <c r="F422" s="645"/>
    </row>
    <row r="423" spans="1:6" ht="13.5" thickBot="1">
      <c r="A423" s="234"/>
      <c r="B423" s="246" t="s">
        <v>54</v>
      </c>
      <c r="C423" s="867">
        <f aca="true" t="shared" si="69" ref="C423:D423">SUM(C422+C412)</f>
        <v>237836</v>
      </c>
      <c r="D423" s="867">
        <f t="shared" si="69"/>
        <v>237836</v>
      </c>
      <c r="E423" s="891">
        <f t="shared" si="66"/>
        <v>1</v>
      </c>
      <c r="F423" s="645"/>
    </row>
    <row r="424" spans="1:6" ht="12.75">
      <c r="A424" s="234"/>
      <c r="B424" s="504" t="s">
        <v>408</v>
      </c>
      <c r="C424" s="583">
        <f>SUM(C323)</f>
        <v>0</v>
      </c>
      <c r="D424" s="583">
        <f>SUM(D323)</f>
        <v>0</v>
      </c>
      <c r="E424" s="845"/>
      <c r="F424" s="645"/>
    </row>
    <row r="425" spans="1:6" ht="13.5" thickBot="1">
      <c r="A425" s="234"/>
      <c r="B425" s="502" t="s">
        <v>409</v>
      </c>
      <c r="C425" s="581">
        <f>SUM(C356)</f>
        <v>0</v>
      </c>
      <c r="D425" s="581">
        <f>SUM(D356)</f>
        <v>0</v>
      </c>
      <c r="E425" s="870"/>
      <c r="F425" s="645"/>
    </row>
    <row r="426" spans="1:6" ht="13.5" thickBot="1">
      <c r="A426" s="234"/>
      <c r="B426" s="247" t="s">
        <v>55</v>
      </c>
      <c r="C426" s="590">
        <f aca="true" t="shared" si="70" ref="C426:D426">SUM(C424:C425)</f>
        <v>0</v>
      </c>
      <c r="D426" s="590">
        <f t="shared" si="70"/>
        <v>0</v>
      </c>
      <c r="E426" s="847"/>
      <c r="F426" s="645"/>
    </row>
    <row r="427" spans="1:6" ht="12.75">
      <c r="A427" s="234"/>
      <c r="B427" s="498" t="s">
        <v>373</v>
      </c>
      <c r="C427" s="583">
        <f>SUM(C358+C325)</f>
        <v>0</v>
      </c>
      <c r="D427" s="583">
        <f>SUM(D358+D325)</f>
        <v>19944</v>
      </c>
      <c r="E427" s="845">
        <v>1</v>
      </c>
      <c r="F427" s="645"/>
    </row>
    <row r="428" spans="1:6" ht="12.75">
      <c r="A428" s="234"/>
      <c r="B428" s="248" t="s">
        <v>401</v>
      </c>
      <c r="C428" s="573">
        <f>SUM(C359+C326)</f>
        <v>2790616</v>
      </c>
      <c r="D428" s="573">
        <f>SUM(D359+D326)</f>
        <v>2959993</v>
      </c>
      <c r="E428" s="845">
        <f t="shared" si="66"/>
        <v>1.060695201346226</v>
      </c>
      <c r="F428" s="646"/>
    </row>
    <row r="429" spans="1:6" ht="13.5" thickBot="1">
      <c r="A429" s="234"/>
      <c r="B429" s="249" t="s">
        <v>404</v>
      </c>
      <c r="C429" s="574">
        <f>SUM(C360)</f>
        <v>377777</v>
      </c>
      <c r="D429" s="574">
        <f>SUM(D360)</f>
        <v>401123</v>
      </c>
      <c r="E429" s="870">
        <f t="shared" si="66"/>
        <v>1.0617983625260405</v>
      </c>
      <c r="F429" s="646"/>
    </row>
    <row r="430" spans="1:6" ht="13.5" thickBot="1">
      <c r="A430" s="234"/>
      <c r="B430" s="250" t="s">
        <v>48</v>
      </c>
      <c r="C430" s="582">
        <f aca="true" t="shared" si="71" ref="C430:D430">SUM(C427:C429)</f>
        <v>3168393</v>
      </c>
      <c r="D430" s="582">
        <f t="shared" si="71"/>
        <v>3381060</v>
      </c>
      <c r="E430" s="890">
        <f t="shared" si="66"/>
        <v>1.0671214082343952</v>
      </c>
      <c r="F430" s="645"/>
    </row>
    <row r="431" spans="1:6" ht="13.5" thickBot="1">
      <c r="A431" s="234"/>
      <c r="B431" s="207" t="s">
        <v>373</v>
      </c>
      <c r="C431" s="581">
        <f>SUM(C329)+C362</f>
        <v>0</v>
      </c>
      <c r="D431" s="581">
        <f>SUM(D329)+D362</f>
        <v>6851</v>
      </c>
      <c r="E431" s="847">
        <v>1</v>
      </c>
      <c r="F431" s="645"/>
    </row>
    <row r="432" spans="1:6" ht="13.5" thickBot="1">
      <c r="A432" s="234"/>
      <c r="B432" s="250" t="s">
        <v>50</v>
      </c>
      <c r="C432" s="582">
        <f aca="true" t="shared" si="72" ref="C432:D432">SUM(C431)</f>
        <v>0</v>
      </c>
      <c r="D432" s="582">
        <f t="shared" si="72"/>
        <v>6851</v>
      </c>
      <c r="E432" s="847">
        <v>1</v>
      </c>
      <c r="F432" s="645"/>
    </row>
    <row r="433" spans="1:6" ht="15.75" thickBot="1">
      <c r="A433" s="234"/>
      <c r="B433" s="252" t="s">
        <v>59</v>
      </c>
      <c r="C433" s="575">
        <f>SUM(C423+C426+C430+C432)</f>
        <v>3406229</v>
      </c>
      <c r="D433" s="575">
        <f>SUM(D423+D426+D430+D432)</f>
        <v>3625747</v>
      </c>
      <c r="E433" s="890">
        <f t="shared" si="66"/>
        <v>1.0644460486949057</v>
      </c>
      <c r="F433" s="645"/>
    </row>
    <row r="434" spans="1:6" ht="12.75">
      <c r="A434" s="234"/>
      <c r="B434" s="253" t="s">
        <v>289</v>
      </c>
      <c r="C434" s="573">
        <f aca="true" t="shared" si="73" ref="C434:D438">SUM(C365+C331)</f>
        <v>1838146</v>
      </c>
      <c r="D434" s="573">
        <f t="shared" si="73"/>
        <v>1841868</v>
      </c>
      <c r="E434" s="845">
        <f t="shared" si="66"/>
        <v>1.0020248663599083</v>
      </c>
      <c r="F434" s="646"/>
    </row>
    <row r="435" spans="1:6" ht="12.75">
      <c r="A435" s="234"/>
      <c r="B435" s="253" t="s">
        <v>290</v>
      </c>
      <c r="C435" s="573">
        <f t="shared" si="73"/>
        <v>279949</v>
      </c>
      <c r="D435" s="573">
        <f t="shared" si="73"/>
        <v>281307</v>
      </c>
      <c r="E435" s="845">
        <f t="shared" si="66"/>
        <v>1.0048508835537902</v>
      </c>
      <c r="F435" s="646"/>
    </row>
    <row r="436" spans="1:6" ht="12.75">
      <c r="A436" s="234"/>
      <c r="B436" s="253" t="s">
        <v>291</v>
      </c>
      <c r="C436" s="573">
        <f t="shared" si="73"/>
        <v>1127956</v>
      </c>
      <c r="D436" s="573">
        <f t="shared" si="73"/>
        <v>1224376</v>
      </c>
      <c r="E436" s="845">
        <f t="shared" si="66"/>
        <v>1.0854820578107656</v>
      </c>
      <c r="F436" s="646"/>
    </row>
    <row r="437" spans="1:6" ht="12.75">
      <c r="A437" s="234"/>
      <c r="B437" s="254" t="s">
        <v>293</v>
      </c>
      <c r="C437" s="573">
        <f t="shared" si="73"/>
        <v>0</v>
      </c>
      <c r="D437" s="573">
        <f t="shared" si="73"/>
        <v>0</v>
      </c>
      <c r="E437" s="845"/>
      <c r="F437" s="645"/>
    </row>
    <row r="438" spans="1:6" ht="13.5" thickBot="1">
      <c r="A438" s="234"/>
      <c r="B438" s="255" t="s">
        <v>292</v>
      </c>
      <c r="C438" s="573">
        <f t="shared" si="73"/>
        <v>0</v>
      </c>
      <c r="D438" s="573">
        <f t="shared" si="73"/>
        <v>0</v>
      </c>
      <c r="E438" s="870"/>
      <c r="F438" s="645"/>
    </row>
    <row r="439" spans="1:6" ht="13.5" thickBot="1">
      <c r="A439" s="234"/>
      <c r="B439" s="256" t="s">
        <v>47</v>
      </c>
      <c r="C439" s="575">
        <f aca="true" t="shared" si="74" ref="C439:D439">SUM(C434:C438)</f>
        <v>3246051</v>
      </c>
      <c r="D439" s="575">
        <f t="shared" si="74"/>
        <v>3347551</v>
      </c>
      <c r="E439" s="890">
        <f t="shared" si="66"/>
        <v>1.0312687631833264</v>
      </c>
      <c r="F439" s="645"/>
    </row>
    <row r="440" spans="1:6" ht="12.75">
      <c r="A440" s="234"/>
      <c r="B440" s="253" t="s">
        <v>220</v>
      </c>
      <c r="C440" s="573">
        <f>SUM(C371+C337)</f>
        <v>51960</v>
      </c>
      <c r="D440" s="573">
        <f>SUM(D371+D337)</f>
        <v>148334</v>
      </c>
      <c r="E440" s="845">
        <f t="shared" si="66"/>
        <v>2.8547729022324866</v>
      </c>
      <c r="F440" s="646"/>
    </row>
    <row r="441" spans="1:6" ht="12.75">
      <c r="A441" s="234"/>
      <c r="B441" s="253" t="s">
        <v>221</v>
      </c>
      <c r="C441" s="573">
        <f>SUM(C390+C338)</f>
        <v>108218</v>
      </c>
      <c r="D441" s="573">
        <f>SUM(D390+D338)</f>
        <v>129862</v>
      </c>
      <c r="E441" s="845">
        <f t="shared" si="66"/>
        <v>1.2000036962427691</v>
      </c>
      <c r="F441" s="645"/>
    </row>
    <row r="442" spans="1:6" ht="13.5" thickBot="1">
      <c r="A442" s="234"/>
      <c r="B442" s="255" t="s">
        <v>382</v>
      </c>
      <c r="C442" s="574"/>
      <c r="D442" s="574"/>
      <c r="E442" s="870"/>
      <c r="F442" s="645"/>
    </row>
    <row r="443" spans="1:6" ht="13.5" thickBot="1">
      <c r="A443" s="234"/>
      <c r="B443" s="257" t="s">
        <v>53</v>
      </c>
      <c r="C443" s="580">
        <f aca="true" t="shared" si="75" ref="C443:D443">SUM(C440:C442)</f>
        <v>160178</v>
      </c>
      <c r="D443" s="580">
        <f t="shared" si="75"/>
        <v>278196</v>
      </c>
      <c r="E443" s="890">
        <f t="shared" si="66"/>
        <v>1.736792817989986</v>
      </c>
      <c r="F443" s="645"/>
    </row>
    <row r="444" spans="1:6" ht="15.75" thickBot="1">
      <c r="A444" s="231"/>
      <c r="B444" s="258" t="s">
        <v>94</v>
      </c>
      <c r="C444" s="575">
        <f aca="true" t="shared" si="76" ref="C444:D444">SUM(C439+C443)</f>
        <v>3406229</v>
      </c>
      <c r="D444" s="575">
        <f t="shared" si="76"/>
        <v>3625747</v>
      </c>
      <c r="E444" s="891">
        <f t="shared" si="66"/>
        <v>1.0644460486949057</v>
      </c>
      <c r="F444" s="645"/>
    </row>
    <row r="445" spans="1:6" ht="15">
      <c r="A445" s="186">
        <v>2850</v>
      </c>
      <c r="B445" s="189" t="s">
        <v>302</v>
      </c>
      <c r="C445" s="573"/>
      <c r="D445" s="573"/>
      <c r="E445" s="845"/>
      <c r="F445" s="645"/>
    </row>
    <row r="446" spans="1:6" ht="12.6" customHeight="1">
      <c r="A446" s="234"/>
      <c r="B446" s="235" t="s">
        <v>162</v>
      </c>
      <c r="C446" s="576"/>
      <c r="D446" s="576"/>
      <c r="E446" s="845"/>
      <c r="F446" s="645"/>
    </row>
    <row r="447" spans="1:6" ht="13.5" thickBot="1">
      <c r="A447" s="234"/>
      <c r="B447" s="236" t="s">
        <v>163</v>
      </c>
      <c r="C447" s="591"/>
      <c r="D447" s="591"/>
      <c r="E447" s="870"/>
      <c r="F447" s="645"/>
    </row>
    <row r="448" spans="1:6" ht="13.5" thickBot="1">
      <c r="A448" s="234"/>
      <c r="B448" s="237" t="s">
        <v>175</v>
      </c>
      <c r="C448" s="592"/>
      <c r="D448" s="592"/>
      <c r="E448" s="847"/>
      <c r="F448" s="645"/>
    </row>
    <row r="449" spans="1:6" ht="12.75">
      <c r="A449" s="234"/>
      <c r="B449" s="235" t="s">
        <v>165</v>
      </c>
      <c r="C449" s="573">
        <f aca="true" t="shared" si="77" ref="C449:D449">SUM(C450)</f>
        <v>3096</v>
      </c>
      <c r="D449" s="573">
        <f t="shared" si="77"/>
        <v>3096</v>
      </c>
      <c r="E449" s="845">
        <f t="shared" si="66"/>
        <v>1</v>
      </c>
      <c r="F449" s="645"/>
    </row>
    <row r="450" spans="1:6" ht="12.75">
      <c r="A450" s="234"/>
      <c r="B450" s="240" t="s">
        <v>166</v>
      </c>
      <c r="C450" s="579">
        <v>3096</v>
      </c>
      <c r="D450" s="579">
        <v>3096</v>
      </c>
      <c r="E450" s="845">
        <f t="shared" si="66"/>
        <v>1</v>
      </c>
      <c r="F450" s="645"/>
    </row>
    <row r="451" spans="1:6" ht="12.75">
      <c r="A451" s="234"/>
      <c r="B451" s="240" t="s">
        <v>167</v>
      </c>
      <c r="C451" s="579"/>
      <c r="D451" s="579"/>
      <c r="E451" s="845"/>
      <c r="F451" s="645"/>
    </row>
    <row r="452" spans="1:6" ht="12.75">
      <c r="A452" s="234"/>
      <c r="B452" s="241" t="s">
        <v>168</v>
      </c>
      <c r="C452" s="573"/>
      <c r="D452" s="573"/>
      <c r="E452" s="845"/>
      <c r="F452" s="646"/>
    </row>
    <row r="453" spans="1:6" ht="12.75">
      <c r="A453" s="234"/>
      <c r="B453" s="241" t="s">
        <v>169</v>
      </c>
      <c r="C453" s="573">
        <v>14628</v>
      </c>
      <c r="D453" s="573">
        <v>14628</v>
      </c>
      <c r="E453" s="845">
        <f t="shared" si="66"/>
        <v>1</v>
      </c>
      <c r="F453" s="646"/>
    </row>
    <row r="454" spans="1:6" ht="12.75">
      <c r="A454" s="234"/>
      <c r="B454" s="241" t="s">
        <v>170</v>
      </c>
      <c r="C454" s="573">
        <v>4785</v>
      </c>
      <c r="D454" s="573">
        <v>4785</v>
      </c>
      <c r="E454" s="845">
        <f t="shared" si="66"/>
        <v>1</v>
      </c>
      <c r="F454" s="646"/>
    </row>
    <row r="455" spans="1:6" ht="12.75">
      <c r="A455" s="234"/>
      <c r="B455" s="241" t="s">
        <v>312</v>
      </c>
      <c r="C455" s="573"/>
      <c r="D455" s="573"/>
      <c r="E455" s="845"/>
      <c r="F455" s="645"/>
    </row>
    <row r="456" spans="1:6" ht="12.75">
      <c r="A456" s="234"/>
      <c r="B456" s="242" t="s">
        <v>397</v>
      </c>
      <c r="C456" s="573"/>
      <c r="D456" s="573"/>
      <c r="E456" s="845"/>
      <c r="F456" s="645"/>
    </row>
    <row r="457" spans="1:6" ht="13.5" thickBot="1">
      <c r="A457" s="234"/>
      <c r="B457" s="243" t="s">
        <v>171</v>
      </c>
      <c r="C457" s="573"/>
      <c r="D457" s="573"/>
      <c r="E457" s="870"/>
      <c r="F457" s="645"/>
    </row>
    <row r="458" spans="1:6" ht="13.5" thickBot="1">
      <c r="A458" s="234"/>
      <c r="B458" s="244" t="s">
        <v>308</v>
      </c>
      <c r="C458" s="575">
        <f aca="true" t="shared" si="78" ref="C458:D458">SUM(C449+C452+C453+C454+C457+C455)</f>
        <v>22509</v>
      </c>
      <c r="D458" s="575">
        <f t="shared" si="78"/>
        <v>22509</v>
      </c>
      <c r="E458" s="890">
        <f t="shared" si="66"/>
        <v>1</v>
      </c>
      <c r="F458" s="645"/>
    </row>
    <row r="459" spans="1:6" ht="13.5" thickBot="1">
      <c r="A459" s="234"/>
      <c r="B459" s="246" t="s">
        <v>54</v>
      </c>
      <c r="C459" s="859">
        <f aca="true" t="shared" si="79" ref="C459:D459">SUM(C458+C448)</f>
        <v>22509</v>
      </c>
      <c r="D459" s="859">
        <f t="shared" si="79"/>
        <v>22509</v>
      </c>
      <c r="E459" s="891">
        <f t="shared" si="66"/>
        <v>1</v>
      </c>
      <c r="F459" s="645"/>
    </row>
    <row r="460" spans="1:6" ht="13.5" thickBot="1">
      <c r="A460" s="234"/>
      <c r="B460" s="247" t="s">
        <v>55</v>
      </c>
      <c r="C460" s="581"/>
      <c r="D460" s="581"/>
      <c r="E460" s="847"/>
      <c r="F460" s="645"/>
    </row>
    <row r="461" spans="1:6" ht="12.75">
      <c r="A461" s="234"/>
      <c r="B461" s="498" t="s">
        <v>373</v>
      </c>
      <c r="C461" s="583"/>
      <c r="D461" s="583">
        <v>2582</v>
      </c>
      <c r="E461" s="845">
        <v>1</v>
      </c>
      <c r="F461" s="645"/>
    </row>
    <row r="462" spans="1:6" ht="12.75">
      <c r="A462" s="234"/>
      <c r="B462" s="121" t="s">
        <v>387</v>
      </c>
      <c r="C462" s="583"/>
      <c r="D462" s="583">
        <v>466</v>
      </c>
      <c r="E462" s="845">
        <v>1</v>
      </c>
      <c r="F462" s="645"/>
    </row>
    <row r="463" spans="1:6" ht="12.75">
      <c r="A463" s="234"/>
      <c r="B463" s="248" t="s">
        <v>401</v>
      </c>
      <c r="C463" s="573">
        <v>703972</v>
      </c>
      <c r="D463" s="573">
        <f>703972+4215+1138+2232</f>
        <v>711557</v>
      </c>
      <c r="E463" s="845">
        <f t="shared" si="66"/>
        <v>1.0107745762615559</v>
      </c>
      <c r="F463" s="646"/>
    </row>
    <row r="464" spans="1:6" ht="13.5" thickBot="1">
      <c r="A464" s="234"/>
      <c r="B464" s="249" t="s">
        <v>404</v>
      </c>
      <c r="C464" s="574">
        <v>18270</v>
      </c>
      <c r="D464" s="574">
        <v>18270</v>
      </c>
      <c r="E464" s="870">
        <f t="shared" si="66"/>
        <v>1</v>
      </c>
      <c r="F464" s="646"/>
    </row>
    <row r="465" spans="1:6" ht="13.5" thickBot="1">
      <c r="A465" s="234"/>
      <c r="B465" s="250" t="s">
        <v>48</v>
      </c>
      <c r="C465" s="590">
        <f aca="true" t="shared" si="80" ref="C465:D465">SUM(C461:C464)</f>
        <v>722242</v>
      </c>
      <c r="D465" s="590">
        <f t="shared" si="80"/>
        <v>732875</v>
      </c>
      <c r="E465" s="890">
        <f t="shared" si="66"/>
        <v>1.0147222122224961</v>
      </c>
      <c r="F465" s="645"/>
    </row>
    <row r="466" spans="1:6" ht="13.5" thickBot="1">
      <c r="A466" s="234"/>
      <c r="B466" s="207" t="s">
        <v>373</v>
      </c>
      <c r="C466" s="581"/>
      <c r="D466" s="581"/>
      <c r="E466" s="847"/>
      <c r="F466" s="645"/>
    </row>
    <row r="467" spans="1:6" ht="13.5" thickBot="1">
      <c r="A467" s="234"/>
      <c r="B467" s="250" t="s">
        <v>50</v>
      </c>
      <c r="C467" s="582"/>
      <c r="D467" s="582"/>
      <c r="E467" s="870"/>
      <c r="F467" s="645"/>
    </row>
    <row r="468" spans="1:6" ht="15.75" thickBot="1">
      <c r="A468" s="234"/>
      <c r="B468" s="252" t="s">
        <v>59</v>
      </c>
      <c r="C468" s="580">
        <f>SUM(C459+C460+C465)+C467</f>
        <v>744751</v>
      </c>
      <c r="D468" s="580">
        <f>SUM(D459+D460+D465)+D467</f>
        <v>755384</v>
      </c>
      <c r="E468" s="890">
        <f t="shared" si="66"/>
        <v>1.0142772550825712</v>
      </c>
      <c r="F468" s="645"/>
    </row>
    <row r="469" spans="1:6" ht="12.75" customHeight="1">
      <c r="A469" s="234"/>
      <c r="B469" s="253" t="s">
        <v>289</v>
      </c>
      <c r="C469" s="573">
        <v>592413</v>
      </c>
      <c r="D469" s="573">
        <f>592413+3730+89+1975</f>
        <v>598207</v>
      </c>
      <c r="E469" s="845">
        <f t="shared" si="66"/>
        <v>1.0097803390540045</v>
      </c>
      <c r="F469" s="646"/>
    </row>
    <row r="470" spans="1:6" ht="12.75">
      <c r="A470" s="234"/>
      <c r="B470" s="253" t="s">
        <v>290</v>
      </c>
      <c r="C470" s="573">
        <v>90819</v>
      </c>
      <c r="D470" s="573">
        <f>90819+485+125+257</f>
        <v>91686</v>
      </c>
      <c r="E470" s="845">
        <f t="shared" si="66"/>
        <v>1.0095464605423976</v>
      </c>
      <c r="F470" s="646"/>
    </row>
    <row r="471" spans="1:6" ht="12.75">
      <c r="A471" s="234"/>
      <c r="B471" s="253" t="s">
        <v>291</v>
      </c>
      <c r="C471" s="573">
        <v>59019</v>
      </c>
      <c r="D471" s="573">
        <f>59019+2582+924+424</f>
        <v>62949</v>
      </c>
      <c r="E471" s="845">
        <f t="shared" si="66"/>
        <v>1.0665887256646165</v>
      </c>
      <c r="F471" s="646"/>
    </row>
    <row r="472" spans="1:6" ht="12.75">
      <c r="A472" s="234"/>
      <c r="B472" s="254" t="s">
        <v>293</v>
      </c>
      <c r="C472" s="573"/>
      <c r="D472" s="573"/>
      <c r="E472" s="845"/>
      <c r="F472" s="645"/>
    </row>
    <row r="473" spans="1:6" ht="13.5" thickBot="1">
      <c r="A473" s="234"/>
      <c r="B473" s="255" t="s">
        <v>292</v>
      </c>
      <c r="C473" s="573"/>
      <c r="D473" s="573">
        <v>42</v>
      </c>
      <c r="E473" s="870">
        <v>1</v>
      </c>
      <c r="F473" s="645"/>
    </row>
    <row r="474" spans="1:6" ht="13.5" thickBot="1">
      <c r="A474" s="234"/>
      <c r="B474" s="256" t="s">
        <v>47</v>
      </c>
      <c r="C474" s="575">
        <f aca="true" t="shared" si="81" ref="C474:D474">SUM(C469:C473)</f>
        <v>742251</v>
      </c>
      <c r="D474" s="575">
        <f t="shared" si="81"/>
        <v>752884</v>
      </c>
      <c r="E474" s="890">
        <f t="shared" si="66"/>
        <v>1.0143253427748835</v>
      </c>
      <c r="F474" s="645"/>
    </row>
    <row r="475" spans="1:6" ht="12.75">
      <c r="A475" s="234"/>
      <c r="B475" s="253" t="s">
        <v>1253</v>
      </c>
      <c r="C475" s="573">
        <v>2500</v>
      </c>
      <c r="D475" s="573">
        <v>2500</v>
      </c>
      <c r="E475" s="845">
        <f t="shared" si="66"/>
        <v>1</v>
      </c>
      <c r="F475" s="646"/>
    </row>
    <row r="476" spans="1:6" ht="12.75">
      <c r="A476" s="234"/>
      <c r="B476" s="253" t="s">
        <v>221</v>
      </c>
      <c r="C476" s="573"/>
      <c r="D476" s="573"/>
      <c r="E476" s="845"/>
      <c r="F476" s="645"/>
    </row>
    <row r="477" spans="1:6" ht="13.5" thickBot="1">
      <c r="A477" s="234"/>
      <c r="B477" s="255" t="s">
        <v>382</v>
      </c>
      <c r="C477" s="573"/>
      <c r="D477" s="573"/>
      <c r="E477" s="891"/>
      <c r="F477" s="645"/>
    </row>
    <row r="478" spans="1:6" ht="13.5" thickBot="1">
      <c r="A478" s="234"/>
      <c r="B478" s="257" t="s">
        <v>53</v>
      </c>
      <c r="C478" s="575">
        <f aca="true" t="shared" si="82" ref="C478:D478">SUM(C475:C477)</f>
        <v>2500</v>
      </c>
      <c r="D478" s="575">
        <f t="shared" si="82"/>
        <v>2500</v>
      </c>
      <c r="E478" s="890">
        <f aca="true" t="shared" si="83" ref="E478:E539">SUM(D478/C478)</f>
        <v>1</v>
      </c>
      <c r="F478" s="645"/>
    </row>
    <row r="479" spans="1:6" ht="15.75" thickBot="1">
      <c r="A479" s="231"/>
      <c r="B479" s="258" t="s">
        <v>94</v>
      </c>
      <c r="C479" s="580">
        <f aca="true" t="shared" si="84" ref="C479:D479">SUM(C474+C478)</f>
        <v>744751</v>
      </c>
      <c r="D479" s="580">
        <f t="shared" si="84"/>
        <v>755384</v>
      </c>
      <c r="E479" s="890">
        <f t="shared" si="83"/>
        <v>1.0142772550825712</v>
      </c>
      <c r="F479" s="645"/>
    </row>
    <row r="480" spans="1:6" ht="15">
      <c r="A480" s="186">
        <v>2875</v>
      </c>
      <c r="B480" s="189" t="s">
        <v>273</v>
      </c>
      <c r="C480" s="573"/>
      <c r="D480" s="573"/>
      <c r="E480" s="845"/>
      <c r="F480" s="645"/>
    </row>
    <row r="481" spans="1:6" ht="12.6" customHeight="1">
      <c r="A481" s="234"/>
      <c r="B481" s="235" t="s">
        <v>162</v>
      </c>
      <c r="C481" s="576"/>
      <c r="D481" s="576"/>
      <c r="E481" s="845"/>
      <c r="F481" s="645"/>
    </row>
    <row r="482" spans="1:6" ht="13.5" thickBot="1">
      <c r="A482" s="234"/>
      <c r="B482" s="236" t="s">
        <v>163</v>
      </c>
      <c r="C482" s="574"/>
      <c r="D482" s="574"/>
      <c r="E482" s="870"/>
      <c r="F482" s="645"/>
    </row>
    <row r="483" spans="1:6" ht="13.5" thickBot="1">
      <c r="A483" s="234"/>
      <c r="B483" s="237" t="s">
        <v>175</v>
      </c>
      <c r="C483" s="589"/>
      <c r="D483" s="589"/>
      <c r="E483" s="847"/>
      <c r="F483" s="645"/>
    </row>
    <row r="484" spans="1:6" ht="12.75">
      <c r="A484" s="234"/>
      <c r="B484" s="235" t="s">
        <v>165</v>
      </c>
      <c r="C484" s="573">
        <v>378</v>
      </c>
      <c r="D484" s="573">
        <v>378</v>
      </c>
      <c r="E484" s="845">
        <f t="shared" si="83"/>
        <v>1</v>
      </c>
      <c r="F484" s="645"/>
    </row>
    <row r="485" spans="1:6" ht="12.75">
      <c r="A485" s="234"/>
      <c r="B485" s="240" t="s">
        <v>166</v>
      </c>
      <c r="C485" s="579"/>
      <c r="D485" s="579"/>
      <c r="E485" s="845"/>
      <c r="F485" s="645"/>
    </row>
    <row r="486" spans="1:6" ht="12.75">
      <c r="A486" s="234"/>
      <c r="B486" s="240" t="s">
        <v>167</v>
      </c>
      <c r="C486" s="579">
        <v>378</v>
      </c>
      <c r="D486" s="579">
        <v>378</v>
      </c>
      <c r="E486" s="845">
        <f t="shared" si="83"/>
        <v>1</v>
      </c>
      <c r="F486" s="646"/>
    </row>
    <row r="487" spans="1:6" ht="12.75">
      <c r="A487" s="234"/>
      <c r="B487" s="241" t="s">
        <v>168</v>
      </c>
      <c r="C487" s="573">
        <v>993</v>
      </c>
      <c r="D487" s="573">
        <v>993</v>
      </c>
      <c r="E487" s="845">
        <f t="shared" si="83"/>
        <v>1</v>
      </c>
      <c r="F487" s="646"/>
    </row>
    <row r="488" spans="1:6" ht="12.75">
      <c r="A488" s="234"/>
      <c r="B488" s="241" t="s">
        <v>169</v>
      </c>
      <c r="C488" s="573">
        <v>42000</v>
      </c>
      <c r="D488" s="573">
        <v>42000</v>
      </c>
      <c r="E488" s="845">
        <f t="shared" si="83"/>
        <v>1</v>
      </c>
      <c r="F488" s="646"/>
    </row>
    <row r="489" spans="1:6" ht="12.75">
      <c r="A489" s="234"/>
      <c r="B489" s="241" t="s">
        <v>170</v>
      </c>
      <c r="C489" s="573">
        <v>6700</v>
      </c>
      <c r="D489" s="573">
        <v>6700</v>
      </c>
      <c r="E489" s="845">
        <f t="shared" si="83"/>
        <v>1</v>
      </c>
      <c r="F489" s="646"/>
    </row>
    <row r="490" spans="1:6" ht="12.75">
      <c r="A490" s="234"/>
      <c r="B490" s="241" t="s">
        <v>312</v>
      </c>
      <c r="C490" s="573">
        <v>5070</v>
      </c>
      <c r="D490" s="573">
        <v>5070</v>
      </c>
      <c r="E490" s="845">
        <f t="shared" si="83"/>
        <v>1</v>
      </c>
      <c r="F490" s="645"/>
    </row>
    <row r="491" spans="1:6" ht="12.75">
      <c r="A491" s="234"/>
      <c r="B491" s="242" t="s">
        <v>397</v>
      </c>
      <c r="C491" s="573"/>
      <c r="D491" s="573"/>
      <c r="E491" s="845"/>
      <c r="F491" s="645"/>
    </row>
    <row r="492" spans="1:6" ht="13.5" thickBot="1">
      <c r="A492" s="234"/>
      <c r="B492" s="243" t="s">
        <v>171</v>
      </c>
      <c r="C492" s="573"/>
      <c r="D492" s="573"/>
      <c r="E492" s="870"/>
      <c r="F492" s="645"/>
    </row>
    <row r="493" spans="1:6" ht="13.5" thickBot="1">
      <c r="A493" s="234"/>
      <c r="B493" s="244" t="s">
        <v>308</v>
      </c>
      <c r="C493" s="575">
        <f aca="true" t="shared" si="85" ref="C493:D493">SUM(C484+C487+C488+C489+C492+C490)</f>
        <v>55141</v>
      </c>
      <c r="D493" s="575">
        <f t="shared" si="85"/>
        <v>55141</v>
      </c>
      <c r="E493" s="890">
        <f t="shared" si="83"/>
        <v>1</v>
      </c>
      <c r="F493" s="645"/>
    </row>
    <row r="494" spans="1:6" ht="13.5" thickBot="1">
      <c r="A494" s="234"/>
      <c r="B494" s="246" t="s">
        <v>54</v>
      </c>
      <c r="C494" s="867">
        <f aca="true" t="shared" si="86" ref="C494:D494">SUM(C493+C483)</f>
        <v>55141</v>
      </c>
      <c r="D494" s="867">
        <f t="shared" si="86"/>
        <v>55141</v>
      </c>
      <c r="E494" s="891">
        <f t="shared" si="83"/>
        <v>1</v>
      </c>
      <c r="F494" s="645"/>
    </row>
    <row r="495" spans="1:6" ht="13.5" thickBot="1">
      <c r="A495" s="234"/>
      <c r="B495" s="247" t="s">
        <v>55</v>
      </c>
      <c r="C495" s="581"/>
      <c r="D495" s="581"/>
      <c r="E495" s="847"/>
      <c r="F495" s="645"/>
    </row>
    <row r="496" spans="1:6" ht="12.75">
      <c r="A496" s="234"/>
      <c r="B496" s="498" t="s">
        <v>373</v>
      </c>
      <c r="C496" s="583"/>
      <c r="D496" s="583">
        <v>1357</v>
      </c>
      <c r="E496" s="845"/>
      <c r="F496" s="645"/>
    </row>
    <row r="497" spans="1:6" ht="13.5" thickBot="1">
      <c r="A497" s="234"/>
      <c r="B497" s="249" t="s">
        <v>401</v>
      </c>
      <c r="C497" s="574">
        <v>984114</v>
      </c>
      <c r="D497" s="574">
        <f>984114+56781+5544+640</f>
        <v>1047079</v>
      </c>
      <c r="E497" s="870">
        <f t="shared" si="83"/>
        <v>1.06398140865794</v>
      </c>
      <c r="F497" s="646"/>
    </row>
    <row r="498" spans="1:6" ht="13.5" thickBot="1">
      <c r="A498" s="234"/>
      <c r="B498" s="250" t="s">
        <v>48</v>
      </c>
      <c r="C498" s="582">
        <f aca="true" t="shared" si="87" ref="C498:D498">SUM(C496:C497)</f>
        <v>984114</v>
      </c>
      <c r="D498" s="582">
        <f t="shared" si="87"/>
        <v>1048436</v>
      </c>
      <c r="E498" s="890">
        <f t="shared" si="83"/>
        <v>1.065360313947368</v>
      </c>
      <c r="F498" s="645"/>
    </row>
    <row r="499" spans="1:6" ht="13.5" thickBot="1">
      <c r="A499" s="234"/>
      <c r="B499" s="207" t="s">
        <v>373</v>
      </c>
      <c r="C499" s="581"/>
      <c r="D499" s="581"/>
      <c r="E499" s="847"/>
      <c r="F499" s="645"/>
    </row>
    <row r="500" spans="1:6" ht="13.5" thickBot="1">
      <c r="A500" s="234"/>
      <c r="B500" s="250" t="s">
        <v>50</v>
      </c>
      <c r="C500" s="582"/>
      <c r="D500" s="582"/>
      <c r="E500" s="847"/>
      <c r="F500" s="645"/>
    </row>
    <row r="501" spans="1:6" ht="15.75" thickBot="1">
      <c r="A501" s="234"/>
      <c r="B501" s="252" t="s">
        <v>59</v>
      </c>
      <c r="C501" s="575">
        <f aca="true" t="shared" si="88" ref="C501:D501">SUM(C494+C495+C498+C500)</f>
        <v>1039255</v>
      </c>
      <c r="D501" s="575">
        <f t="shared" si="88"/>
        <v>1103577</v>
      </c>
      <c r="E501" s="890">
        <f t="shared" si="83"/>
        <v>1.0618924133153076</v>
      </c>
      <c r="F501" s="645"/>
    </row>
    <row r="502" spans="1:6" ht="12.75">
      <c r="A502" s="234"/>
      <c r="B502" s="253" t="s">
        <v>289</v>
      </c>
      <c r="C502" s="573">
        <v>695432</v>
      </c>
      <c r="D502" s="573">
        <f>695432+50249+280+566</f>
        <v>746527</v>
      </c>
      <c r="E502" s="845">
        <f t="shared" si="83"/>
        <v>1.0734723164881685</v>
      </c>
      <c r="F502" s="646"/>
    </row>
    <row r="503" spans="1:6" ht="12.75">
      <c r="A503" s="234"/>
      <c r="B503" s="253" t="s">
        <v>290</v>
      </c>
      <c r="C503" s="573">
        <v>95093</v>
      </c>
      <c r="D503" s="573">
        <f>95093+6532+39+74</f>
        <v>101738</v>
      </c>
      <c r="E503" s="845">
        <f t="shared" si="83"/>
        <v>1.0698789605964687</v>
      </c>
      <c r="F503" s="646"/>
    </row>
    <row r="504" spans="1:6" ht="12.75">
      <c r="A504" s="234"/>
      <c r="B504" s="253" t="s">
        <v>291</v>
      </c>
      <c r="C504" s="573">
        <v>245000</v>
      </c>
      <c r="D504" s="573">
        <f>245000+6582</f>
        <v>251582</v>
      </c>
      <c r="E504" s="845">
        <f t="shared" si="83"/>
        <v>1.026865306122449</v>
      </c>
      <c r="F504" s="646"/>
    </row>
    <row r="505" spans="1:6" ht="12.75">
      <c r="A505" s="234"/>
      <c r="B505" s="254" t="s">
        <v>293</v>
      </c>
      <c r="C505" s="573">
        <v>230</v>
      </c>
      <c r="D505" s="573">
        <v>230</v>
      </c>
      <c r="E505" s="845">
        <f t="shared" si="83"/>
        <v>1</v>
      </c>
      <c r="F505" s="646"/>
    </row>
    <row r="506" spans="1:6" ht="13.5" thickBot="1">
      <c r="A506" s="234"/>
      <c r="B506" s="255" t="s">
        <v>292</v>
      </c>
      <c r="C506" s="573"/>
      <c r="D506" s="573"/>
      <c r="E506" s="870"/>
      <c r="F506" s="645"/>
    </row>
    <row r="507" spans="1:6" ht="13.5" thickBot="1">
      <c r="A507" s="234"/>
      <c r="B507" s="256" t="s">
        <v>47</v>
      </c>
      <c r="C507" s="575">
        <f aca="true" t="shared" si="89" ref="C507:D507">SUM(C502:C506)</f>
        <v>1035755</v>
      </c>
      <c r="D507" s="575">
        <f t="shared" si="89"/>
        <v>1100077</v>
      </c>
      <c r="E507" s="890">
        <f t="shared" si="83"/>
        <v>1.0621015587663105</v>
      </c>
      <c r="F507" s="645"/>
    </row>
    <row r="508" spans="1:6" ht="12.75">
      <c r="A508" s="234"/>
      <c r="B508" s="253" t="s">
        <v>1253</v>
      </c>
      <c r="C508" s="573">
        <v>3500</v>
      </c>
      <c r="D508" s="573">
        <v>3500</v>
      </c>
      <c r="E508" s="845">
        <f t="shared" si="83"/>
        <v>1</v>
      </c>
      <c r="F508" s="646"/>
    </row>
    <row r="509" spans="1:6" ht="12.75">
      <c r="A509" s="234"/>
      <c r="B509" s="253" t="s">
        <v>221</v>
      </c>
      <c r="C509" s="573"/>
      <c r="D509" s="573"/>
      <c r="E509" s="845"/>
      <c r="F509" s="645"/>
    </row>
    <row r="510" spans="1:6" ht="13.5" thickBot="1">
      <c r="A510" s="234"/>
      <c r="B510" s="255" t="s">
        <v>382</v>
      </c>
      <c r="C510" s="573"/>
      <c r="D510" s="573"/>
      <c r="E510" s="870"/>
      <c r="F510" s="645"/>
    </row>
    <row r="511" spans="1:6" ht="13.5" thickBot="1">
      <c r="A511" s="234"/>
      <c r="B511" s="257" t="s">
        <v>53</v>
      </c>
      <c r="C511" s="575">
        <f aca="true" t="shared" si="90" ref="C511:D511">SUM(C508:C510)</f>
        <v>3500</v>
      </c>
      <c r="D511" s="575">
        <f t="shared" si="90"/>
        <v>3500</v>
      </c>
      <c r="E511" s="890">
        <f t="shared" si="83"/>
        <v>1</v>
      </c>
      <c r="F511" s="645"/>
    </row>
    <row r="512" spans="1:6" ht="15.75" thickBot="1">
      <c r="A512" s="231"/>
      <c r="B512" s="258" t="s">
        <v>94</v>
      </c>
      <c r="C512" s="575">
        <f aca="true" t="shared" si="91" ref="C512:D512">SUM(C507+C511)</f>
        <v>1039255</v>
      </c>
      <c r="D512" s="575">
        <f t="shared" si="91"/>
        <v>1103577</v>
      </c>
      <c r="E512" s="890">
        <f t="shared" si="83"/>
        <v>1.0618924133153076</v>
      </c>
      <c r="F512" s="645"/>
    </row>
    <row r="513" spans="1:6" ht="15">
      <c r="A513" s="186">
        <v>2898</v>
      </c>
      <c r="B513" s="260" t="s">
        <v>303</v>
      </c>
      <c r="C513" s="586"/>
      <c r="D513" s="586"/>
      <c r="E513" s="845"/>
      <c r="F513" s="645"/>
    </row>
    <row r="514" spans="1:6" ht="12.75">
      <c r="A514" s="234"/>
      <c r="B514" s="235" t="s">
        <v>162</v>
      </c>
      <c r="C514" s="576"/>
      <c r="D514" s="576"/>
      <c r="E514" s="845"/>
      <c r="F514" s="645"/>
    </row>
    <row r="515" spans="1:6" ht="13.5" thickBot="1">
      <c r="A515" s="234"/>
      <c r="B515" s="236" t="s">
        <v>163</v>
      </c>
      <c r="C515" s="574"/>
      <c r="D515" s="574"/>
      <c r="E515" s="870"/>
      <c r="F515" s="645"/>
    </row>
    <row r="516" spans="1:6" ht="13.5" thickBot="1">
      <c r="A516" s="234"/>
      <c r="B516" s="237" t="s">
        <v>175</v>
      </c>
      <c r="C516" s="589"/>
      <c r="D516" s="589"/>
      <c r="E516" s="847"/>
      <c r="F516" s="645"/>
    </row>
    <row r="517" spans="1:6" ht="12.75">
      <c r="A517" s="234"/>
      <c r="B517" s="235" t="s">
        <v>165</v>
      </c>
      <c r="C517" s="573">
        <f aca="true" t="shared" si="92" ref="C517:D517">SUM(C484+C449)</f>
        <v>3474</v>
      </c>
      <c r="D517" s="573">
        <f t="shared" si="92"/>
        <v>3474</v>
      </c>
      <c r="E517" s="845">
        <f t="shared" si="83"/>
        <v>1</v>
      </c>
      <c r="F517" s="645"/>
    </row>
    <row r="518" spans="1:6" ht="12.75">
      <c r="A518" s="234"/>
      <c r="B518" s="240" t="s">
        <v>166</v>
      </c>
      <c r="C518" s="579">
        <f aca="true" t="shared" si="93" ref="C518:D518">SUM(C485+C450)</f>
        <v>3096</v>
      </c>
      <c r="D518" s="579">
        <f t="shared" si="93"/>
        <v>3096</v>
      </c>
      <c r="E518" s="845">
        <f t="shared" si="83"/>
        <v>1</v>
      </c>
      <c r="F518" s="645"/>
    </row>
    <row r="519" spans="1:6" ht="12.75">
      <c r="A519" s="234"/>
      <c r="B519" s="240" t="s">
        <v>167</v>
      </c>
      <c r="C519" s="579">
        <f aca="true" t="shared" si="94" ref="C519:D519">SUM(C486+C451)</f>
        <v>378</v>
      </c>
      <c r="D519" s="579">
        <f t="shared" si="94"/>
        <v>378</v>
      </c>
      <c r="E519" s="845">
        <f t="shared" si="83"/>
        <v>1</v>
      </c>
      <c r="F519" s="645"/>
    </row>
    <row r="520" spans="1:6" ht="12.75">
      <c r="A520" s="234"/>
      <c r="B520" s="241" t="s">
        <v>168</v>
      </c>
      <c r="C520" s="573">
        <f aca="true" t="shared" si="95" ref="C520:D520">SUM(C487+C452)</f>
        <v>993</v>
      </c>
      <c r="D520" s="573">
        <f t="shared" si="95"/>
        <v>993</v>
      </c>
      <c r="E520" s="845">
        <f t="shared" si="83"/>
        <v>1</v>
      </c>
      <c r="F520" s="646"/>
    </row>
    <row r="521" spans="1:6" ht="12.75">
      <c r="A521" s="234"/>
      <c r="B521" s="241" t="s">
        <v>169</v>
      </c>
      <c r="C521" s="573">
        <f aca="true" t="shared" si="96" ref="C521:D521">SUM(C488+C453)</f>
        <v>56628</v>
      </c>
      <c r="D521" s="573">
        <f t="shared" si="96"/>
        <v>56628</v>
      </c>
      <c r="E521" s="845">
        <f t="shared" si="83"/>
        <v>1</v>
      </c>
      <c r="F521" s="646"/>
    </row>
    <row r="522" spans="1:6" ht="12.75">
      <c r="A522" s="234"/>
      <c r="B522" s="241" t="s">
        <v>170</v>
      </c>
      <c r="C522" s="573">
        <f aca="true" t="shared" si="97" ref="C522:D522">SUM(C489+C454)</f>
        <v>11485</v>
      </c>
      <c r="D522" s="573">
        <f t="shared" si="97"/>
        <v>11485</v>
      </c>
      <c r="E522" s="845">
        <f t="shared" si="83"/>
        <v>1</v>
      </c>
      <c r="F522" s="646"/>
    </row>
    <row r="523" spans="1:6" ht="12.75">
      <c r="A523" s="234"/>
      <c r="B523" s="241" t="s">
        <v>312</v>
      </c>
      <c r="C523" s="573">
        <f aca="true" t="shared" si="98" ref="C523:D523">SUM(C455+C490)</f>
        <v>5070</v>
      </c>
      <c r="D523" s="573">
        <f t="shared" si="98"/>
        <v>5070</v>
      </c>
      <c r="E523" s="845">
        <f t="shared" si="83"/>
        <v>1</v>
      </c>
      <c r="F523" s="645"/>
    </row>
    <row r="524" spans="1:6" ht="12.75">
      <c r="A524" s="234"/>
      <c r="B524" s="242" t="s">
        <v>397</v>
      </c>
      <c r="C524" s="573">
        <f aca="true" t="shared" si="99" ref="C524:D524">SUM(C491+C456)</f>
        <v>0</v>
      </c>
      <c r="D524" s="573">
        <f t="shared" si="99"/>
        <v>0</v>
      </c>
      <c r="E524" s="845"/>
      <c r="F524" s="645"/>
    </row>
    <row r="525" spans="1:6" ht="13.5" thickBot="1">
      <c r="A525" s="234"/>
      <c r="B525" s="243" t="s">
        <v>171</v>
      </c>
      <c r="C525" s="573">
        <f aca="true" t="shared" si="100" ref="C525:D525">SUM(C492+C457)</f>
        <v>0</v>
      </c>
      <c r="D525" s="573">
        <f t="shared" si="100"/>
        <v>0</v>
      </c>
      <c r="E525" s="870"/>
      <c r="F525" s="645"/>
    </row>
    <row r="526" spans="1:6" ht="13.5" thickBot="1">
      <c r="A526" s="234"/>
      <c r="B526" s="244" t="s">
        <v>308</v>
      </c>
      <c r="C526" s="575">
        <f aca="true" t="shared" si="101" ref="C526:D526">SUM(C517+C520+C521+C522+C525+C523)</f>
        <v>77650</v>
      </c>
      <c r="D526" s="575">
        <f t="shared" si="101"/>
        <v>77650</v>
      </c>
      <c r="E526" s="890">
        <f t="shared" si="83"/>
        <v>1</v>
      </c>
      <c r="F526" s="645"/>
    </row>
    <row r="527" spans="1:6" ht="13.5" thickBot="1">
      <c r="A527" s="234"/>
      <c r="B527" s="246" t="s">
        <v>54</v>
      </c>
      <c r="C527" s="867">
        <f aca="true" t="shared" si="102" ref="C527:D527">SUM(C526+C516)</f>
        <v>77650</v>
      </c>
      <c r="D527" s="867">
        <f t="shared" si="102"/>
        <v>77650</v>
      </c>
      <c r="E527" s="890">
        <f t="shared" si="83"/>
        <v>1</v>
      </c>
      <c r="F527" s="645"/>
    </row>
    <row r="528" spans="1:6" ht="13.5" thickBot="1">
      <c r="A528" s="234"/>
      <c r="B528" s="247" t="s">
        <v>55</v>
      </c>
      <c r="C528" s="584"/>
      <c r="D528" s="584"/>
      <c r="E528" s="891"/>
      <c r="F528" s="645"/>
    </row>
    <row r="529" spans="1:6" ht="12.75">
      <c r="A529" s="234"/>
      <c r="B529" s="498" t="s">
        <v>373</v>
      </c>
      <c r="C529" s="583">
        <f aca="true" t="shared" si="103" ref="C529:D529">SUM(C496+C461)</f>
        <v>0</v>
      </c>
      <c r="D529" s="583">
        <f t="shared" si="103"/>
        <v>3939</v>
      </c>
      <c r="E529" s="845"/>
      <c r="F529" s="645"/>
    </row>
    <row r="530" spans="1:6" ht="12.75">
      <c r="A530" s="234"/>
      <c r="B530" s="121" t="s">
        <v>1117</v>
      </c>
      <c r="C530" s="583">
        <f>SUM(C462)</f>
        <v>0</v>
      </c>
      <c r="D530" s="583">
        <f>SUM(D462)</f>
        <v>466</v>
      </c>
      <c r="E530" s="845"/>
      <c r="F530" s="645"/>
    </row>
    <row r="531" spans="1:6" ht="12.75">
      <c r="A531" s="234"/>
      <c r="B531" s="248" t="s">
        <v>401</v>
      </c>
      <c r="C531" s="573">
        <f aca="true" t="shared" si="104" ref="C531:D531">SUM(C497+C463)</f>
        <v>1688086</v>
      </c>
      <c r="D531" s="573">
        <f t="shared" si="104"/>
        <v>1758636</v>
      </c>
      <c r="E531" s="845">
        <f t="shared" si="83"/>
        <v>1.0417928944378427</v>
      </c>
      <c r="F531" s="646"/>
    </row>
    <row r="532" spans="1:6" ht="13.5" thickBot="1">
      <c r="A532" s="234"/>
      <c r="B532" s="249" t="s">
        <v>404</v>
      </c>
      <c r="C532" s="574">
        <f aca="true" t="shared" si="105" ref="C532:D532">SUM(C464)</f>
        <v>18270</v>
      </c>
      <c r="D532" s="574">
        <f t="shared" si="105"/>
        <v>18270</v>
      </c>
      <c r="E532" s="870">
        <f t="shared" si="83"/>
        <v>1</v>
      </c>
      <c r="F532" s="646"/>
    </row>
    <row r="533" spans="1:6" ht="13.5" thickBot="1">
      <c r="A533" s="234"/>
      <c r="B533" s="250" t="s">
        <v>48</v>
      </c>
      <c r="C533" s="582">
        <f aca="true" t="shared" si="106" ref="C533:D533">SUM(C529:C532)</f>
        <v>1706356</v>
      </c>
      <c r="D533" s="582">
        <f t="shared" si="106"/>
        <v>1781311</v>
      </c>
      <c r="E533" s="890">
        <f t="shared" si="83"/>
        <v>1.0439269413885497</v>
      </c>
      <c r="F533" s="645"/>
    </row>
    <row r="534" spans="1:6" ht="13.5" thickBot="1">
      <c r="A534" s="234"/>
      <c r="B534" s="207" t="s">
        <v>373</v>
      </c>
      <c r="C534" s="581">
        <f>SUM(C499)+C466</f>
        <v>0</v>
      </c>
      <c r="D534" s="581">
        <f>SUM(D499)+D466</f>
        <v>0</v>
      </c>
      <c r="E534" s="847"/>
      <c r="F534" s="645"/>
    </row>
    <row r="535" spans="1:6" ht="13.5" thickBot="1">
      <c r="A535" s="234"/>
      <c r="B535" s="250" t="s">
        <v>50</v>
      </c>
      <c r="C535" s="582">
        <f aca="true" t="shared" si="107" ref="C535:D535">SUM(C534)</f>
        <v>0</v>
      </c>
      <c r="D535" s="582">
        <f t="shared" si="107"/>
        <v>0</v>
      </c>
      <c r="E535" s="847"/>
      <c r="F535" s="645"/>
    </row>
    <row r="536" spans="1:6" ht="15.75" thickBot="1">
      <c r="A536" s="234"/>
      <c r="B536" s="252" t="s">
        <v>59</v>
      </c>
      <c r="C536" s="575">
        <f aca="true" t="shared" si="108" ref="C536:D536">SUM(C527+C528+C533+C535)</f>
        <v>1784006</v>
      </c>
      <c r="D536" s="575">
        <f t="shared" si="108"/>
        <v>1858961</v>
      </c>
      <c r="E536" s="890">
        <f t="shared" si="83"/>
        <v>1.0420149932231169</v>
      </c>
      <c r="F536" s="645"/>
    </row>
    <row r="537" spans="1:6" ht="12.75">
      <c r="A537" s="234"/>
      <c r="B537" s="253" t="s">
        <v>289</v>
      </c>
      <c r="C537" s="573">
        <f aca="true" t="shared" si="109" ref="C537:D537">SUM(C502+C469)</f>
        <v>1287845</v>
      </c>
      <c r="D537" s="573">
        <f t="shared" si="109"/>
        <v>1344734</v>
      </c>
      <c r="E537" s="845">
        <f t="shared" si="83"/>
        <v>1.044173794206601</v>
      </c>
      <c r="F537" s="646"/>
    </row>
    <row r="538" spans="1:6" ht="12.75">
      <c r="A538" s="234"/>
      <c r="B538" s="253" t="s">
        <v>290</v>
      </c>
      <c r="C538" s="573">
        <f aca="true" t="shared" si="110" ref="C538:D538">SUM(C503+C470)</f>
        <v>185912</v>
      </c>
      <c r="D538" s="573">
        <f t="shared" si="110"/>
        <v>193424</v>
      </c>
      <c r="E538" s="845">
        <f t="shared" si="83"/>
        <v>1.0404062136924996</v>
      </c>
      <c r="F538" s="646"/>
    </row>
    <row r="539" spans="1:6" ht="12.75">
      <c r="A539" s="234"/>
      <c r="B539" s="253" t="s">
        <v>291</v>
      </c>
      <c r="C539" s="573">
        <f aca="true" t="shared" si="111" ref="C539:D539">SUM(C504+C471)</f>
        <v>304019</v>
      </c>
      <c r="D539" s="573">
        <f t="shared" si="111"/>
        <v>314531</v>
      </c>
      <c r="E539" s="845">
        <f t="shared" si="83"/>
        <v>1.034576786319276</v>
      </c>
      <c r="F539" s="646"/>
    </row>
    <row r="540" spans="1:6" ht="12.75">
      <c r="A540" s="234"/>
      <c r="B540" s="254" t="s">
        <v>293</v>
      </c>
      <c r="C540" s="573">
        <f aca="true" t="shared" si="112" ref="C540:D540">SUM(C505+C472)</f>
        <v>230</v>
      </c>
      <c r="D540" s="573">
        <f t="shared" si="112"/>
        <v>230</v>
      </c>
      <c r="E540" s="845">
        <f aca="true" t="shared" si="113" ref="E540:E601">SUM(D540/C540)</f>
        <v>1</v>
      </c>
      <c r="F540" s="646"/>
    </row>
    <row r="541" spans="1:6" ht="13.5" thickBot="1">
      <c r="A541" s="234"/>
      <c r="B541" s="255" t="s">
        <v>292</v>
      </c>
      <c r="C541" s="573">
        <f aca="true" t="shared" si="114" ref="C541:D541">SUM(C506+C473)</f>
        <v>0</v>
      </c>
      <c r="D541" s="573">
        <f t="shared" si="114"/>
        <v>42</v>
      </c>
      <c r="E541" s="870"/>
      <c r="F541" s="645"/>
    </row>
    <row r="542" spans="1:6" ht="13.5" thickBot="1">
      <c r="A542" s="234"/>
      <c r="B542" s="256" t="s">
        <v>47</v>
      </c>
      <c r="C542" s="575">
        <f aca="true" t="shared" si="115" ref="C542:D542">SUM(C537:C541)</f>
        <v>1778006</v>
      </c>
      <c r="D542" s="575">
        <f t="shared" si="115"/>
        <v>1852961</v>
      </c>
      <c r="E542" s="890">
        <f t="shared" si="113"/>
        <v>1.0421567756239294</v>
      </c>
      <c r="F542" s="645"/>
    </row>
    <row r="543" spans="1:6" ht="12.75">
      <c r="A543" s="234"/>
      <c r="B543" s="253" t="s">
        <v>220</v>
      </c>
      <c r="C543" s="573">
        <f aca="true" t="shared" si="116" ref="C543:D543">SUM(C508+C475)</f>
        <v>6000</v>
      </c>
      <c r="D543" s="573">
        <f t="shared" si="116"/>
        <v>6000</v>
      </c>
      <c r="E543" s="845">
        <f t="shared" si="113"/>
        <v>1</v>
      </c>
      <c r="F543" s="645"/>
    </row>
    <row r="544" spans="1:6" ht="12.75">
      <c r="A544" s="234"/>
      <c r="B544" s="253" t="s">
        <v>221</v>
      </c>
      <c r="C544" s="573">
        <f aca="true" t="shared" si="117" ref="C544:D544">SUM(C509)</f>
        <v>0</v>
      </c>
      <c r="D544" s="573">
        <f t="shared" si="117"/>
        <v>0</v>
      </c>
      <c r="E544" s="845"/>
      <c r="F544" s="645"/>
    </row>
    <row r="545" spans="1:6" ht="13.5" thickBot="1">
      <c r="A545" s="234"/>
      <c r="B545" s="255" t="s">
        <v>382</v>
      </c>
      <c r="C545" s="574"/>
      <c r="D545" s="574"/>
      <c r="E545" s="870"/>
      <c r="F545" s="645"/>
    </row>
    <row r="546" spans="1:6" ht="13.5" thickBot="1">
      <c r="A546" s="234"/>
      <c r="B546" s="257" t="s">
        <v>53</v>
      </c>
      <c r="C546" s="575">
        <f aca="true" t="shared" si="118" ref="C546:D546">SUM(C543:C545)</f>
        <v>6000</v>
      </c>
      <c r="D546" s="575">
        <f t="shared" si="118"/>
        <v>6000</v>
      </c>
      <c r="E546" s="890">
        <f t="shared" si="113"/>
        <v>1</v>
      </c>
      <c r="F546" s="645"/>
    </row>
    <row r="547" spans="1:6" ht="15.75" thickBot="1">
      <c r="A547" s="231"/>
      <c r="B547" s="258" t="s">
        <v>94</v>
      </c>
      <c r="C547" s="580">
        <f aca="true" t="shared" si="119" ref="C547:D547">SUM(C542+C546)</f>
        <v>1784006</v>
      </c>
      <c r="D547" s="580">
        <f t="shared" si="119"/>
        <v>1858961</v>
      </c>
      <c r="E547" s="891">
        <f t="shared" si="113"/>
        <v>1.0420149932231169</v>
      </c>
      <c r="F547" s="645"/>
    </row>
    <row r="548" spans="1:6" ht="15">
      <c r="A548" s="186">
        <v>2985</v>
      </c>
      <c r="B548" s="189" t="s">
        <v>304</v>
      </c>
      <c r="C548" s="573"/>
      <c r="D548" s="573"/>
      <c r="E548" s="845"/>
      <c r="F548" s="645"/>
    </row>
    <row r="549" spans="1:6" ht="12.6" customHeight="1">
      <c r="A549" s="234"/>
      <c r="B549" s="235" t="s">
        <v>162</v>
      </c>
      <c r="C549" s="576"/>
      <c r="D549" s="576"/>
      <c r="E549" s="845"/>
      <c r="F549" s="645"/>
    </row>
    <row r="550" spans="1:6" ht="13.5" thickBot="1">
      <c r="A550" s="234"/>
      <c r="B550" s="236" t="s">
        <v>163</v>
      </c>
      <c r="C550" s="587">
        <v>18944</v>
      </c>
      <c r="D550" s="587">
        <v>18944</v>
      </c>
      <c r="E550" s="870">
        <f t="shared" si="113"/>
        <v>1</v>
      </c>
      <c r="F550" s="645"/>
    </row>
    <row r="551" spans="1:6" ht="13.5" thickBot="1">
      <c r="A551" s="234"/>
      <c r="B551" s="237" t="s">
        <v>175</v>
      </c>
      <c r="C551" s="585">
        <f>SUM(C550)</f>
        <v>18944</v>
      </c>
      <c r="D551" s="585">
        <f>SUM(D550)</f>
        <v>18944</v>
      </c>
      <c r="E551" s="847">
        <f t="shared" si="113"/>
        <v>1</v>
      </c>
      <c r="F551" s="645"/>
    </row>
    <row r="552" spans="1:6" ht="12.75">
      <c r="A552" s="234"/>
      <c r="B552" s="235" t="s">
        <v>354</v>
      </c>
      <c r="C552" s="593"/>
      <c r="D552" s="593"/>
      <c r="E552" s="845"/>
      <c r="F552" s="645"/>
    </row>
    <row r="553" spans="1:6" ht="12.75">
      <c r="A553" s="234"/>
      <c r="B553" s="235" t="s">
        <v>165</v>
      </c>
      <c r="C553" s="573">
        <v>7500</v>
      </c>
      <c r="D553" s="573">
        <v>7500</v>
      </c>
      <c r="E553" s="845">
        <f t="shared" si="113"/>
        <v>1</v>
      </c>
      <c r="F553" s="645"/>
    </row>
    <row r="554" spans="1:6" ht="12.75">
      <c r="A554" s="234"/>
      <c r="B554" s="240" t="s">
        <v>166</v>
      </c>
      <c r="C554" s="579">
        <v>7500</v>
      </c>
      <c r="D554" s="579">
        <v>7500</v>
      </c>
      <c r="E554" s="845">
        <f t="shared" si="113"/>
        <v>1</v>
      </c>
      <c r="F554" s="646"/>
    </row>
    <row r="555" spans="1:6" ht="12.75">
      <c r="A555" s="234"/>
      <c r="B555" s="240" t="s">
        <v>167</v>
      </c>
      <c r="C555" s="579"/>
      <c r="D555" s="579"/>
      <c r="E555" s="845"/>
      <c r="F555" s="645"/>
    </row>
    <row r="556" spans="1:6" ht="12.75">
      <c r="A556" s="234"/>
      <c r="B556" s="241" t="s">
        <v>168</v>
      </c>
      <c r="C556" s="573">
        <v>500</v>
      </c>
      <c r="D556" s="573">
        <v>500</v>
      </c>
      <c r="E556" s="845">
        <f t="shared" si="113"/>
        <v>1</v>
      </c>
      <c r="F556" s="645"/>
    </row>
    <row r="557" spans="1:6" ht="12.75">
      <c r="A557" s="234"/>
      <c r="B557" s="241" t="s">
        <v>169</v>
      </c>
      <c r="C557" s="573"/>
      <c r="D557" s="573"/>
      <c r="E557" s="845"/>
      <c r="F557" s="645"/>
    </row>
    <row r="558" spans="1:6" ht="12.75">
      <c r="A558" s="234"/>
      <c r="B558" s="241" t="s">
        <v>170</v>
      </c>
      <c r="C558" s="573">
        <v>2160</v>
      </c>
      <c r="D558" s="573">
        <v>2160</v>
      </c>
      <c r="E558" s="845">
        <f t="shared" si="113"/>
        <v>1</v>
      </c>
      <c r="F558" s="646"/>
    </row>
    <row r="559" spans="1:6" ht="12.75">
      <c r="A559" s="234"/>
      <c r="B559" s="241" t="s">
        <v>312</v>
      </c>
      <c r="C559" s="573"/>
      <c r="D559" s="573"/>
      <c r="E559" s="845"/>
      <c r="F559" s="645"/>
    </row>
    <row r="560" spans="1:6" ht="12.75">
      <c r="A560" s="234"/>
      <c r="B560" s="242" t="s">
        <v>397</v>
      </c>
      <c r="C560" s="573"/>
      <c r="D560" s="573"/>
      <c r="E560" s="845"/>
      <c r="F560" s="645"/>
    </row>
    <row r="561" spans="1:6" ht="13.5" thickBot="1">
      <c r="A561" s="234"/>
      <c r="B561" s="243" t="s">
        <v>171</v>
      </c>
      <c r="C561" s="573"/>
      <c r="D561" s="573"/>
      <c r="E561" s="870"/>
      <c r="F561" s="645"/>
    </row>
    <row r="562" spans="1:6" ht="13.5" thickBot="1">
      <c r="A562" s="234"/>
      <c r="B562" s="244" t="s">
        <v>308</v>
      </c>
      <c r="C562" s="575">
        <f aca="true" t="shared" si="120" ref="C562:D562">SUM(C553+C556+C557+C558+C561+C552+C559+C560)</f>
        <v>10160</v>
      </c>
      <c r="D562" s="575">
        <f t="shared" si="120"/>
        <v>10160</v>
      </c>
      <c r="E562" s="890">
        <f t="shared" si="113"/>
        <v>1</v>
      </c>
      <c r="F562" s="645"/>
    </row>
    <row r="563" spans="1:6" ht="13.5" thickBot="1">
      <c r="A563" s="234"/>
      <c r="B563" s="482" t="s">
        <v>199</v>
      </c>
      <c r="C563" s="580"/>
      <c r="D563" s="580"/>
      <c r="E563" s="847"/>
      <c r="F563" s="645"/>
    </row>
    <row r="564" spans="1:6" ht="13.5" thickBot="1">
      <c r="A564" s="234"/>
      <c r="B564" s="246" t="s">
        <v>54</v>
      </c>
      <c r="C564" s="867">
        <f aca="true" t="shared" si="121" ref="C564:D564">SUM(C562+C551+C563)</f>
        <v>29104</v>
      </c>
      <c r="D564" s="867">
        <f t="shared" si="121"/>
        <v>29104</v>
      </c>
      <c r="E564" s="890">
        <f t="shared" si="113"/>
        <v>1</v>
      </c>
      <c r="F564" s="645"/>
    </row>
    <row r="565" spans="1:6" ht="13.5" thickBot="1">
      <c r="A565" s="234"/>
      <c r="B565" s="123" t="s">
        <v>213</v>
      </c>
      <c r="C565" s="581"/>
      <c r="D565" s="581"/>
      <c r="E565" s="847"/>
      <c r="F565" s="645"/>
    </row>
    <row r="566" spans="1:6" ht="13.5" thickBot="1">
      <c r="A566" s="234"/>
      <c r="B566" s="247" t="s">
        <v>55</v>
      </c>
      <c r="C566" s="582"/>
      <c r="D566" s="582"/>
      <c r="E566" s="847"/>
      <c r="F566" s="645"/>
    </row>
    <row r="567" spans="1:6" ht="12.75">
      <c r="A567" s="234"/>
      <c r="B567" s="498" t="s">
        <v>373</v>
      </c>
      <c r="C567" s="583"/>
      <c r="D567" s="583">
        <v>1081</v>
      </c>
      <c r="E567" s="845"/>
      <c r="F567" s="645"/>
    </row>
    <row r="568" spans="1:6" ht="13.5" thickBot="1">
      <c r="A568" s="234"/>
      <c r="B568" s="249" t="s">
        <v>401</v>
      </c>
      <c r="C568" s="574">
        <v>243041</v>
      </c>
      <c r="D568" s="574">
        <f>243041+28653+40000</f>
        <v>311694</v>
      </c>
      <c r="E568" s="899">
        <f t="shared" si="113"/>
        <v>1.2824749733584047</v>
      </c>
      <c r="F568" s="646"/>
    </row>
    <row r="569" spans="1:6" ht="13.5" thickBot="1">
      <c r="A569" s="234"/>
      <c r="B569" s="250" t="s">
        <v>48</v>
      </c>
      <c r="C569" s="582">
        <f aca="true" t="shared" si="122" ref="C569:D569">SUM(C567:C568)</f>
        <v>243041</v>
      </c>
      <c r="D569" s="582">
        <f t="shared" si="122"/>
        <v>312775</v>
      </c>
      <c r="E569" s="890">
        <f t="shared" si="113"/>
        <v>1.2869227825757794</v>
      </c>
      <c r="F569" s="645"/>
    </row>
    <row r="570" spans="1:6" ht="13.5" thickBot="1">
      <c r="A570" s="234"/>
      <c r="B570" s="207" t="s">
        <v>373</v>
      </c>
      <c r="C570" s="582"/>
      <c r="D570" s="581">
        <v>1000</v>
      </c>
      <c r="E570" s="956">
        <v>1</v>
      </c>
      <c r="F570" s="645"/>
    </row>
    <row r="571" spans="1:6" ht="13.5" thickBot="1">
      <c r="A571" s="234"/>
      <c r="B571" s="250" t="s">
        <v>50</v>
      </c>
      <c r="C571" s="582"/>
      <c r="D571" s="582">
        <v>1000</v>
      </c>
      <c r="E571" s="890">
        <v>1</v>
      </c>
      <c r="F571" s="645"/>
    </row>
    <row r="572" spans="1:6" ht="15.75" thickBot="1">
      <c r="A572" s="234"/>
      <c r="B572" s="252" t="s">
        <v>59</v>
      </c>
      <c r="C572" s="575">
        <f aca="true" t="shared" si="123" ref="C572">SUM(C564+C566+C569)</f>
        <v>272145</v>
      </c>
      <c r="D572" s="575">
        <f>SUM(D564+D566+D569)+D571</f>
        <v>342879</v>
      </c>
      <c r="E572" s="890">
        <f t="shared" si="113"/>
        <v>1.2599129140715428</v>
      </c>
      <c r="F572" s="645"/>
    </row>
    <row r="573" spans="1:6" ht="12.75">
      <c r="A573" s="234"/>
      <c r="B573" s="253" t="s">
        <v>289</v>
      </c>
      <c r="C573" s="573">
        <v>139145</v>
      </c>
      <c r="D573" s="573">
        <f>139145+103</f>
        <v>139248</v>
      </c>
      <c r="E573" s="845">
        <f t="shared" si="113"/>
        <v>1.0007402350066477</v>
      </c>
      <c r="F573" s="646"/>
    </row>
    <row r="574" spans="1:6" ht="12.75">
      <c r="A574" s="234"/>
      <c r="B574" s="253" t="s">
        <v>290</v>
      </c>
      <c r="C574" s="573">
        <v>18863</v>
      </c>
      <c r="D574" s="573">
        <f>18863+1041</f>
        <v>19904</v>
      </c>
      <c r="E574" s="845">
        <f t="shared" si="113"/>
        <v>1.0551874039124212</v>
      </c>
      <c r="F574" s="647"/>
    </row>
    <row r="575" spans="1:6" ht="12.75">
      <c r="A575" s="234"/>
      <c r="B575" s="253" t="s">
        <v>291</v>
      </c>
      <c r="C575" s="573">
        <v>111137</v>
      </c>
      <c r="D575" s="573">
        <f>111137+26326+40000</f>
        <v>177463</v>
      </c>
      <c r="E575" s="845">
        <f t="shared" si="113"/>
        <v>1.596794946777401</v>
      </c>
      <c r="F575" s="647"/>
    </row>
    <row r="576" spans="1:6" ht="12.75">
      <c r="A576" s="234"/>
      <c r="B576" s="253" t="s">
        <v>293</v>
      </c>
      <c r="C576" s="573"/>
      <c r="D576" s="573"/>
      <c r="E576" s="845"/>
      <c r="F576" s="645"/>
    </row>
    <row r="577" spans="1:6" ht="13.5" thickBot="1">
      <c r="A577" s="234"/>
      <c r="B577" s="449" t="s">
        <v>292</v>
      </c>
      <c r="C577" s="574"/>
      <c r="D577" s="574"/>
      <c r="E577" s="891"/>
      <c r="F577" s="645"/>
    </row>
    <row r="578" spans="1:6" ht="12.75">
      <c r="A578" s="448"/>
      <c r="B578" s="513" t="s">
        <v>47</v>
      </c>
      <c r="C578" s="594">
        <f aca="true" t="shared" si="124" ref="C578:D578">SUM(C573:C577)</f>
        <v>269145</v>
      </c>
      <c r="D578" s="594">
        <f t="shared" si="124"/>
        <v>336615</v>
      </c>
      <c r="E578" s="900">
        <f t="shared" si="113"/>
        <v>1.2506827174942874</v>
      </c>
      <c r="F578" s="645"/>
    </row>
    <row r="579" spans="1:6" ht="12.75">
      <c r="A579" s="234"/>
      <c r="B579" s="447" t="s">
        <v>14</v>
      </c>
      <c r="C579" s="579">
        <v>41000</v>
      </c>
      <c r="D579" s="579">
        <f>41000+40000</f>
        <v>81000</v>
      </c>
      <c r="E579" s="845">
        <f t="shared" si="113"/>
        <v>1.975609756097561</v>
      </c>
      <c r="F579" s="647"/>
    </row>
    <row r="580" spans="1:6" ht="12.75">
      <c r="A580" s="234"/>
      <c r="B580" s="512" t="s">
        <v>13</v>
      </c>
      <c r="C580" s="595"/>
      <c r="D580" s="595"/>
      <c r="E580" s="901"/>
      <c r="F580" s="647"/>
    </row>
    <row r="581" spans="1:6" ht="12.75">
      <c r="A581" s="234"/>
      <c r="B581" s="253" t="s">
        <v>1253</v>
      </c>
      <c r="C581" s="573">
        <v>3000</v>
      </c>
      <c r="D581" s="573">
        <f>3000+3264</f>
        <v>6264</v>
      </c>
      <c r="E581" s="845">
        <f t="shared" si="113"/>
        <v>2.088</v>
      </c>
      <c r="F581" s="647"/>
    </row>
    <row r="582" spans="1:6" ht="12.75">
      <c r="A582" s="234"/>
      <c r="B582" s="253" t="s">
        <v>221</v>
      </c>
      <c r="C582" s="573"/>
      <c r="D582" s="573"/>
      <c r="E582" s="845"/>
      <c r="F582" s="645"/>
    </row>
    <row r="583" spans="1:6" ht="13.5" thickBot="1">
      <c r="A583" s="234"/>
      <c r="B583" s="255" t="s">
        <v>382</v>
      </c>
      <c r="C583" s="574"/>
      <c r="D583" s="574"/>
      <c r="E583" s="870"/>
      <c r="F583" s="645"/>
    </row>
    <row r="584" spans="1:6" ht="13.5" thickBot="1">
      <c r="A584" s="234"/>
      <c r="B584" s="257" t="s">
        <v>53</v>
      </c>
      <c r="C584" s="575">
        <f aca="true" t="shared" si="125" ref="C584:D584">SUM(C581:C583)</f>
        <v>3000</v>
      </c>
      <c r="D584" s="575">
        <f t="shared" si="125"/>
        <v>6264</v>
      </c>
      <c r="E584" s="890">
        <f t="shared" si="113"/>
        <v>2.088</v>
      </c>
      <c r="F584" s="645"/>
    </row>
    <row r="585" spans="1:6" ht="15.75" thickBot="1">
      <c r="A585" s="231"/>
      <c r="B585" s="258" t="s">
        <v>94</v>
      </c>
      <c r="C585" s="580">
        <f aca="true" t="shared" si="126" ref="C585:D585">SUM(C578+C584)</f>
        <v>272145</v>
      </c>
      <c r="D585" s="580">
        <f t="shared" si="126"/>
        <v>342879</v>
      </c>
      <c r="E585" s="890">
        <f t="shared" si="113"/>
        <v>1.2599129140715428</v>
      </c>
      <c r="F585" s="645"/>
    </row>
    <row r="586" spans="1:6" ht="15">
      <c r="A586" s="186">
        <v>2986</v>
      </c>
      <c r="B586" s="189" t="s">
        <v>352</v>
      </c>
      <c r="C586" s="573"/>
      <c r="D586" s="573"/>
      <c r="E586" s="845"/>
      <c r="F586" s="645"/>
    </row>
    <row r="587" spans="1:6" ht="12.75">
      <c r="A587" s="234"/>
      <c r="B587" s="235" t="s">
        <v>162</v>
      </c>
      <c r="C587" s="576"/>
      <c r="D587" s="576"/>
      <c r="E587" s="845"/>
      <c r="F587" s="645"/>
    </row>
    <row r="588" spans="1:6" ht="13.5" thickBot="1">
      <c r="A588" s="234"/>
      <c r="B588" s="236" t="s">
        <v>163</v>
      </c>
      <c r="C588" s="587">
        <v>9477</v>
      </c>
      <c r="D588" s="587">
        <v>9477</v>
      </c>
      <c r="E588" s="870">
        <f t="shared" si="113"/>
        <v>1</v>
      </c>
      <c r="F588" s="646"/>
    </row>
    <row r="589" spans="1:6" ht="13.5" thickBot="1">
      <c r="A589" s="234"/>
      <c r="B589" s="237" t="s">
        <v>175</v>
      </c>
      <c r="C589" s="585">
        <f>SUM(C588)</f>
        <v>9477</v>
      </c>
      <c r="D589" s="585">
        <f>SUM(D588)</f>
        <v>9477</v>
      </c>
      <c r="E589" s="847">
        <f t="shared" si="113"/>
        <v>1</v>
      </c>
      <c r="F589" s="645"/>
    </row>
    <row r="590" spans="1:6" ht="12.75">
      <c r="A590" s="234"/>
      <c r="B590" s="235" t="s">
        <v>165</v>
      </c>
      <c r="C590" s="573">
        <v>13000</v>
      </c>
      <c r="D590" s="573">
        <v>13000</v>
      </c>
      <c r="E590" s="845">
        <f t="shared" si="113"/>
        <v>1</v>
      </c>
      <c r="F590" s="645"/>
    </row>
    <row r="591" spans="1:6" ht="12.75">
      <c r="A591" s="234"/>
      <c r="B591" s="240" t="s">
        <v>166</v>
      </c>
      <c r="C591" s="579">
        <v>13000</v>
      </c>
      <c r="D591" s="579">
        <v>13000</v>
      </c>
      <c r="E591" s="845">
        <f t="shared" si="113"/>
        <v>1</v>
      </c>
      <c r="F591" s="646"/>
    </row>
    <row r="592" spans="1:6" ht="12.75">
      <c r="A592" s="234"/>
      <c r="B592" s="240" t="s">
        <v>167</v>
      </c>
      <c r="C592" s="579"/>
      <c r="D592" s="579"/>
      <c r="E592" s="845"/>
      <c r="F592" s="645"/>
    </row>
    <row r="593" spans="1:6" ht="12.75">
      <c r="A593" s="234"/>
      <c r="B593" s="241" t="s">
        <v>168</v>
      </c>
      <c r="C593" s="573"/>
      <c r="D593" s="573"/>
      <c r="E593" s="845"/>
      <c r="F593" s="645"/>
    </row>
    <row r="594" spans="1:6" ht="12.75">
      <c r="A594" s="234"/>
      <c r="B594" s="241" t="s">
        <v>169</v>
      </c>
      <c r="C594" s="573"/>
      <c r="D594" s="573"/>
      <c r="E594" s="845"/>
      <c r="F594" s="645"/>
    </row>
    <row r="595" spans="1:6" ht="12.75">
      <c r="A595" s="234"/>
      <c r="B595" s="241" t="s">
        <v>170</v>
      </c>
      <c r="C595" s="573">
        <v>3510</v>
      </c>
      <c r="D595" s="573">
        <v>3510</v>
      </c>
      <c r="E595" s="845">
        <f t="shared" si="113"/>
        <v>1</v>
      </c>
      <c r="F595" s="646"/>
    </row>
    <row r="596" spans="1:6" ht="12.75">
      <c r="A596" s="234"/>
      <c r="B596" s="241" t="s">
        <v>442</v>
      </c>
      <c r="C596" s="573"/>
      <c r="D596" s="573"/>
      <c r="E596" s="845"/>
      <c r="F596" s="646"/>
    </row>
    <row r="597" spans="1:6" ht="12.75">
      <c r="A597" s="234"/>
      <c r="B597" s="242" t="s">
        <v>397</v>
      </c>
      <c r="C597" s="573"/>
      <c r="D597" s="573"/>
      <c r="E597" s="845"/>
      <c r="F597" s="645"/>
    </row>
    <row r="598" spans="1:6" ht="13.5" thickBot="1">
      <c r="A598" s="234"/>
      <c r="B598" s="243" t="s">
        <v>171</v>
      </c>
      <c r="C598" s="573"/>
      <c r="D598" s="573"/>
      <c r="E598" s="870"/>
      <c r="F598" s="645"/>
    </row>
    <row r="599" spans="1:6" ht="13.5" thickBot="1">
      <c r="A599" s="234"/>
      <c r="B599" s="244" t="s">
        <v>308</v>
      </c>
      <c r="C599" s="575">
        <f aca="true" t="shared" si="127" ref="C599:D599">SUM(C590+C593+C594+C595+C598+C596+C597)</f>
        <v>16510</v>
      </c>
      <c r="D599" s="575">
        <f t="shared" si="127"/>
        <v>16510</v>
      </c>
      <c r="E599" s="890">
        <f t="shared" si="113"/>
        <v>1</v>
      </c>
      <c r="F599" s="645"/>
    </row>
    <row r="600" spans="1:6" ht="13.5" thickBot="1">
      <c r="A600" s="234"/>
      <c r="B600" s="482" t="s">
        <v>199</v>
      </c>
      <c r="C600" s="580"/>
      <c r="D600" s="580"/>
      <c r="E600" s="847"/>
      <c r="F600" s="645"/>
    </row>
    <row r="601" spans="1:6" ht="13.5" thickBot="1">
      <c r="A601" s="234"/>
      <c r="B601" s="246" t="s">
        <v>54</v>
      </c>
      <c r="C601" s="867">
        <f aca="true" t="shared" si="128" ref="C601:D601">SUM(C599+C589+C600)</f>
        <v>25987</v>
      </c>
      <c r="D601" s="867">
        <f t="shared" si="128"/>
        <v>25987</v>
      </c>
      <c r="E601" s="890">
        <f t="shared" si="113"/>
        <v>1</v>
      </c>
      <c r="F601" s="645"/>
    </row>
    <row r="602" spans="1:6" ht="13.5" thickBot="1">
      <c r="A602" s="234"/>
      <c r="B602" s="123" t="s">
        <v>213</v>
      </c>
      <c r="C602" s="581"/>
      <c r="D602" s="581"/>
      <c r="E602" s="847"/>
      <c r="F602" s="645"/>
    </row>
    <row r="603" spans="1:6" ht="13.5" thickBot="1">
      <c r="A603" s="234"/>
      <c r="B603" s="621" t="s">
        <v>513</v>
      </c>
      <c r="C603" s="581"/>
      <c r="D603" s="581"/>
      <c r="E603" s="847"/>
      <c r="F603" s="645"/>
    </row>
    <row r="604" spans="1:6" ht="13.5" thickBot="1">
      <c r="A604" s="234"/>
      <c r="B604" s="247" t="s">
        <v>55</v>
      </c>
      <c r="C604" s="582"/>
      <c r="D604" s="582"/>
      <c r="E604" s="847"/>
      <c r="F604" s="645"/>
    </row>
    <row r="605" spans="1:6" ht="12.75">
      <c r="A605" s="234"/>
      <c r="B605" s="498" t="s">
        <v>373</v>
      </c>
      <c r="C605" s="583"/>
      <c r="D605" s="583">
        <v>6462</v>
      </c>
      <c r="E605" s="845">
        <v>1</v>
      </c>
      <c r="F605" s="645"/>
    </row>
    <row r="606" spans="1:6" ht="13.5" thickBot="1">
      <c r="A606" s="234"/>
      <c r="B606" s="249" t="s">
        <v>401</v>
      </c>
      <c r="C606" s="574">
        <v>169400</v>
      </c>
      <c r="D606" s="574">
        <f>169400+7792</f>
        <v>177192</v>
      </c>
      <c r="E606" s="870">
        <f aca="true" t="shared" si="129" ref="E606:E660">SUM(D606/C606)</f>
        <v>1.0459976387249115</v>
      </c>
      <c r="F606" s="646"/>
    </row>
    <row r="607" spans="1:6" ht="13.5" thickBot="1">
      <c r="A607" s="234"/>
      <c r="B607" s="250" t="s">
        <v>48</v>
      </c>
      <c r="C607" s="582">
        <f aca="true" t="shared" si="130" ref="C607:D607">SUM(C605:C606)</f>
        <v>169400</v>
      </c>
      <c r="D607" s="582">
        <f t="shared" si="130"/>
        <v>183654</v>
      </c>
      <c r="E607" s="890">
        <f t="shared" si="129"/>
        <v>1.0841440377804015</v>
      </c>
      <c r="F607" s="645"/>
    </row>
    <row r="608" spans="1:6" ht="13.5" thickBot="1">
      <c r="A608" s="234"/>
      <c r="B608" s="207" t="s">
        <v>373</v>
      </c>
      <c r="C608" s="581"/>
      <c r="D608" s="581">
        <v>3000</v>
      </c>
      <c r="E608" s="847">
        <v>1</v>
      </c>
      <c r="F608" s="645"/>
    </row>
    <row r="609" spans="1:6" ht="13.5" thickBot="1">
      <c r="A609" s="234"/>
      <c r="B609" s="250" t="s">
        <v>50</v>
      </c>
      <c r="C609" s="582"/>
      <c r="D609" s="582">
        <v>3000</v>
      </c>
      <c r="E609" s="847">
        <v>1</v>
      </c>
      <c r="F609" s="645"/>
    </row>
    <row r="610" spans="1:6" ht="15.75" thickBot="1">
      <c r="A610" s="234"/>
      <c r="B610" s="252" t="s">
        <v>59</v>
      </c>
      <c r="C610" s="575">
        <f>SUM(C601+C604+C607)+C609</f>
        <v>195387</v>
      </c>
      <c r="D610" s="575">
        <f>SUM(D601+D604+D607)+D609</f>
        <v>212641</v>
      </c>
      <c r="E610" s="890">
        <f t="shared" si="129"/>
        <v>1.0883067962556363</v>
      </c>
      <c r="F610" s="645"/>
    </row>
    <row r="611" spans="1:6" ht="12.75">
      <c r="A611" s="234"/>
      <c r="B611" s="253" t="s">
        <v>289</v>
      </c>
      <c r="C611" s="573">
        <v>76702</v>
      </c>
      <c r="D611" s="573">
        <f>76702+530</f>
        <v>77232</v>
      </c>
      <c r="E611" s="845">
        <f t="shared" si="129"/>
        <v>1.006909858934578</v>
      </c>
      <c r="F611" s="646"/>
    </row>
    <row r="612" spans="1:6" ht="12.75">
      <c r="A612" s="234"/>
      <c r="B612" s="253" t="s">
        <v>290</v>
      </c>
      <c r="C612" s="573">
        <v>10321</v>
      </c>
      <c r="D612" s="573">
        <f>10321+138</f>
        <v>10459</v>
      </c>
      <c r="E612" s="845">
        <f t="shared" si="129"/>
        <v>1.0133707974033523</v>
      </c>
      <c r="F612" s="646"/>
    </row>
    <row r="613" spans="1:6" ht="12.75">
      <c r="A613" s="234"/>
      <c r="B613" s="253" t="s">
        <v>291</v>
      </c>
      <c r="C613" s="573">
        <v>104554</v>
      </c>
      <c r="D613" s="573">
        <f>104554+13586</f>
        <v>118140</v>
      </c>
      <c r="E613" s="845">
        <f t="shared" si="129"/>
        <v>1.129942422097672</v>
      </c>
      <c r="F613" s="646"/>
    </row>
    <row r="614" spans="1:6" ht="12.75">
      <c r="A614" s="234"/>
      <c r="B614" s="253" t="s">
        <v>293</v>
      </c>
      <c r="C614" s="573"/>
      <c r="D614" s="573"/>
      <c r="E614" s="845"/>
      <c r="F614" s="648"/>
    </row>
    <row r="615" spans="1:6" ht="13.5" thickBot="1">
      <c r="A615" s="234"/>
      <c r="B615" s="449" t="s">
        <v>292</v>
      </c>
      <c r="C615" s="574"/>
      <c r="D615" s="574"/>
      <c r="E615" s="870"/>
      <c r="F615" s="645"/>
    </row>
    <row r="616" spans="1:6" ht="13.5" thickBot="1">
      <c r="A616" s="234"/>
      <c r="B616" s="256" t="s">
        <v>47</v>
      </c>
      <c r="C616" s="575">
        <f aca="true" t="shared" si="131" ref="C616:D616">SUM(C611:C615)</f>
        <v>191577</v>
      </c>
      <c r="D616" s="575">
        <f t="shared" si="131"/>
        <v>205831</v>
      </c>
      <c r="E616" s="890">
        <f t="shared" si="129"/>
        <v>1.0744035035520965</v>
      </c>
      <c r="F616" s="645"/>
    </row>
    <row r="617" spans="1:6" ht="12.75">
      <c r="A617" s="234"/>
      <c r="B617" s="253" t="s">
        <v>1253</v>
      </c>
      <c r="C617" s="573">
        <v>3810</v>
      </c>
      <c r="D617" s="573">
        <f>3810+3000</f>
        <v>6810</v>
      </c>
      <c r="E617" s="845">
        <f t="shared" si="129"/>
        <v>1.7874015748031495</v>
      </c>
      <c r="F617" s="646"/>
    </row>
    <row r="618" spans="1:6" ht="12.75">
      <c r="A618" s="234"/>
      <c r="B618" s="253" t="s">
        <v>221</v>
      </c>
      <c r="C618" s="573"/>
      <c r="D618" s="573"/>
      <c r="E618" s="845"/>
      <c r="F618" s="645"/>
    </row>
    <row r="619" spans="1:6" ht="13.5" thickBot="1">
      <c r="A619" s="234"/>
      <c r="B619" s="255" t="s">
        <v>382</v>
      </c>
      <c r="C619" s="574"/>
      <c r="D619" s="574"/>
      <c r="E619" s="870"/>
      <c r="F619" s="645"/>
    </row>
    <row r="620" spans="1:6" ht="13.5" thickBot="1">
      <c r="A620" s="234"/>
      <c r="B620" s="257" t="s">
        <v>53</v>
      </c>
      <c r="C620" s="575">
        <f aca="true" t="shared" si="132" ref="C620:D620">SUM(C617:C619)</f>
        <v>3810</v>
      </c>
      <c r="D620" s="575">
        <f t="shared" si="132"/>
        <v>6810</v>
      </c>
      <c r="E620" s="890">
        <f t="shared" si="129"/>
        <v>1.7874015748031495</v>
      </c>
      <c r="F620" s="645"/>
    </row>
    <row r="621" spans="1:6" ht="15.75" thickBot="1">
      <c r="A621" s="231"/>
      <c r="B621" s="258" t="s">
        <v>94</v>
      </c>
      <c r="C621" s="580">
        <f aca="true" t="shared" si="133" ref="C621:D621">SUM(C620,C616)</f>
        <v>195387</v>
      </c>
      <c r="D621" s="580">
        <f t="shared" si="133"/>
        <v>212641</v>
      </c>
      <c r="E621" s="891">
        <f t="shared" si="129"/>
        <v>1.0883067962556363</v>
      </c>
      <c r="F621" s="645"/>
    </row>
    <row r="622" spans="1:6" ht="15">
      <c r="A622" s="186">
        <v>2991</v>
      </c>
      <c r="B622" s="189" t="s">
        <v>176</v>
      </c>
      <c r="C622" s="586"/>
      <c r="D622" s="586"/>
      <c r="E622" s="239"/>
      <c r="F622" s="645"/>
    </row>
    <row r="623" spans="1:6" ht="12.75">
      <c r="A623" s="234"/>
      <c r="B623" s="235" t="s">
        <v>162</v>
      </c>
      <c r="C623" s="576"/>
      <c r="D623" s="576"/>
      <c r="E623" s="239"/>
      <c r="F623" s="645"/>
    </row>
    <row r="624" spans="1:6" ht="13.5" thickBot="1">
      <c r="A624" s="234"/>
      <c r="B624" s="236" t="s">
        <v>163</v>
      </c>
      <c r="C624" s="574">
        <f aca="true" t="shared" si="134" ref="C624:D624">SUM(C515+C550+C411+C588)</f>
        <v>28421</v>
      </c>
      <c r="D624" s="574">
        <f t="shared" si="134"/>
        <v>28421</v>
      </c>
      <c r="E624" s="489">
        <f t="shared" si="129"/>
        <v>1</v>
      </c>
      <c r="F624" s="646"/>
    </row>
    <row r="625" spans="1:6" ht="13.5" thickBot="1">
      <c r="A625" s="234"/>
      <c r="B625" s="237" t="s">
        <v>175</v>
      </c>
      <c r="C625" s="596">
        <f aca="true" t="shared" si="135" ref="C625:D625">SUM(C624)</f>
        <v>28421</v>
      </c>
      <c r="D625" s="596">
        <f t="shared" si="135"/>
        <v>28421</v>
      </c>
      <c r="E625" s="545">
        <f t="shared" si="129"/>
        <v>1</v>
      </c>
      <c r="F625" s="645"/>
    </row>
    <row r="626" spans="1:6" ht="12.75">
      <c r="A626" s="234"/>
      <c r="B626" s="235" t="s">
        <v>356</v>
      </c>
      <c r="C626" s="573">
        <f aca="true" t="shared" si="136" ref="C626:D626">SUM(C552)</f>
        <v>0</v>
      </c>
      <c r="D626" s="573">
        <f t="shared" si="136"/>
        <v>0</v>
      </c>
      <c r="E626" s="239"/>
      <c r="F626" s="645"/>
    </row>
    <row r="627" spans="1:6" ht="12.75">
      <c r="A627" s="234"/>
      <c r="B627" s="235" t="s">
        <v>165</v>
      </c>
      <c r="C627" s="573">
        <v>65354</v>
      </c>
      <c r="D627" s="573">
        <v>65354</v>
      </c>
      <c r="E627" s="239">
        <f t="shared" si="129"/>
        <v>1</v>
      </c>
      <c r="F627" s="645"/>
    </row>
    <row r="628" spans="1:6" ht="12.75">
      <c r="A628" s="234"/>
      <c r="B628" s="240" t="s">
        <v>166</v>
      </c>
      <c r="C628" s="579">
        <f aca="true" t="shared" si="137" ref="C628:D628">SUM(C554+C518+C414+C591)</f>
        <v>23596</v>
      </c>
      <c r="D628" s="579">
        <f t="shared" si="137"/>
        <v>23596</v>
      </c>
      <c r="E628" s="239">
        <f t="shared" si="129"/>
        <v>1</v>
      </c>
      <c r="F628" s="646"/>
    </row>
    <row r="629" spans="1:6" ht="12.75">
      <c r="A629" s="234"/>
      <c r="B629" s="240" t="s">
        <v>167</v>
      </c>
      <c r="C629" s="579">
        <f aca="true" t="shared" si="138" ref="C629:D629">SUM(C555+C519+C415)</f>
        <v>41758</v>
      </c>
      <c r="D629" s="579">
        <f t="shared" si="138"/>
        <v>41758</v>
      </c>
      <c r="E629" s="239">
        <f t="shared" si="129"/>
        <v>1</v>
      </c>
      <c r="F629" s="646"/>
    </row>
    <row r="630" spans="1:6" ht="12.75">
      <c r="A630" s="234"/>
      <c r="B630" s="241" t="s">
        <v>168</v>
      </c>
      <c r="C630" s="573">
        <f aca="true" t="shared" si="139" ref="C630:D630">SUM(C556+C520+C416)</f>
        <v>10338</v>
      </c>
      <c r="D630" s="573">
        <f t="shared" si="139"/>
        <v>10338</v>
      </c>
      <c r="E630" s="239">
        <f t="shared" si="129"/>
        <v>1</v>
      </c>
      <c r="F630" s="646"/>
    </row>
    <row r="631" spans="1:6" ht="12.75">
      <c r="A631" s="234"/>
      <c r="B631" s="241" t="s">
        <v>169</v>
      </c>
      <c r="C631" s="573">
        <f aca="true" t="shared" si="140" ref="C631:D631">SUM(C557+C521+C417)</f>
        <v>193676</v>
      </c>
      <c r="D631" s="573">
        <f t="shared" si="140"/>
        <v>193676</v>
      </c>
      <c r="E631" s="239">
        <f t="shared" si="129"/>
        <v>1</v>
      </c>
      <c r="F631" s="646"/>
    </row>
    <row r="632" spans="1:6" ht="12.75">
      <c r="A632" s="234"/>
      <c r="B632" s="241" t="s">
        <v>170</v>
      </c>
      <c r="C632" s="573">
        <f aca="true" t="shared" si="141" ref="C632:D632">SUM(C558+C522+C418+C595)</f>
        <v>67718</v>
      </c>
      <c r="D632" s="573">
        <f t="shared" si="141"/>
        <v>67718</v>
      </c>
      <c r="E632" s="239">
        <f t="shared" si="129"/>
        <v>1</v>
      </c>
      <c r="F632" s="646"/>
    </row>
    <row r="633" spans="1:6" ht="12.75">
      <c r="A633" s="234"/>
      <c r="B633" s="241" t="s">
        <v>312</v>
      </c>
      <c r="C633" s="573">
        <f aca="true" t="shared" si="142" ref="C633:D633">C523+C559+C596</f>
        <v>5070</v>
      </c>
      <c r="D633" s="573">
        <f t="shared" si="142"/>
        <v>5070</v>
      </c>
      <c r="E633" s="239">
        <f t="shared" si="129"/>
        <v>1</v>
      </c>
      <c r="F633" s="645"/>
    </row>
    <row r="634" spans="1:6" ht="12.75">
      <c r="A634" s="234"/>
      <c r="B634" s="242" t="s">
        <v>397</v>
      </c>
      <c r="C634" s="573">
        <f aca="true" t="shared" si="143" ref="C634:D634">SUM(C560+C524+C420+C597)</f>
        <v>0</v>
      </c>
      <c r="D634" s="573">
        <f t="shared" si="143"/>
        <v>0</v>
      </c>
      <c r="E634" s="239"/>
      <c r="F634" s="645"/>
    </row>
    <row r="635" spans="1:6" ht="13.5" thickBot="1">
      <c r="A635" s="234"/>
      <c r="B635" s="243" t="s">
        <v>171</v>
      </c>
      <c r="C635" s="573">
        <f aca="true" t="shared" si="144" ref="C635:D635">SUM(C561+C525+C421+C598)</f>
        <v>0</v>
      </c>
      <c r="D635" s="573">
        <f t="shared" si="144"/>
        <v>0</v>
      </c>
      <c r="E635" s="489"/>
      <c r="F635" s="645"/>
    </row>
    <row r="636" spans="1:6" ht="13.5" thickBot="1">
      <c r="A636" s="234"/>
      <c r="B636" s="244" t="s">
        <v>308</v>
      </c>
      <c r="C636" s="575">
        <f aca="true" t="shared" si="145" ref="C636:D636">SUM(C627+C630+C631+C632+C635+C633+C634+C626)</f>
        <v>342156</v>
      </c>
      <c r="D636" s="575">
        <f t="shared" si="145"/>
        <v>342156</v>
      </c>
      <c r="E636" s="543">
        <f t="shared" si="129"/>
        <v>1</v>
      </c>
      <c r="F636" s="645"/>
    </row>
    <row r="637" spans="1:6" ht="13.5" thickBot="1">
      <c r="A637" s="234"/>
      <c r="B637" s="482" t="s">
        <v>199</v>
      </c>
      <c r="C637" s="575">
        <f aca="true" t="shared" si="146" ref="C637:D637">SUM(C563)</f>
        <v>0</v>
      </c>
      <c r="D637" s="575">
        <f t="shared" si="146"/>
        <v>0</v>
      </c>
      <c r="E637" s="545"/>
      <c r="F637" s="645"/>
    </row>
    <row r="638" spans="1:6" ht="13.5" thickBot="1">
      <c r="A638" s="234"/>
      <c r="B638" s="246" t="s">
        <v>54</v>
      </c>
      <c r="C638" s="859">
        <f aca="true" t="shared" si="147" ref="C638:D638">SUM(C636+C625+C637)</f>
        <v>370577</v>
      </c>
      <c r="D638" s="859">
        <f t="shared" si="147"/>
        <v>370577</v>
      </c>
      <c r="E638" s="543">
        <f t="shared" si="129"/>
        <v>1</v>
      </c>
      <c r="F638" s="645"/>
    </row>
    <row r="639" spans="1:6" ht="12.75">
      <c r="A639" s="234"/>
      <c r="B639" s="504" t="s">
        <v>408</v>
      </c>
      <c r="C639" s="583">
        <f>SUM(C424)</f>
        <v>0</v>
      </c>
      <c r="D639" s="583">
        <f>SUM(D424)</f>
        <v>0</v>
      </c>
      <c r="E639" s="239"/>
      <c r="F639" s="645"/>
    </row>
    <row r="640" spans="1:6" ht="13.5" thickBot="1">
      <c r="A640" s="234"/>
      <c r="B640" s="139" t="s">
        <v>213</v>
      </c>
      <c r="C640" s="581">
        <f aca="true" t="shared" si="148" ref="C640:D640">SUM(C565+C425)</f>
        <v>0</v>
      </c>
      <c r="D640" s="581">
        <f t="shared" si="148"/>
        <v>0</v>
      </c>
      <c r="E640" s="489"/>
      <c r="F640" s="645"/>
    </row>
    <row r="641" spans="1:6" ht="13.5" thickBot="1">
      <c r="A641" s="234"/>
      <c r="B641" s="247" t="s">
        <v>55</v>
      </c>
      <c r="C641" s="590">
        <f aca="true" t="shared" si="149" ref="C641:D641">SUM(C639+C640)</f>
        <v>0</v>
      </c>
      <c r="D641" s="590">
        <f t="shared" si="149"/>
        <v>0</v>
      </c>
      <c r="E641" s="545"/>
      <c r="F641" s="645"/>
    </row>
    <row r="642" spans="1:6" ht="12.75">
      <c r="A642" s="234"/>
      <c r="B642" s="498" t="s">
        <v>373</v>
      </c>
      <c r="C642" s="583">
        <f aca="true" t="shared" si="150" ref="C642:D642">SUM(C567+C529+C427+C605)</f>
        <v>0</v>
      </c>
      <c r="D642" s="583">
        <f t="shared" si="150"/>
        <v>31426</v>
      </c>
      <c r="E642" s="239">
        <v>1</v>
      </c>
      <c r="F642" s="645"/>
    </row>
    <row r="643" spans="1:6" ht="12.75">
      <c r="A643" s="234"/>
      <c r="B643" s="121" t="s">
        <v>1118</v>
      </c>
      <c r="C643" s="583">
        <f>SUM(C530)</f>
        <v>0</v>
      </c>
      <c r="D643" s="583">
        <f>SUM(D530)</f>
        <v>466</v>
      </c>
      <c r="E643" s="239">
        <v>1</v>
      </c>
      <c r="F643" s="645"/>
    </row>
    <row r="644" spans="1:6" ht="12.75">
      <c r="A644" s="234"/>
      <c r="B644" s="248" t="s">
        <v>401</v>
      </c>
      <c r="C644" s="573">
        <f aca="true" t="shared" si="151" ref="C644:D644">SUM(C568+C531+C428+C606)</f>
        <v>4891143</v>
      </c>
      <c r="D644" s="573">
        <f t="shared" si="151"/>
        <v>5207515</v>
      </c>
      <c r="E644" s="239">
        <f t="shared" si="129"/>
        <v>1.0646826314421802</v>
      </c>
      <c r="F644" s="646"/>
    </row>
    <row r="645" spans="1:6" ht="13.5" thickBot="1">
      <c r="A645" s="234"/>
      <c r="B645" s="249" t="s">
        <v>404</v>
      </c>
      <c r="C645" s="574">
        <f aca="true" t="shared" si="152" ref="C645:D645">SUM(C532+C429)</f>
        <v>396047</v>
      </c>
      <c r="D645" s="574">
        <f t="shared" si="152"/>
        <v>419393</v>
      </c>
      <c r="E645" s="489">
        <f t="shared" si="129"/>
        <v>1.0589475491545195</v>
      </c>
      <c r="F645" s="646"/>
    </row>
    <row r="646" spans="1:6" ht="13.5" thickBot="1">
      <c r="A646" s="234"/>
      <c r="B646" s="250" t="s">
        <v>48</v>
      </c>
      <c r="C646" s="582">
        <f aca="true" t="shared" si="153" ref="C646:D646">SUM(C642:C645)</f>
        <v>5287190</v>
      </c>
      <c r="D646" s="582">
        <f t="shared" si="153"/>
        <v>5658800</v>
      </c>
      <c r="E646" s="543">
        <f t="shared" si="129"/>
        <v>1.0702849717903082</v>
      </c>
      <c r="F646" s="645"/>
    </row>
    <row r="647" spans="1:6" ht="13.5" thickBot="1">
      <c r="A647" s="234"/>
      <c r="B647" s="207" t="s">
        <v>373</v>
      </c>
      <c r="C647" s="581">
        <f>SUM(C535)+C431+C608</f>
        <v>0</v>
      </c>
      <c r="D647" s="581">
        <f>SUM(D535)+D431+D608+D570</f>
        <v>10851</v>
      </c>
      <c r="E647" s="545">
        <v>1</v>
      </c>
      <c r="F647" s="645"/>
    </row>
    <row r="648" spans="1:6" ht="13.5" thickBot="1">
      <c r="A648" s="234"/>
      <c r="B648" s="250" t="s">
        <v>50</v>
      </c>
      <c r="C648" s="582">
        <f aca="true" t="shared" si="154" ref="C648:D648">SUM(C647)</f>
        <v>0</v>
      </c>
      <c r="D648" s="582">
        <f t="shared" si="154"/>
        <v>10851</v>
      </c>
      <c r="E648" s="545">
        <v>1</v>
      </c>
      <c r="F648" s="645"/>
    </row>
    <row r="649" spans="1:6" ht="15.75" thickBot="1">
      <c r="A649" s="234"/>
      <c r="B649" s="252" t="s">
        <v>59</v>
      </c>
      <c r="C649" s="575">
        <f aca="true" t="shared" si="155" ref="C649:D649">SUM(C638+C641+C646+C648)</f>
        <v>5657767</v>
      </c>
      <c r="D649" s="575">
        <f t="shared" si="155"/>
        <v>6040228</v>
      </c>
      <c r="E649" s="543">
        <f t="shared" si="129"/>
        <v>1.067599284311284</v>
      </c>
      <c r="F649" s="645"/>
    </row>
    <row r="650" spans="1:6" ht="12.75">
      <c r="A650" s="234"/>
      <c r="B650" s="253" t="s">
        <v>289</v>
      </c>
      <c r="C650" s="573">
        <f aca="true" t="shared" si="156" ref="C650:D650">SUM(C573+C537+C434+C611)</f>
        <v>3341838</v>
      </c>
      <c r="D650" s="573">
        <f t="shared" si="156"/>
        <v>3403082</v>
      </c>
      <c r="E650" s="239">
        <f t="shared" si="129"/>
        <v>1.0183264419160953</v>
      </c>
      <c r="F650" s="646"/>
    </row>
    <row r="651" spans="1:6" ht="12.75">
      <c r="A651" s="234"/>
      <c r="B651" s="253" t="s">
        <v>290</v>
      </c>
      <c r="C651" s="573">
        <f aca="true" t="shared" si="157" ref="C651:D651">SUM(C574+C538+C435+C612)</f>
        <v>495045</v>
      </c>
      <c r="D651" s="573">
        <f t="shared" si="157"/>
        <v>505094</v>
      </c>
      <c r="E651" s="239">
        <f t="shared" si="129"/>
        <v>1.020299164722399</v>
      </c>
      <c r="F651" s="646"/>
    </row>
    <row r="652" spans="1:6" ht="12.75">
      <c r="A652" s="234"/>
      <c r="B652" s="253" t="s">
        <v>291</v>
      </c>
      <c r="C652" s="573">
        <f aca="true" t="shared" si="158" ref="C652:D652">SUM(C575+C539+C436+C613)</f>
        <v>1647666</v>
      </c>
      <c r="D652" s="573">
        <f t="shared" si="158"/>
        <v>1834510</v>
      </c>
      <c r="E652" s="239">
        <f t="shared" si="129"/>
        <v>1.1133991961963166</v>
      </c>
      <c r="F652" s="646"/>
    </row>
    <row r="653" spans="1:6" ht="12.75">
      <c r="A653" s="234"/>
      <c r="B653" s="254" t="s">
        <v>293</v>
      </c>
      <c r="C653" s="573">
        <f aca="true" t="shared" si="159" ref="C653:D653">SUM(C505)</f>
        <v>230</v>
      </c>
      <c r="D653" s="573">
        <f t="shared" si="159"/>
        <v>230</v>
      </c>
      <c r="E653" s="239">
        <f t="shared" si="129"/>
        <v>1</v>
      </c>
      <c r="F653" s="646"/>
    </row>
    <row r="654" spans="1:6" ht="13.5" thickBot="1">
      <c r="A654" s="234"/>
      <c r="B654" s="255" t="s">
        <v>292</v>
      </c>
      <c r="C654" s="573">
        <f aca="true" t="shared" si="160" ref="C654:D654">SUM(C577+C541+C438)</f>
        <v>0</v>
      </c>
      <c r="D654" s="573">
        <f t="shared" si="160"/>
        <v>42</v>
      </c>
      <c r="E654" s="489"/>
      <c r="F654" s="645"/>
    </row>
    <row r="655" spans="1:6" ht="13.5" thickBot="1">
      <c r="A655" s="234"/>
      <c r="B655" s="256" t="s">
        <v>47</v>
      </c>
      <c r="C655" s="575">
        <f aca="true" t="shared" si="161" ref="C655:D655">SUM(C650:C654)</f>
        <v>5484779</v>
      </c>
      <c r="D655" s="575">
        <f t="shared" si="161"/>
        <v>5742958</v>
      </c>
      <c r="E655" s="543">
        <f t="shared" si="129"/>
        <v>1.047071905723093</v>
      </c>
      <c r="F655" s="645"/>
    </row>
    <row r="656" spans="1:6" ht="12.75">
      <c r="A656" s="234"/>
      <c r="B656" s="253" t="s">
        <v>220</v>
      </c>
      <c r="C656" s="573">
        <f aca="true" t="shared" si="162" ref="C656:D656">SUM(C440+C543+C581+C617)</f>
        <v>64770</v>
      </c>
      <c r="D656" s="573">
        <f t="shared" si="162"/>
        <v>167408</v>
      </c>
      <c r="E656" s="239">
        <f t="shared" si="129"/>
        <v>2.584653388914621</v>
      </c>
      <c r="F656" s="646"/>
    </row>
    <row r="657" spans="1:6" ht="12.75">
      <c r="A657" s="234"/>
      <c r="B657" s="253" t="s">
        <v>221</v>
      </c>
      <c r="C657" s="573">
        <f aca="true" t="shared" si="163" ref="C657:D657">SUM(C582+C544+C441)</f>
        <v>108218</v>
      </c>
      <c r="D657" s="573">
        <f t="shared" si="163"/>
        <v>129862</v>
      </c>
      <c r="E657" s="239">
        <f t="shared" si="129"/>
        <v>1.2000036962427691</v>
      </c>
      <c r="F657" s="645"/>
    </row>
    <row r="658" spans="1:6" ht="13.5" thickBot="1">
      <c r="A658" s="234"/>
      <c r="B658" s="255" t="s">
        <v>382</v>
      </c>
      <c r="C658" s="574"/>
      <c r="D658" s="574"/>
      <c r="E658" s="489"/>
      <c r="F658" s="645"/>
    </row>
    <row r="659" spans="1:7" ht="13.5" thickBot="1">
      <c r="A659" s="234"/>
      <c r="B659" s="257" t="s">
        <v>53</v>
      </c>
      <c r="C659" s="575">
        <f aca="true" t="shared" si="164" ref="C659:D659">SUM(C656:C658)</f>
        <v>172988</v>
      </c>
      <c r="D659" s="575">
        <f t="shared" si="164"/>
        <v>297270</v>
      </c>
      <c r="E659" s="543">
        <f t="shared" si="129"/>
        <v>1.718442897773256</v>
      </c>
      <c r="F659" s="645"/>
      <c r="G659" s="554"/>
    </row>
    <row r="660" spans="1:7" ht="15.75" thickBot="1">
      <c r="A660" s="231"/>
      <c r="B660" s="258" t="s">
        <v>94</v>
      </c>
      <c r="C660" s="575">
        <f aca="true" t="shared" si="165" ref="C660:D660">SUM(C655+C659)</f>
        <v>5657767</v>
      </c>
      <c r="D660" s="575">
        <f t="shared" si="165"/>
        <v>6040228</v>
      </c>
      <c r="E660" s="543">
        <f t="shared" si="129"/>
        <v>1.067599284311284</v>
      </c>
      <c r="F660" s="645"/>
      <c r="G660" s="555"/>
    </row>
  </sheetData>
  <mergeCells count="7">
    <mergeCell ref="A2:E2"/>
    <mergeCell ref="E5:E7"/>
    <mergeCell ref="A1:E1"/>
    <mergeCell ref="B5:B7"/>
    <mergeCell ref="A5:A7"/>
    <mergeCell ref="C5:C7"/>
    <mergeCell ref="D5:D7"/>
  </mergeCells>
  <printOptions horizontalCentered="1" verticalCentered="1"/>
  <pageMargins left="0" right="0" top="0.984251968503937" bottom="0.7874015748031497" header="0.31496062992125984" footer="0.5118110236220472"/>
  <pageSetup firstPageNumber="10" useFirstPageNumber="1" horizontalDpi="600" verticalDpi="600" orientation="portrait" paperSize="9" scale="66" r:id="rId3"/>
  <headerFooter alignWithMargins="0">
    <oddFooter>&amp;C&amp;P. oldal</oddFooter>
  </headerFooter>
  <rowBreaks count="9" manualBreakCount="9">
    <brk id="75" max="16383" man="1"/>
    <brk id="142" max="16383" man="1"/>
    <brk id="208" max="16383" man="1"/>
    <brk id="274" max="16383" man="1"/>
    <brk id="341" max="16383" man="1"/>
    <brk id="408" max="16383" man="1"/>
    <brk id="479" max="16383" man="1"/>
    <brk id="547" max="16383" man="1"/>
    <brk id="621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33793" r:id="rId4" name="Button 1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4" r:id="rId5" name="Button 2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5" r:id="rId6" name="Button 3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6" r:id="rId7" name="Button 4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7" r:id="rId8" name="Button 5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8" r:id="rId9" name="Button 6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799" r:id="rId10" name="Button 7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0" r:id="rId11" name="Button 8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1" r:id="rId12" name="Button 9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2" r:id="rId13" name="Button 10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3" r:id="rId14" name="Button 11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4" r:id="rId15" name="Button 12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5" r:id="rId16" name="Button 13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6" r:id="rId17" name="Button 14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7" r:id="rId18" name="Button 15">
              <controlPr defaultSize="0" print="0" autoFill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33808" r:id="rId19" name="Button 16">
              <controlPr defaultSize="0" print="0" autoFill="0" autoLine="0" autoPict="0" macro="[7]!run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0</xdr:col>
                    <xdr:colOff>247650</xdr:colOff>
                    <xdr:row>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6"/>
  <sheetViews>
    <sheetView showZeros="0" workbookViewId="0" topLeftCell="A25">
      <selection activeCell="B39" sqref="B39"/>
    </sheetView>
  </sheetViews>
  <sheetFormatPr defaultColWidth="9.125" defaultRowHeight="12.75"/>
  <cols>
    <col min="1" max="1" width="6.875" style="265" customWidth="1"/>
    <col min="2" max="2" width="50.125" style="264" customWidth="1"/>
    <col min="3" max="4" width="11.25390625" style="264" customWidth="1"/>
    <col min="5" max="5" width="9.00390625" style="264" bestFit="1" customWidth="1"/>
    <col min="6" max="6" width="28.25390625" style="264" customWidth="1"/>
    <col min="7" max="16384" width="9.125" style="264" customWidth="1"/>
  </cols>
  <sheetData>
    <row r="1" spans="1:5" ht="12">
      <c r="A1" s="1250" t="s">
        <v>281</v>
      </c>
      <c r="B1" s="1251"/>
      <c r="C1" s="1252"/>
      <c r="D1" s="1252"/>
      <c r="E1" s="1252"/>
    </row>
    <row r="2" spans="1:5" ht="12.75">
      <c r="A2" s="1250" t="s">
        <v>1187</v>
      </c>
      <c r="B2" s="1251"/>
      <c r="C2" s="1252"/>
      <c r="D2" s="1252"/>
      <c r="E2" s="1252"/>
    </row>
    <row r="3" spans="3:5" ht="11.45" customHeight="1">
      <c r="C3" s="266"/>
      <c r="D3" s="266"/>
      <c r="E3" s="266" t="s">
        <v>154</v>
      </c>
    </row>
    <row r="4" spans="1:5" s="269" customFormat="1" ht="11.45" customHeight="1">
      <c r="A4" s="267"/>
      <c r="B4" s="268"/>
      <c r="C4" s="1214" t="s">
        <v>1320</v>
      </c>
      <c r="D4" s="1214" t="s">
        <v>1320</v>
      </c>
      <c r="E4" s="1248" t="s">
        <v>1188</v>
      </c>
    </row>
    <row r="5" spans="1:5" s="269" customFormat="1" ht="12" customHeight="1">
      <c r="A5" s="270" t="s">
        <v>247</v>
      </c>
      <c r="B5" s="271" t="s">
        <v>257</v>
      </c>
      <c r="C5" s="1246"/>
      <c r="D5" s="1246"/>
      <c r="E5" s="1248"/>
    </row>
    <row r="6" spans="1:5" s="269" customFormat="1" ht="12.75" customHeight="1" thickBot="1">
      <c r="A6" s="272"/>
      <c r="B6" s="273"/>
      <c r="C6" s="1247"/>
      <c r="D6" s="1247"/>
      <c r="E6" s="1249"/>
    </row>
    <row r="7" spans="1:5" s="269" customFormat="1" ht="12" customHeight="1">
      <c r="A7" s="274" t="s">
        <v>139</v>
      </c>
      <c r="B7" s="275" t="s">
        <v>140</v>
      </c>
      <c r="C7" s="276" t="s">
        <v>141</v>
      </c>
      <c r="D7" s="276" t="s">
        <v>522</v>
      </c>
      <c r="E7" s="276" t="s">
        <v>523</v>
      </c>
    </row>
    <row r="8" spans="1:5" ht="12" customHeight="1">
      <c r="A8" s="267">
        <v>3010</v>
      </c>
      <c r="B8" s="277" t="s">
        <v>38</v>
      </c>
      <c r="C8" s="278">
        <f aca="true" t="shared" si="0" ref="C8">SUM(C18)</f>
        <v>15450</v>
      </c>
      <c r="D8" s="278">
        <f aca="true" t="shared" si="1" ref="D8">SUM(D18)</f>
        <v>21483</v>
      </c>
      <c r="E8" s="279">
        <f>SUM(D8/C8)</f>
        <v>1.3904854368932038</v>
      </c>
    </row>
    <row r="9" spans="1:5" ht="12" customHeight="1">
      <c r="A9" s="68">
        <v>3011</v>
      </c>
      <c r="B9" s="280" t="s">
        <v>96</v>
      </c>
      <c r="C9" s="278"/>
      <c r="D9" s="278"/>
      <c r="E9" s="279"/>
    </row>
    <row r="10" spans="1:5" ht="12" customHeight="1">
      <c r="A10" s="281"/>
      <c r="B10" s="282" t="s">
        <v>97</v>
      </c>
      <c r="C10" s="221">
        <v>3000</v>
      </c>
      <c r="D10" s="221">
        <v>3000</v>
      </c>
      <c r="E10" s="904">
        <f>SUM(D10/C10)</f>
        <v>1</v>
      </c>
    </row>
    <row r="11" spans="1:5" ht="12" customHeight="1">
      <c r="A11" s="281"/>
      <c r="B11" s="154" t="s">
        <v>263</v>
      </c>
      <c r="C11" s="221">
        <v>450</v>
      </c>
      <c r="D11" s="221">
        <f>450+16</f>
        <v>466</v>
      </c>
      <c r="E11" s="904">
        <f aca="true" t="shared" si="2" ref="E11:E64">SUM(D11/C11)</f>
        <v>1.0355555555555556</v>
      </c>
    </row>
    <row r="12" spans="1:5" ht="12" customHeight="1">
      <c r="A12" s="215"/>
      <c r="B12" s="283" t="s">
        <v>252</v>
      </c>
      <c r="C12" s="221">
        <v>7000</v>
      </c>
      <c r="D12" s="221">
        <f>7000+17</f>
        <v>7017</v>
      </c>
      <c r="E12" s="904">
        <f t="shared" si="2"/>
        <v>1.0024285714285714</v>
      </c>
    </row>
    <row r="13" spans="1:5" ht="12" customHeight="1">
      <c r="A13" s="281"/>
      <c r="B13" s="222" t="s">
        <v>102</v>
      </c>
      <c r="C13" s="221"/>
      <c r="D13" s="221"/>
      <c r="E13" s="904"/>
    </row>
    <row r="14" spans="1:5" ht="12" customHeight="1">
      <c r="A14" s="281"/>
      <c r="B14" s="154" t="s">
        <v>259</v>
      </c>
      <c r="C14" s="531"/>
      <c r="D14" s="531"/>
      <c r="E14" s="904"/>
    </row>
    <row r="15" spans="1:5" ht="12" customHeight="1">
      <c r="A15" s="215"/>
      <c r="B15" s="282" t="s">
        <v>222</v>
      </c>
      <c r="C15" s="530">
        <v>5000</v>
      </c>
      <c r="D15" s="530">
        <f>5000+6000</f>
        <v>11000</v>
      </c>
      <c r="E15" s="904">
        <f t="shared" si="2"/>
        <v>2.2</v>
      </c>
    </row>
    <row r="16" spans="1:5" ht="12" customHeight="1">
      <c r="A16" s="215"/>
      <c r="B16" s="67" t="s">
        <v>223</v>
      </c>
      <c r="C16" s="531"/>
      <c r="D16" s="531"/>
      <c r="E16" s="904"/>
    </row>
    <row r="17" spans="1:5" ht="12" customHeight="1" thickBot="1">
      <c r="A17" s="281"/>
      <c r="B17" s="284" t="s">
        <v>240</v>
      </c>
      <c r="C17" s="517"/>
      <c r="D17" s="517"/>
      <c r="E17" s="905"/>
    </row>
    <row r="18" spans="1:5" ht="12" customHeight="1" thickBot="1">
      <c r="A18" s="272"/>
      <c r="B18" s="285" t="s">
        <v>245</v>
      </c>
      <c r="C18" s="524">
        <f aca="true" t="shared" si="3" ref="C18">SUM(C10:C17)</f>
        <v>15450</v>
      </c>
      <c r="D18" s="524">
        <f aca="true" t="shared" si="4" ref="D18">SUM(D10:D17)</f>
        <v>21483</v>
      </c>
      <c r="E18" s="906">
        <f t="shared" si="2"/>
        <v>1.3904854368932038</v>
      </c>
    </row>
    <row r="19" spans="1:5" s="269" customFormat="1" ht="12" customHeight="1">
      <c r="A19" s="286">
        <v>3020</v>
      </c>
      <c r="B19" s="176" t="s">
        <v>73</v>
      </c>
      <c r="C19" s="529">
        <f>SUM(C29+C49)</f>
        <v>3005623</v>
      </c>
      <c r="D19" s="529">
        <f>SUM(D29+D49)</f>
        <v>3413835</v>
      </c>
      <c r="E19" s="902">
        <f t="shared" si="2"/>
        <v>1.1358161020194482</v>
      </c>
    </row>
    <row r="20" spans="1:5" s="269" customFormat="1" ht="12" customHeight="1">
      <c r="A20" s="270">
        <v>3021</v>
      </c>
      <c r="B20" s="287" t="s">
        <v>319</v>
      </c>
      <c r="C20" s="529"/>
      <c r="D20" s="529"/>
      <c r="E20" s="279"/>
    </row>
    <row r="21" spans="1:5" ht="12" customHeight="1">
      <c r="A21" s="281"/>
      <c r="B21" s="282" t="s">
        <v>97</v>
      </c>
      <c r="C21" s="530">
        <v>2116003</v>
      </c>
      <c r="D21" s="530">
        <f>2116003+41370+40000</f>
        <v>2197373</v>
      </c>
      <c r="E21" s="904">
        <f t="shared" si="2"/>
        <v>1.0384545768602407</v>
      </c>
    </row>
    <row r="22" spans="1:5" ht="12" customHeight="1">
      <c r="A22" s="281"/>
      <c r="B22" s="154" t="s">
        <v>263</v>
      </c>
      <c r="C22" s="530">
        <v>330620</v>
      </c>
      <c r="D22" s="530">
        <f>330620+23108+5200</f>
        <v>358928</v>
      </c>
      <c r="E22" s="904">
        <f t="shared" si="2"/>
        <v>1.0856209545702014</v>
      </c>
    </row>
    <row r="23" spans="1:5" ht="12" customHeight="1">
      <c r="A23" s="215"/>
      <c r="B23" s="283" t="s">
        <v>252</v>
      </c>
      <c r="C23" s="530">
        <v>390000</v>
      </c>
      <c r="D23" s="530">
        <f>390000+49407+98497-1</f>
        <v>537903</v>
      </c>
      <c r="E23" s="904">
        <f t="shared" si="2"/>
        <v>1.3792384615384616</v>
      </c>
    </row>
    <row r="24" spans="1:5" ht="12" customHeight="1">
      <c r="A24" s="281"/>
      <c r="B24" s="222" t="s">
        <v>102</v>
      </c>
      <c r="C24" s="530"/>
      <c r="D24" s="530"/>
      <c r="E24" s="904"/>
    </row>
    <row r="25" spans="1:5" ht="12" customHeight="1">
      <c r="A25" s="281"/>
      <c r="B25" s="154" t="s">
        <v>259</v>
      </c>
      <c r="C25" s="530"/>
      <c r="D25" s="530"/>
      <c r="E25" s="904"/>
    </row>
    <row r="26" spans="1:5" ht="12" customHeight="1">
      <c r="A26" s="215"/>
      <c r="B26" s="282" t="s">
        <v>222</v>
      </c>
      <c r="C26" s="531">
        <v>15000</v>
      </c>
      <c r="D26" s="531">
        <f>15000+28521+72000</f>
        <v>115521</v>
      </c>
      <c r="E26" s="904">
        <f t="shared" si="2"/>
        <v>7.7014</v>
      </c>
    </row>
    <row r="27" spans="1:5" ht="12" customHeight="1">
      <c r="A27" s="215"/>
      <c r="B27" s="67" t="s">
        <v>223</v>
      </c>
      <c r="C27" s="531"/>
      <c r="D27" s="531"/>
      <c r="E27" s="904"/>
    </row>
    <row r="28" spans="1:5" ht="12" customHeight="1" thickBot="1">
      <c r="A28" s="281"/>
      <c r="B28" s="284" t="s">
        <v>383</v>
      </c>
      <c r="C28" s="517">
        <v>4000</v>
      </c>
      <c r="D28" s="517">
        <f>4000+1000</f>
        <v>5000</v>
      </c>
      <c r="E28" s="905">
        <f t="shared" si="2"/>
        <v>1.25</v>
      </c>
    </row>
    <row r="29" spans="1:5" ht="12" customHeight="1" thickBot="1">
      <c r="A29" s="272"/>
      <c r="B29" s="285" t="s">
        <v>245</v>
      </c>
      <c r="C29" s="524">
        <f aca="true" t="shared" si="5" ref="C29">SUM(C21:C28)</f>
        <v>2855623</v>
      </c>
      <c r="D29" s="524">
        <f aca="true" t="shared" si="6" ref="D29">SUM(D21:D28)</f>
        <v>3214725</v>
      </c>
      <c r="E29" s="906">
        <f t="shared" si="2"/>
        <v>1.1257525940924276</v>
      </c>
    </row>
    <row r="30" spans="1:5" ht="12" customHeight="1">
      <c r="A30" s="270">
        <v>3024</v>
      </c>
      <c r="B30" s="287" t="s">
        <v>1169</v>
      </c>
      <c r="C30" s="529"/>
      <c r="D30" s="529"/>
      <c r="E30" s="902"/>
    </row>
    <row r="31" spans="1:5" ht="12" customHeight="1">
      <c r="A31" s="281"/>
      <c r="B31" s="282" t="s">
        <v>97</v>
      </c>
      <c r="C31" s="530">
        <v>43694</v>
      </c>
      <c r="D31" s="530">
        <f>43694</f>
        <v>43694</v>
      </c>
      <c r="E31" s="904">
        <f t="shared" si="2"/>
        <v>1</v>
      </c>
    </row>
    <row r="32" spans="1:5" ht="12" customHeight="1">
      <c r="A32" s="281"/>
      <c r="B32" s="154" t="s">
        <v>263</v>
      </c>
      <c r="C32" s="530">
        <v>7115</v>
      </c>
      <c r="D32" s="530">
        <v>7115</v>
      </c>
      <c r="E32" s="904">
        <f t="shared" si="2"/>
        <v>1</v>
      </c>
    </row>
    <row r="33" spans="1:5" ht="12" customHeight="1">
      <c r="A33" s="215"/>
      <c r="B33" s="283" t="s">
        <v>252</v>
      </c>
      <c r="C33" s="530">
        <v>7571</v>
      </c>
      <c r="D33" s="530">
        <v>7571</v>
      </c>
      <c r="E33" s="904">
        <f t="shared" si="2"/>
        <v>1</v>
      </c>
    </row>
    <row r="34" spans="1:5" ht="12" customHeight="1">
      <c r="A34" s="281"/>
      <c r="B34" s="222" t="s">
        <v>102</v>
      </c>
      <c r="C34" s="530"/>
      <c r="D34" s="530"/>
      <c r="E34" s="904"/>
    </row>
    <row r="35" spans="1:5" ht="12" customHeight="1">
      <c r="A35" s="281"/>
      <c r="B35" s="154" t="s">
        <v>259</v>
      </c>
      <c r="C35" s="530"/>
      <c r="D35" s="530"/>
      <c r="E35" s="279"/>
    </row>
    <row r="36" spans="1:5" ht="12" customHeight="1">
      <c r="A36" s="215"/>
      <c r="B36" s="282" t="s">
        <v>222</v>
      </c>
      <c r="C36" s="531"/>
      <c r="D36" s="531"/>
      <c r="E36" s="279"/>
    </row>
    <row r="37" spans="1:5" ht="12" customHeight="1">
      <c r="A37" s="215"/>
      <c r="B37" s="67" t="s">
        <v>223</v>
      </c>
      <c r="C37" s="531"/>
      <c r="D37" s="531"/>
      <c r="E37" s="279"/>
    </row>
    <row r="38" spans="1:5" ht="12" customHeight="1" thickBot="1">
      <c r="A38" s="281"/>
      <c r="B38" s="284" t="s">
        <v>383</v>
      </c>
      <c r="C38" s="517"/>
      <c r="D38" s="517"/>
      <c r="E38" s="903"/>
    </row>
    <row r="39" spans="1:5" ht="12" customHeight="1" thickBot="1">
      <c r="A39" s="272"/>
      <c r="B39" s="285" t="s">
        <v>245</v>
      </c>
      <c r="C39" s="524">
        <f aca="true" t="shared" si="7" ref="C39">SUM(C31:C38)</f>
        <v>58380</v>
      </c>
      <c r="D39" s="524">
        <f aca="true" t="shared" si="8" ref="D39">SUM(D31:D38)</f>
        <v>58380</v>
      </c>
      <c r="E39" s="906">
        <f t="shared" si="2"/>
        <v>1</v>
      </c>
    </row>
    <row r="40" spans="1:5" ht="12" customHeight="1">
      <c r="A40" s="290">
        <v>3026</v>
      </c>
      <c r="B40" s="291" t="s">
        <v>260</v>
      </c>
      <c r="C40" s="529"/>
      <c r="D40" s="529"/>
      <c r="E40" s="902"/>
    </row>
    <row r="41" spans="1:5" ht="12" customHeight="1">
      <c r="A41" s="68"/>
      <c r="B41" s="282" t="s">
        <v>97</v>
      </c>
      <c r="C41" s="530"/>
      <c r="D41" s="530"/>
      <c r="E41" s="279"/>
    </row>
    <row r="42" spans="1:5" ht="12" customHeight="1">
      <c r="A42" s="68"/>
      <c r="B42" s="154" t="s">
        <v>263</v>
      </c>
      <c r="C42" s="530"/>
      <c r="D42" s="530"/>
      <c r="E42" s="279"/>
    </row>
    <row r="43" spans="1:5" ht="12" customHeight="1">
      <c r="A43" s="68"/>
      <c r="B43" s="283" t="s">
        <v>252</v>
      </c>
      <c r="C43" s="530">
        <v>135000</v>
      </c>
      <c r="D43" s="530">
        <f>135000+19237+13000</f>
        <v>167237</v>
      </c>
      <c r="E43" s="904">
        <f t="shared" si="2"/>
        <v>1.2387925925925927</v>
      </c>
    </row>
    <row r="44" spans="1:5" ht="12" customHeight="1">
      <c r="A44" s="68"/>
      <c r="B44" s="222" t="s">
        <v>102</v>
      </c>
      <c r="C44" s="534"/>
      <c r="D44" s="534"/>
      <c r="E44" s="904"/>
    </row>
    <row r="45" spans="1:5" ht="12" customHeight="1">
      <c r="A45" s="68"/>
      <c r="B45" s="154" t="s">
        <v>259</v>
      </c>
      <c r="C45" s="597"/>
      <c r="D45" s="597"/>
      <c r="E45" s="904"/>
    </row>
    <row r="46" spans="1:5" ht="12" customHeight="1">
      <c r="A46" s="68"/>
      <c r="B46" s="282" t="s">
        <v>222</v>
      </c>
      <c r="C46" s="532">
        <v>15000</v>
      </c>
      <c r="D46" s="532">
        <f>15000+5873+11000</f>
        <v>31873</v>
      </c>
      <c r="E46" s="904">
        <f t="shared" si="2"/>
        <v>2.1248666666666667</v>
      </c>
    </row>
    <row r="47" spans="1:5" ht="12" customHeight="1">
      <c r="A47" s="68"/>
      <c r="B47" s="67" t="s">
        <v>223</v>
      </c>
      <c r="C47" s="532"/>
      <c r="D47" s="532"/>
      <c r="E47" s="904"/>
    </row>
    <row r="48" spans="1:5" ht="12" customHeight="1" thickBot="1">
      <c r="A48" s="68"/>
      <c r="B48" s="284" t="s">
        <v>240</v>
      </c>
      <c r="C48" s="598"/>
      <c r="D48" s="598"/>
      <c r="E48" s="905"/>
    </row>
    <row r="49" spans="1:5" ht="12" customHeight="1" thickBot="1">
      <c r="A49" s="289"/>
      <c r="B49" s="285" t="s">
        <v>245</v>
      </c>
      <c r="C49" s="524">
        <f aca="true" t="shared" si="9" ref="C49">SUM(C40:C46)</f>
        <v>150000</v>
      </c>
      <c r="D49" s="524">
        <f aca="true" t="shared" si="10" ref="D49">SUM(D40:D46)</f>
        <v>199110</v>
      </c>
      <c r="E49" s="906">
        <f t="shared" si="2"/>
        <v>1.3274</v>
      </c>
    </row>
    <row r="50" spans="1:5" ht="12" customHeight="1">
      <c r="A50" s="270">
        <v>3000</v>
      </c>
      <c r="B50" s="292" t="s">
        <v>98</v>
      </c>
      <c r="C50" s="530"/>
      <c r="D50" s="530"/>
      <c r="E50" s="902"/>
    </row>
    <row r="51" spans="1:5" ht="12" customHeight="1">
      <c r="A51" s="270"/>
      <c r="B51" s="293" t="s">
        <v>56</v>
      </c>
      <c r="C51" s="530"/>
      <c r="D51" s="530"/>
      <c r="E51" s="279"/>
    </row>
    <row r="52" spans="1:5" ht="12" customHeight="1">
      <c r="A52" s="281"/>
      <c r="B52" s="282" t="s">
        <v>97</v>
      </c>
      <c r="C52" s="530">
        <f>SUM(C21+C10+C31)</f>
        <v>2162697</v>
      </c>
      <c r="D52" s="530">
        <f>SUM(D21+D10+D31)</f>
        <v>2244067</v>
      </c>
      <c r="E52" s="904">
        <f t="shared" si="2"/>
        <v>1.0376243181546005</v>
      </c>
    </row>
    <row r="53" spans="1:5" ht="12" customHeight="1">
      <c r="A53" s="281"/>
      <c r="B53" s="154" t="s">
        <v>263</v>
      </c>
      <c r="C53" s="530">
        <f>SUM(C22+C11+C32)</f>
        <v>338185</v>
      </c>
      <c r="D53" s="530">
        <f>SUM(D22+D11+D32)</f>
        <v>366509</v>
      </c>
      <c r="E53" s="904">
        <f t="shared" si="2"/>
        <v>1.0837529754424353</v>
      </c>
    </row>
    <row r="54" spans="1:5" ht="12" customHeight="1">
      <c r="A54" s="215"/>
      <c r="B54" s="222" t="s">
        <v>261</v>
      </c>
      <c r="C54" s="530">
        <f>SUM(C23+C12+C43+C33)</f>
        <v>539571</v>
      </c>
      <c r="D54" s="530">
        <f>SUM(D23+D12+D43+D33)</f>
        <v>719728</v>
      </c>
      <c r="E54" s="904">
        <f t="shared" si="2"/>
        <v>1.3338893305978268</v>
      </c>
    </row>
    <row r="55" spans="1:5" ht="12" customHeight="1">
      <c r="A55" s="281"/>
      <c r="B55" s="222" t="s">
        <v>102</v>
      </c>
      <c r="C55" s="530">
        <f>SUM(C13)</f>
        <v>0</v>
      </c>
      <c r="D55" s="530">
        <f>SUM(D13)</f>
        <v>0</v>
      </c>
      <c r="E55" s="904"/>
    </row>
    <row r="56" spans="1:5" ht="12" customHeight="1">
      <c r="A56" s="281"/>
      <c r="B56" s="154" t="s">
        <v>259</v>
      </c>
      <c r="C56" s="530">
        <f>SUM(C25)</f>
        <v>0</v>
      </c>
      <c r="D56" s="530">
        <f>SUM(D25)</f>
        <v>0</v>
      </c>
      <c r="E56" s="279"/>
    </row>
    <row r="57" spans="1:5" ht="12" customHeight="1">
      <c r="A57" s="281"/>
      <c r="B57" s="225" t="s">
        <v>47</v>
      </c>
      <c r="C57" s="533">
        <f aca="true" t="shared" si="11" ref="C57">SUM(C52:C56)</f>
        <v>3040453</v>
      </c>
      <c r="D57" s="533">
        <f aca="true" t="shared" si="12" ref="D57">SUM(D52:D56)</f>
        <v>3330304</v>
      </c>
      <c r="E57" s="279">
        <f t="shared" si="2"/>
        <v>1.0953315180336614</v>
      </c>
    </row>
    <row r="58" spans="1:5" ht="12" customHeight="1">
      <c r="A58" s="281"/>
      <c r="B58" s="294" t="s">
        <v>57</v>
      </c>
      <c r="C58" s="530"/>
      <c r="D58" s="530"/>
      <c r="E58" s="279"/>
    </row>
    <row r="59" spans="1:5" ht="12" customHeight="1">
      <c r="A59" s="281"/>
      <c r="B59" s="282" t="s">
        <v>224</v>
      </c>
      <c r="C59" s="530">
        <f>SUM(C27+C16)</f>
        <v>0</v>
      </c>
      <c r="D59" s="530">
        <f>SUM(D27+D16)</f>
        <v>0</v>
      </c>
      <c r="E59" s="279"/>
    </row>
    <row r="60" spans="1:5" ht="12" customHeight="1">
      <c r="A60" s="281"/>
      <c r="B60" s="67" t="s">
        <v>329</v>
      </c>
      <c r="C60" s="530">
        <f>SUM(C26+C15+C46)</f>
        <v>35000</v>
      </c>
      <c r="D60" s="530">
        <f>SUM(D26+D15+D46)</f>
        <v>158394</v>
      </c>
      <c r="E60" s="904">
        <f t="shared" si="2"/>
        <v>4.525542857142857</v>
      </c>
    </row>
    <row r="61" spans="1:5" ht="12" customHeight="1">
      <c r="A61" s="281"/>
      <c r="B61" s="222" t="s">
        <v>384</v>
      </c>
      <c r="C61" s="530">
        <f>SUM(C28)</f>
        <v>4000</v>
      </c>
      <c r="D61" s="530">
        <f>SUM(D28)</f>
        <v>5000</v>
      </c>
      <c r="E61" s="904">
        <f t="shared" si="2"/>
        <v>1.25</v>
      </c>
    </row>
    <row r="62" spans="1:5" ht="12" customHeight="1" thickBot="1">
      <c r="A62" s="281"/>
      <c r="B62" s="225" t="s">
        <v>58</v>
      </c>
      <c r="C62" s="601">
        <f aca="true" t="shared" si="13" ref="C62">SUM(C59:C61)</f>
        <v>39000</v>
      </c>
      <c r="D62" s="601">
        <f aca="true" t="shared" si="14" ref="D62">SUM(D59:D61)</f>
        <v>163394</v>
      </c>
      <c r="E62" s="903">
        <f t="shared" si="2"/>
        <v>4.189589743589743</v>
      </c>
    </row>
    <row r="63" spans="1:5" ht="12" customHeight="1" thickBot="1">
      <c r="A63" s="272"/>
      <c r="B63" s="285" t="s">
        <v>225</v>
      </c>
      <c r="C63" s="524">
        <f aca="true" t="shared" si="15" ref="C63">SUM(C57+C62)</f>
        <v>3079453</v>
      </c>
      <c r="D63" s="524">
        <f aca="true" t="shared" si="16" ref="D63">SUM(D57+D62)</f>
        <v>3493698</v>
      </c>
      <c r="E63" s="906">
        <f t="shared" si="2"/>
        <v>1.1345190200986994</v>
      </c>
    </row>
    <row r="64" spans="1:5" ht="12.75" thickBot="1">
      <c r="A64" s="295"/>
      <c r="B64" s="296" t="s">
        <v>64</v>
      </c>
      <c r="C64" s="599">
        <f aca="true" t="shared" si="17" ref="C64">SUM(C63)</f>
        <v>3079453</v>
      </c>
      <c r="D64" s="599">
        <f aca="true" t="shared" si="18" ref="D64">SUM(D63)</f>
        <v>3493698</v>
      </c>
      <c r="E64" s="906">
        <f t="shared" si="2"/>
        <v>1.1345190200986994</v>
      </c>
    </row>
    <row r="66" spans="3:4" ht="12.75">
      <c r="C66" s="297"/>
      <c r="D66" s="297"/>
    </row>
  </sheetData>
  <mergeCells count="5">
    <mergeCell ref="E4:E6"/>
    <mergeCell ref="A2:E2"/>
    <mergeCell ref="A1:E1"/>
    <mergeCell ref="C4:C6"/>
    <mergeCell ref="D4:D6"/>
  </mergeCells>
  <printOptions horizontalCentered="1" verticalCentered="1"/>
  <pageMargins left="0.3937007874015748" right="0.3937007874015748" top="0.1968503937007874" bottom="0.1968503937007874" header="0.11811023622047245" footer="0"/>
  <pageSetup firstPageNumber="20" useFirstPageNumber="1" horizontalDpi="600" verticalDpi="600" orientation="landscape" paperSize="9" r:id="rId3"/>
  <headerFooter alignWithMargins="0">
    <oddFooter>&amp;C&amp;P. oldal</oddFooter>
  </headerFooter>
  <rowBreaks count="1" manualBreakCount="1">
    <brk id="39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7409" r:id="rId4" name="Button 1">
              <controlPr defaultSize="0" print="0" autoFill="0" autoPict="0" macro="[8]!run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28575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7410" r:id="rId5" name="Button 2">
              <controlPr defaultSize="0" print="0" autoFill="0" autoPict="0" macro="[8]!run">
                <anchor moveWithCells="1">
                  <from>
                    <xdr:col>0</xdr:col>
                    <xdr:colOff>247650</xdr:colOff>
                    <xdr:row>0</xdr:row>
                    <xdr:rowOff>0</xdr:rowOff>
                  </from>
                  <to>
                    <xdr:col>1</xdr:col>
                    <xdr:colOff>276225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0"/>
  <sheetViews>
    <sheetView showZeros="0" view="pageBreakPreview" zoomScaleSheetLayoutView="100" workbookViewId="0" topLeftCell="A874">
      <selection activeCell="D902" sqref="D902"/>
    </sheetView>
  </sheetViews>
  <sheetFormatPr defaultColWidth="9.125" defaultRowHeight="12.75"/>
  <cols>
    <col min="1" max="1" width="6.125" style="298" customWidth="1"/>
    <col min="2" max="2" width="50.875" style="264" customWidth="1"/>
    <col min="3" max="4" width="13.00390625" style="384" customWidth="1"/>
    <col min="5" max="5" width="9.125" style="384" customWidth="1"/>
    <col min="6" max="6" width="46.00390625" style="384" bestFit="1" customWidth="1"/>
    <col min="7" max="16384" width="9.125" style="264" customWidth="1"/>
  </cols>
  <sheetData>
    <row r="1" spans="1:6" ht="12.75">
      <c r="A1" s="1253" t="s">
        <v>280</v>
      </c>
      <c r="B1" s="1254"/>
      <c r="C1" s="1254"/>
      <c r="D1" s="1254"/>
      <c r="E1" s="1254"/>
      <c r="F1" s="1254"/>
    </row>
    <row r="2" spans="1:6" ht="12.75">
      <c r="A2" s="1255" t="s">
        <v>1255</v>
      </c>
      <c r="B2" s="1256"/>
      <c r="C2" s="1256"/>
      <c r="D2" s="1256"/>
      <c r="E2" s="1256"/>
      <c r="F2" s="1256"/>
    </row>
    <row r="3" spans="1:6" ht="12.75">
      <c r="A3" s="995"/>
      <c r="B3" s="995"/>
      <c r="C3" s="995"/>
      <c r="D3" s="995"/>
      <c r="E3" s="995"/>
      <c r="F3" s="995"/>
    </row>
    <row r="4" spans="3:6" ht="12.75">
      <c r="C4" s="299"/>
      <c r="D4" s="299"/>
      <c r="E4" s="299"/>
      <c r="F4" s="300" t="s">
        <v>154</v>
      </c>
    </row>
    <row r="5" spans="1:6" s="269" customFormat="1" ht="12" customHeight="1">
      <c r="A5" s="267"/>
      <c r="B5" s="268"/>
      <c r="C5" s="1214" t="s">
        <v>1320</v>
      </c>
      <c r="D5" s="1214" t="s">
        <v>1327</v>
      </c>
      <c r="E5" s="1214" t="s">
        <v>1182</v>
      </c>
      <c r="F5" s="302" t="s">
        <v>478</v>
      </c>
    </row>
    <row r="6" spans="1:6" s="269" customFormat="1" ht="12" customHeight="1">
      <c r="A6" s="270" t="s">
        <v>247</v>
      </c>
      <c r="B6" s="271" t="s">
        <v>257</v>
      </c>
      <c r="C6" s="1259"/>
      <c r="D6" s="1259"/>
      <c r="E6" s="1257"/>
      <c r="F6" s="68" t="s">
        <v>122</v>
      </c>
    </row>
    <row r="7" spans="1:6" s="269" customFormat="1" ht="12.75" customHeight="1" thickBot="1">
      <c r="A7" s="270"/>
      <c r="B7" s="273"/>
      <c r="C7" s="1260"/>
      <c r="D7" s="1260"/>
      <c r="E7" s="1258"/>
      <c r="F7" s="289"/>
    </row>
    <row r="8" spans="1:6" s="269" customFormat="1" ht="12.75">
      <c r="A8" s="274" t="s">
        <v>139</v>
      </c>
      <c r="B8" s="303" t="s">
        <v>140</v>
      </c>
      <c r="C8" s="276" t="s">
        <v>141</v>
      </c>
      <c r="D8" s="276" t="s">
        <v>522</v>
      </c>
      <c r="E8" s="276" t="s">
        <v>523</v>
      </c>
      <c r="F8" s="276" t="s">
        <v>539</v>
      </c>
    </row>
    <row r="9" spans="1:6" s="269" customFormat="1" ht="11.25" customHeight="1">
      <c r="A9" s="270">
        <v>3050</v>
      </c>
      <c r="B9" s="304" t="s">
        <v>226</v>
      </c>
      <c r="C9" s="305">
        <f>SUM(C17+C25+C34+C43+C52+C61)</f>
        <v>156000</v>
      </c>
      <c r="D9" s="305">
        <f>SUM(D17+D25+D34+D43+D52+D61)</f>
        <v>232494</v>
      </c>
      <c r="E9" s="306">
        <f aca="true" t="shared" si="0" ref="E9">SUM(D9/C9)</f>
        <v>1.4903461538461538</v>
      </c>
      <c r="F9" s="307"/>
    </row>
    <row r="10" spans="1:6" ht="13.5" customHeight="1">
      <c r="A10" s="308">
        <v>3052</v>
      </c>
      <c r="B10" s="309" t="s">
        <v>18</v>
      </c>
      <c r="C10" s="1101"/>
      <c r="D10" s="1101"/>
      <c r="E10" s="306"/>
      <c r="F10" s="310"/>
    </row>
    <row r="11" spans="1:6" ht="13.5" customHeight="1">
      <c r="A11" s="311"/>
      <c r="B11" s="312" t="s">
        <v>97</v>
      </c>
      <c r="C11" s="1102"/>
      <c r="D11" s="1102"/>
      <c r="E11" s="306"/>
      <c r="F11" s="490"/>
    </row>
    <row r="12" spans="1:6" ht="13.5" customHeight="1">
      <c r="A12" s="311"/>
      <c r="B12" s="314" t="s">
        <v>263</v>
      </c>
      <c r="C12" s="1102"/>
      <c r="D12" s="1102"/>
      <c r="E12" s="306"/>
      <c r="F12" s="606" t="s">
        <v>453</v>
      </c>
    </row>
    <row r="13" spans="1:6" ht="13.5" customHeight="1">
      <c r="A13" s="311"/>
      <c r="B13" s="315" t="s">
        <v>252</v>
      </c>
      <c r="C13" s="1102"/>
      <c r="D13" s="1102">
        <v>343</v>
      </c>
      <c r="E13" s="909">
        <v>1</v>
      </c>
      <c r="F13" s="490" t="s">
        <v>479</v>
      </c>
    </row>
    <row r="14" spans="1:6" ht="13.5" customHeight="1">
      <c r="A14" s="311"/>
      <c r="B14" s="316" t="s">
        <v>102</v>
      </c>
      <c r="C14" s="1102"/>
      <c r="D14" s="1102"/>
      <c r="E14" s="306"/>
      <c r="F14" s="313"/>
    </row>
    <row r="15" spans="1:6" ht="13.5" customHeight="1">
      <c r="A15" s="311"/>
      <c r="B15" s="316" t="s">
        <v>259</v>
      </c>
      <c r="C15" s="1101"/>
      <c r="D15" s="1101"/>
      <c r="E15" s="306"/>
      <c r="F15" s="313"/>
    </row>
    <row r="16" spans="1:6" ht="13.5" customHeight="1" thickBot="1">
      <c r="A16" s="311"/>
      <c r="B16" s="317" t="s">
        <v>70</v>
      </c>
      <c r="C16" s="1103"/>
      <c r="D16" s="1103"/>
      <c r="E16" s="907"/>
      <c r="F16" s="318"/>
    </row>
    <row r="17" spans="1:6" ht="13.5" customHeight="1" thickBot="1">
      <c r="A17" s="319"/>
      <c r="B17" s="320" t="s">
        <v>113</v>
      </c>
      <c r="C17" s="1104">
        <f aca="true" t="shared" si="1" ref="C17">SUM(C13:C16)</f>
        <v>0</v>
      </c>
      <c r="D17" s="1104">
        <f aca="true" t="shared" si="2" ref="D17">SUM(D13:D16)</f>
        <v>343</v>
      </c>
      <c r="E17" s="908">
        <v>1</v>
      </c>
      <c r="F17" s="321"/>
    </row>
    <row r="18" spans="1:6" ht="13.5" customHeight="1">
      <c r="A18" s="308">
        <v>3054</v>
      </c>
      <c r="B18" s="507" t="s">
        <v>208</v>
      </c>
      <c r="C18" s="1101"/>
      <c r="D18" s="1101"/>
      <c r="E18" s="306"/>
      <c r="F18" s="310"/>
    </row>
    <row r="19" spans="1:6" ht="12.6" customHeight="1">
      <c r="A19" s="311"/>
      <c r="B19" s="312" t="s">
        <v>97</v>
      </c>
      <c r="C19" s="1102"/>
      <c r="D19" s="1102"/>
      <c r="E19" s="306"/>
      <c r="F19" s="490"/>
    </row>
    <row r="20" spans="1:6" ht="12.6" customHeight="1">
      <c r="A20" s="311"/>
      <c r="B20" s="314" t="s">
        <v>263</v>
      </c>
      <c r="C20" s="1102"/>
      <c r="D20" s="1102"/>
      <c r="E20" s="306"/>
      <c r="F20" s="606" t="s">
        <v>453</v>
      </c>
    </row>
    <row r="21" spans="1:6" ht="12.6" customHeight="1">
      <c r="A21" s="311"/>
      <c r="B21" s="315" t="s">
        <v>252</v>
      </c>
      <c r="C21" s="1102">
        <v>5000</v>
      </c>
      <c r="D21" s="1102">
        <f>5000+1</f>
        <v>5001</v>
      </c>
      <c r="E21" s="909">
        <f aca="true" t="shared" si="3" ref="E21:E84">SUM(D21/C21)</f>
        <v>1.0002</v>
      </c>
      <c r="F21" s="490" t="s">
        <v>479</v>
      </c>
    </row>
    <row r="22" spans="1:6" ht="12.6" customHeight="1">
      <c r="A22" s="311"/>
      <c r="B22" s="316" t="s">
        <v>102</v>
      </c>
      <c r="C22" s="1102"/>
      <c r="D22" s="1102"/>
      <c r="E22" s="306"/>
      <c r="F22" s="313"/>
    </row>
    <row r="23" spans="1:6" ht="12.6" customHeight="1">
      <c r="A23" s="311"/>
      <c r="B23" s="316" t="s">
        <v>259</v>
      </c>
      <c r="C23" s="1101"/>
      <c r="D23" s="1101"/>
      <c r="E23" s="306"/>
      <c r="F23" s="313"/>
    </row>
    <row r="24" spans="1:6" ht="12.6" customHeight="1" thickBot="1">
      <c r="A24" s="311"/>
      <c r="B24" s="317" t="s">
        <v>70</v>
      </c>
      <c r="C24" s="1103"/>
      <c r="D24" s="1103"/>
      <c r="E24" s="907"/>
      <c r="F24" s="318"/>
    </row>
    <row r="25" spans="1:6" ht="12.6" customHeight="1" thickBot="1">
      <c r="A25" s="319"/>
      <c r="B25" s="320" t="s">
        <v>113</v>
      </c>
      <c r="C25" s="1104">
        <f aca="true" t="shared" si="4" ref="C25">SUM(C21:C24)</f>
        <v>5000</v>
      </c>
      <c r="D25" s="1104">
        <f aca="true" t="shared" si="5" ref="D25">SUM(D21:D24)</f>
        <v>5001</v>
      </c>
      <c r="E25" s="908">
        <f t="shared" si="3"/>
        <v>1.0002</v>
      </c>
      <c r="F25" s="321"/>
    </row>
    <row r="26" spans="1:6" ht="12.6" customHeight="1">
      <c r="A26" s="308">
        <v>3056</v>
      </c>
      <c r="B26" s="507" t="s">
        <v>437</v>
      </c>
      <c r="C26" s="1101"/>
      <c r="D26" s="1101"/>
      <c r="E26" s="306"/>
      <c r="F26" s="310"/>
    </row>
    <row r="27" spans="1:7" ht="12.6" customHeight="1">
      <c r="A27" s="311"/>
      <c r="B27" s="312" t="s">
        <v>97</v>
      </c>
      <c r="C27" s="1102"/>
      <c r="D27" s="1102"/>
      <c r="E27" s="306"/>
      <c r="F27" s="472" t="s">
        <v>456</v>
      </c>
      <c r="G27" s="979"/>
    </row>
    <row r="28" spans="1:6" ht="12.6" customHeight="1">
      <c r="A28" s="311"/>
      <c r="B28" s="314" t="s">
        <v>263</v>
      </c>
      <c r="C28" s="1102"/>
      <c r="D28" s="1102"/>
      <c r="E28" s="306"/>
      <c r="F28" s="473" t="s">
        <v>457</v>
      </c>
    </row>
    <row r="29" spans="1:6" ht="12.6" customHeight="1">
      <c r="A29" s="311"/>
      <c r="B29" s="315" t="s">
        <v>252</v>
      </c>
      <c r="C29" s="1102">
        <v>5000</v>
      </c>
      <c r="D29" s="1102">
        <f>5000+5000</f>
        <v>10000</v>
      </c>
      <c r="E29" s="909">
        <f t="shared" si="3"/>
        <v>2</v>
      </c>
      <c r="F29" s="490"/>
    </row>
    <row r="30" spans="1:6" ht="12.6" customHeight="1">
      <c r="A30" s="311"/>
      <c r="B30" s="316" t="s">
        <v>102</v>
      </c>
      <c r="C30" s="1102"/>
      <c r="D30" s="1102"/>
      <c r="E30" s="306"/>
      <c r="F30" s="313"/>
    </row>
    <row r="31" spans="1:6" ht="12.6" customHeight="1">
      <c r="A31" s="311"/>
      <c r="B31" s="316" t="s">
        <v>259</v>
      </c>
      <c r="C31" s="1101"/>
      <c r="D31" s="1101"/>
      <c r="E31" s="306"/>
      <c r="F31" s="490"/>
    </row>
    <row r="32" spans="1:6" ht="12.6" customHeight="1">
      <c r="A32" s="311"/>
      <c r="B32" s="316" t="s">
        <v>505</v>
      </c>
      <c r="C32" s="1105"/>
      <c r="D32" s="1105"/>
      <c r="E32" s="306"/>
      <c r="F32" s="491"/>
    </row>
    <row r="33" spans="1:6" ht="12.6" customHeight="1" thickBot="1">
      <c r="A33" s="311"/>
      <c r="B33" s="317" t="s">
        <v>222</v>
      </c>
      <c r="C33" s="1106"/>
      <c r="D33" s="1106"/>
      <c r="E33" s="907"/>
      <c r="F33" s="318"/>
    </row>
    <row r="34" spans="1:6" ht="12.6" customHeight="1" thickBot="1">
      <c r="A34" s="319"/>
      <c r="B34" s="320" t="s">
        <v>113</v>
      </c>
      <c r="C34" s="1104">
        <f aca="true" t="shared" si="6" ref="C34">SUM(C29:C33)</f>
        <v>5000</v>
      </c>
      <c r="D34" s="1104">
        <f aca="true" t="shared" si="7" ref="D34">SUM(D29:D33)</f>
        <v>10000</v>
      </c>
      <c r="E34" s="908">
        <f t="shared" si="3"/>
        <v>2</v>
      </c>
      <c r="F34" s="321"/>
    </row>
    <row r="35" spans="1:6" ht="12.6" customHeight="1">
      <c r="A35" s="308">
        <v>3057</v>
      </c>
      <c r="B35" s="507" t="s">
        <v>1085</v>
      </c>
      <c r="C35" s="1101"/>
      <c r="D35" s="1101"/>
      <c r="E35" s="306"/>
      <c r="F35" s="310"/>
    </row>
    <row r="36" spans="1:6" ht="12.6" customHeight="1">
      <c r="A36" s="311"/>
      <c r="B36" s="312" t="s">
        <v>97</v>
      </c>
      <c r="C36" s="1102"/>
      <c r="D36" s="1102"/>
      <c r="E36" s="306"/>
      <c r="F36" s="472" t="s">
        <v>456</v>
      </c>
    </row>
    <row r="37" spans="1:6" ht="12.6" customHeight="1">
      <c r="A37" s="311"/>
      <c r="B37" s="314" t="s">
        <v>263</v>
      </c>
      <c r="C37" s="1102"/>
      <c r="D37" s="1102"/>
      <c r="E37" s="306"/>
      <c r="F37" s="473" t="s">
        <v>457</v>
      </c>
    </row>
    <row r="38" spans="1:6" ht="12.6" customHeight="1">
      <c r="A38" s="311"/>
      <c r="B38" s="315" t="s">
        <v>252</v>
      </c>
      <c r="C38" s="1102">
        <v>84000</v>
      </c>
      <c r="D38" s="1102">
        <f>84000+59218</f>
        <v>143218</v>
      </c>
      <c r="E38" s="909">
        <f t="shared" si="3"/>
        <v>1.7049761904761904</v>
      </c>
      <c r="F38" s="490"/>
    </row>
    <row r="39" spans="1:6" ht="12.6" customHeight="1">
      <c r="A39" s="311"/>
      <c r="B39" s="316" t="s">
        <v>102</v>
      </c>
      <c r="C39" s="1102"/>
      <c r="D39" s="1102"/>
      <c r="E39" s="306"/>
      <c r="F39" s="313"/>
    </row>
    <row r="40" spans="1:6" ht="12.6" customHeight="1">
      <c r="A40" s="311"/>
      <c r="B40" s="316" t="s">
        <v>259</v>
      </c>
      <c r="C40" s="1101"/>
      <c r="D40" s="1101"/>
      <c r="E40" s="306"/>
      <c r="F40" s="490"/>
    </row>
    <row r="41" spans="1:6" ht="12.6" customHeight="1">
      <c r="A41" s="311"/>
      <c r="B41" s="316" t="s">
        <v>505</v>
      </c>
      <c r="C41" s="1105"/>
      <c r="D41" s="1105"/>
      <c r="E41" s="306"/>
      <c r="F41" s="491"/>
    </row>
    <row r="42" spans="1:6" ht="12.6" customHeight="1" thickBot="1">
      <c r="A42" s="311"/>
      <c r="B42" s="317" t="s">
        <v>220</v>
      </c>
      <c r="C42" s="1106"/>
      <c r="D42" s="1106"/>
      <c r="E42" s="907"/>
      <c r="F42" s="318"/>
    </row>
    <row r="43" spans="1:6" ht="12.6" customHeight="1" thickBot="1">
      <c r="A43" s="319"/>
      <c r="B43" s="320" t="s">
        <v>113</v>
      </c>
      <c r="C43" s="1104">
        <f aca="true" t="shared" si="8" ref="C43">SUM(C38:C42)</f>
        <v>84000</v>
      </c>
      <c r="D43" s="1104">
        <f aca="true" t="shared" si="9" ref="D43">SUM(D38:D42)</f>
        <v>143218</v>
      </c>
      <c r="E43" s="908">
        <f t="shared" si="3"/>
        <v>1.7049761904761904</v>
      </c>
      <c r="F43" s="321"/>
    </row>
    <row r="44" spans="1:6" ht="12.6" customHeight="1">
      <c r="A44" s="308">
        <v>3058</v>
      </c>
      <c r="B44" s="507" t="s">
        <v>1086</v>
      </c>
      <c r="C44" s="1101"/>
      <c r="D44" s="1101"/>
      <c r="E44" s="306"/>
      <c r="F44" s="310"/>
    </row>
    <row r="45" spans="1:6" ht="12.6" customHeight="1">
      <c r="A45" s="311"/>
      <c r="B45" s="312" t="s">
        <v>97</v>
      </c>
      <c r="C45" s="1102"/>
      <c r="D45" s="1102"/>
      <c r="E45" s="306"/>
      <c r="F45" s="472" t="s">
        <v>456</v>
      </c>
    </row>
    <row r="46" spans="1:6" ht="12.6" customHeight="1">
      <c r="A46" s="311"/>
      <c r="B46" s="314" t="s">
        <v>263</v>
      </c>
      <c r="C46" s="1102"/>
      <c r="D46" s="1102"/>
      <c r="E46" s="306"/>
      <c r="F46" s="473" t="s">
        <v>457</v>
      </c>
    </row>
    <row r="47" spans="1:6" ht="12.6" customHeight="1">
      <c r="A47" s="311"/>
      <c r="B47" s="315" t="s">
        <v>252</v>
      </c>
      <c r="C47" s="1102">
        <v>12000</v>
      </c>
      <c r="D47" s="1102">
        <f>12000+9360</f>
        <v>21360</v>
      </c>
      <c r="E47" s="909">
        <f t="shared" si="3"/>
        <v>1.78</v>
      </c>
      <c r="F47" s="490"/>
    </row>
    <row r="48" spans="1:6" ht="12.6" customHeight="1">
      <c r="A48" s="311"/>
      <c r="B48" s="316" t="s">
        <v>102</v>
      </c>
      <c r="C48" s="1102"/>
      <c r="D48" s="1102"/>
      <c r="E48" s="306"/>
      <c r="F48" s="313"/>
    </row>
    <row r="49" spans="1:6" ht="12.6" customHeight="1">
      <c r="A49" s="311"/>
      <c r="B49" s="316" t="s">
        <v>259</v>
      </c>
      <c r="C49" s="1101"/>
      <c r="D49" s="1101"/>
      <c r="E49" s="306"/>
      <c r="F49" s="490"/>
    </row>
    <row r="50" spans="1:6" ht="12.6" customHeight="1">
      <c r="A50" s="311"/>
      <c r="B50" s="316" t="s">
        <v>505</v>
      </c>
      <c r="C50" s="1105"/>
      <c r="D50" s="1105"/>
      <c r="E50" s="306"/>
      <c r="F50" s="491"/>
    </row>
    <row r="51" spans="1:6" ht="12.6" customHeight="1" thickBot="1">
      <c r="A51" s="311"/>
      <c r="B51" s="317" t="s">
        <v>220</v>
      </c>
      <c r="C51" s="1106"/>
      <c r="D51" s="1106">
        <v>2572</v>
      </c>
      <c r="E51" s="912">
        <v>1</v>
      </c>
      <c r="F51" s="318"/>
    </row>
    <row r="52" spans="1:6" ht="12.6" customHeight="1" thickBot="1">
      <c r="A52" s="319"/>
      <c r="B52" s="320" t="s">
        <v>113</v>
      </c>
      <c r="C52" s="1104">
        <f aca="true" t="shared" si="10" ref="C52">SUM(C47:C51)</f>
        <v>12000</v>
      </c>
      <c r="D52" s="1104">
        <f aca="true" t="shared" si="11" ref="D52">SUM(D47:D51)</f>
        <v>23932</v>
      </c>
      <c r="E52" s="908">
        <f t="shared" si="3"/>
        <v>1.9943333333333333</v>
      </c>
      <c r="F52" s="321"/>
    </row>
    <row r="53" spans="1:6" ht="12.6" customHeight="1">
      <c r="A53" s="308">
        <v>3059</v>
      </c>
      <c r="B53" s="507" t="s">
        <v>1289</v>
      </c>
      <c r="C53" s="1101"/>
      <c r="D53" s="1101"/>
      <c r="E53" s="306"/>
      <c r="F53" s="310"/>
    </row>
    <row r="54" spans="1:6" ht="12.6" customHeight="1">
      <c r="A54" s="311"/>
      <c r="B54" s="312" t="s">
        <v>97</v>
      </c>
      <c r="C54" s="1102"/>
      <c r="D54" s="1102"/>
      <c r="E54" s="306"/>
      <c r="F54" s="472" t="s">
        <v>456</v>
      </c>
    </row>
    <row r="55" spans="1:6" ht="12.6" customHeight="1">
      <c r="A55" s="311"/>
      <c r="B55" s="314" t="s">
        <v>263</v>
      </c>
      <c r="C55" s="1102"/>
      <c r="D55" s="1102"/>
      <c r="E55" s="306"/>
      <c r="F55" s="473" t="s">
        <v>457</v>
      </c>
    </row>
    <row r="56" spans="1:6" ht="12.6" customHeight="1">
      <c r="A56" s="311"/>
      <c r="B56" s="315" t="s">
        <v>252</v>
      </c>
      <c r="C56" s="1102">
        <v>50000</v>
      </c>
      <c r="D56" s="1102">
        <v>50000</v>
      </c>
      <c r="E56" s="909">
        <f t="shared" si="3"/>
        <v>1</v>
      </c>
      <c r="F56" s="490"/>
    </row>
    <row r="57" spans="1:6" ht="12.6" customHeight="1">
      <c r="A57" s="311"/>
      <c r="B57" s="316" t="s">
        <v>102</v>
      </c>
      <c r="C57" s="1102"/>
      <c r="D57" s="1102"/>
      <c r="E57" s="306"/>
      <c r="F57" s="313"/>
    </row>
    <row r="58" spans="1:6" ht="12.6" customHeight="1">
      <c r="A58" s="311"/>
      <c r="B58" s="316" t="s">
        <v>259</v>
      </c>
      <c r="C58" s="1101"/>
      <c r="D58" s="1101"/>
      <c r="E58" s="306"/>
      <c r="F58" s="490"/>
    </row>
    <row r="59" spans="1:6" ht="12.6" customHeight="1">
      <c r="A59" s="311"/>
      <c r="B59" s="316" t="s">
        <v>505</v>
      </c>
      <c r="C59" s="1105"/>
      <c r="D59" s="1105"/>
      <c r="E59" s="306"/>
      <c r="F59" s="491"/>
    </row>
    <row r="60" spans="1:6" ht="12.6" customHeight="1" thickBot="1">
      <c r="A60" s="311"/>
      <c r="B60" s="317" t="s">
        <v>220</v>
      </c>
      <c r="C60" s="1106"/>
      <c r="D60" s="1106"/>
      <c r="E60" s="907"/>
      <c r="F60" s="318"/>
    </row>
    <row r="61" spans="1:6" ht="12.6" customHeight="1" thickBot="1">
      <c r="A61" s="319"/>
      <c r="B61" s="320" t="s">
        <v>113</v>
      </c>
      <c r="C61" s="1104">
        <f aca="true" t="shared" si="12" ref="C61">SUM(C56:C60)</f>
        <v>50000</v>
      </c>
      <c r="D61" s="1104">
        <f aca="true" t="shared" si="13" ref="D61">SUM(D56:D60)</f>
        <v>50000</v>
      </c>
      <c r="E61" s="908">
        <f t="shared" si="3"/>
        <v>1</v>
      </c>
      <c r="F61" s="321"/>
    </row>
    <row r="62" spans="1:6" ht="12.75">
      <c r="A62" s="308">
        <v>3060</v>
      </c>
      <c r="B62" s="322" t="s">
        <v>68</v>
      </c>
      <c r="C62" s="1101">
        <f aca="true" t="shared" si="14" ref="C62">SUM(C70+C78)</f>
        <v>17000</v>
      </c>
      <c r="D62" s="1101">
        <f aca="true" t="shared" si="15" ref="D62">SUM(D70+D78)</f>
        <v>28379</v>
      </c>
      <c r="E62" s="306">
        <f t="shared" si="3"/>
        <v>1.6693529411764705</v>
      </c>
      <c r="F62" s="310"/>
    </row>
    <row r="63" spans="1:6" ht="12" customHeight="1">
      <c r="A63" s="308">
        <v>3061</v>
      </c>
      <c r="B63" s="323" t="s">
        <v>103</v>
      </c>
      <c r="C63" s="1101"/>
      <c r="D63" s="1101"/>
      <c r="E63" s="306"/>
      <c r="F63" s="492"/>
    </row>
    <row r="64" spans="1:6" ht="12" customHeight="1">
      <c r="A64" s="311"/>
      <c r="B64" s="312" t="s">
        <v>97</v>
      </c>
      <c r="C64" s="1102"/>
      <c r="D64" s="1102"/>
      <c r="E64" s="306"/>
      <c r="F64" s="324"/>
    </row>
    <row r="65" spans="1:6" ht="12" customHeight="1">
      <c r="A65" s="311"/>
      <c r="B65" s="314" t="s">
        <v>263</v>
      </c>
      <c r="C65" s="1102"/>
      <c r="D65" s="1102"/>
      <c r="E65" s="909"/>
      <c r="F65" s="606" t="s">
        <v>480</v>
      </c>
    </row>
    <row r="66" spans="1:6" ht="12" customHeight="1">
      <c r="A66" s="325"/>
      <c r="B66" s="315" t="s">
        <v>252</v>
      </c>
      <c r="C66" s="1102">
        <v>2000</v>
      </c>
      <c r="D66" s="1102">
        <v>2000</v>
      </c>
      <c r="E66" s="909">
        <f t="shared" si="3"/>
        <v>1</v>
      </c>
      <c r="F66" s="313"/>
    </row>
    <row r="67" spans="1:6" ht="12" customHeight="1">
      <c r="A67" s="325"/>
      <c r="B67" s="316" t="s">
        <v>102</v>
      </c>
      <c r="C67" s="1102"/>
      <c r="D67" s="1102"/>
      <c r="E67" s="306"/>
      <c r="F67" s="492" t="s">
        <v>497</v>
      </c>
    </row>
    <row r="68" spans="1:6" ht="12.75">
      <c r="A68" s="325"/>
      <c r="B68" s="316" t="s">
        <v>259</v>
      </c>
      <c r="C68" s="1102"/>
      <c r="D68" s="1102"/>
      <c r="E68" s="306"/>
      <c r="F68" s="492"/>
    </row>
    <row r="69" spans="1:6" ht="12.75" thickBot="1">
      <c r="A69" s="325" t="s">
        <v>248</v>
      </c>
      <c r="B69" s="317" t="s">
        <v>70</v>
      </c>
      <c r="C69" s="1106"/>
      <c r="D69" s="1106"/>
      <c r="E69" s="907"/>
      <c r="F69" s="326"/>
    </row>
    <row r="70" spans="1:6" ht="12.75" thickBot="1">
      <c r="A70" s="327"/>
      <c r="B70" s="320" t="s">
        <v>113</v>
      </c>
      <c r="C70" s="1104">
        <f aca="true" t="shared" si="16" ref="C70">SUM(C64:C69)</f>
        <v>2000</v>
      </c>
      <c r="D70" s="1104">
        <f aca="true" t="shared" si="17" ref="D70">SUM(D64:D69)</f>
        <v>2000</v>
      </c>
      <c r="E70" s="908">
        <f t="shared" si="3"/>
        <v>1</v>
      </c>
      <c r="F70" s="328"/>
    </row>
    <row r="71" spans="1:6" ht="12.75">
      <c r="A71" s="329">
        <v>3071</v>
      </c>
      <c r="B71" s="309" t="s">
        <v>116</v>
      </c>
      <c r="C71" s="1101"/>
      <c r="D71" s="1101"/>
      <c r="E71" s="306"/>
      <c r="F71" s="472" t="s">
        <v>456</v>
      </c>
    </row>
    <row r="72" spans="1:6" ht="12" customHeight="1">
      <c r="A72" s="325"/>
      <c r="B72" s="312" t="s">
        <v>97</v>
      </c>
      <c r="C72" s="1102"/>
      <c r="D72" s="1102"/>
      <c r="E72" s="306"/>
      <c r="F72" s="473" t="s">
        <v>457</v>
      </c>
    </row>
    <row r="73" spans="1:6" ht="12" customHeight="1">
      <c r="A73" s="311"/>
      <c r="B73" s="314" t="s">
        <v>263</v>
      </c>
      <c r="C73" s="1102"/>
      <c r="D73" s="1102"/>
      <c r="E73" s="306"/>
      <c r="F73" s="313"/>
    </row>
    <row r="74" spans="1:6" ht="12" customHeight="1">
      <c r="A74" s="311"/>
      <c r="B74" s="315" t="s">
        <v>252</v>
      </c>
      <c r="C74" s="1102">
        <v>15000</v>
      </c>
      <c r="D74" s="1102">
        <f>15000+1379+10000</f>
        <v>26379</v>
      </c>
      <c r="E74" s="909">
        <f t="shared" si="3"/>
        <v>1.7586</v>
      </c>
      <c r="F74" s="474"/>
    </row>
    <row r="75" spans="1:6" ht="12" customHeight="1">
      <c r="A75" s="311"/>
      <c r="B75" s="316" t="s">
        <v>102</v>
      </c>
      <c r="C75" s="1102"/>
      <c r="D75" s="1102"/>
      <c r="E75" s="306"/>
      <c r="F75" s="474"/>
    </row>
    <row r="76" spans="1:6" ht="12" customHeight="1">
      <c r="A76" s="311"/>
      <c r="B76" s="316" t="s">
        <v>259</v>
      </c>
      <c r="C76" s="1102"/>
      <c r="D76" s="1102"/>
      <c r="E76" s="306"/>
      <c r="F76" s="313"/>
    </row>
    <row r="77" spans="1:6" ht="12" customHeight="1" thickBot="1">
      <c r="A77" s="311"/>
      <c r="B77" s="317" t="s">
        <v>70</v>
      </c>
      <c r="C77" s="1106"/>
      <c r="D77" s="1106"/>
      <c r="E77" s="907"/>
      <c r="F77" s="367"/>
    </row>
    <row r="78" spans="1:6" ht="12" customHeight="1" thickBot="1">
      <c r="A78" s="334"/>
      <c r="B78" s="320" t="s">
        <v>113</v>
      </c>
      <c r="C78" s="1104">
        <f aca="true" t="shared" si="18" ref="C78">SUM(C74:C77)</f>
        <v>15000</v>
      </c>
      <c r="D78" s="1104">
        <f aca="true" t="shared" si="19" ref="D78">SUM(D74:D77)</f>
        <v>26379</v>
      </c>
      <c r="E78" s="908">
        <f t="shared" si="3"/>
        <v>1.7586</v>
      </c>
      <c r="F78" s="475"/>
    </row>
    <row r="79" spans="1:6" ht="12.75" hidden="1">
      <c r="A79" s="329">
        <v>3072</v>
      </c>
      <c r="B79" s="309" t="s">
        <v>506</v>
      </c>
      <c r="C79" s="1101"/>
      <c r="D79" s="1101"/>
      <c r="E79" s="306" t="e">
        <f t="shared" si="3"/>
        <v>#DIV/0!</v>
      </c>
      <c r="F79" s="472" t="s">
        <v>456</v>
      </c>
    </row>
    <row r="80" spans="1:6" ht="12.75" hidden="1">
      <c r="A80" s="325"/>
      <c r="B80" s="312" t="s">
        <v>97</v>
      </c>
      <c r="C80" s="1102"/>
      <c r="D80" s="1102"/>
      <c r="E80" s="306" t="e">
        <f t="shared" si="3"/>
        <v>#DIV/0!</v>
      </c>
      <c r="F80" s="473" t="s">
        <v>457</v>
      </c>
    </row>
    <row r="81" spans="1:6" ht="12.75" hidden="1">
      <c r="A81" s="311"/>
      <c r="B81" s="314" t="s">
        <v>263</v>
      </c>
      <c r="C81" s="1102"/>
      <c r="D81" s="1102"/>
      <c r="E81" s="306" t="e">
        <f t="shared" si="3"/>
        <v>#DIV/0!</v>
      </c>
      <c r="F81" s="313"/>
    </row>
    <row r="82" spans="1:6" ht="12.75" hidden="1">
      <c r="A82" s="311"/>
      <c r="B82" s="315" t="s">
        <v>252</v>
      </c>
      <c r="C82" s="1102"/>
      <c r="D82" s="1102"/>
      <c r="E82" s="306" t="e">
        <f t="shared" si="3"/>
        <v>#DIV/0!</v>
      </c>
      <c r="F82" s="474"/>
    </row>
    <row r="83" spans="1:6" ht="12.75" hidden="1">
      <c r="A83" s="311"/>
      <c r="B83" s="316" t="s">
        <v>102</v>
      </c>
      <c r="C83" s="1102"/>
      <c r="D83" s="1102"/>
      <c r="E83" s="306" t="e">
        <f t="shared" si="3"/>
        <v>#DIV/0!</v>
      </c>
      <c r="F83" s="474"/>
    </row>
    <row r="84" spans="1:6" ht="12.75" hidden="1">
      <c r="A84" s="311"/>
      <c r="B84" s="316" t="s">
        <v>259</v>
      </c>
      <c r="C84" s="1102"/>
      <c r="D84" s="1102"/>
      <c r="E84" s="306" t="e">
        <f t="shared" si="3"/>
        <v>#DIV/0!</v>
      </c>
      <c r="F84" s="313"/>
    </row>
    <row r="85" spans="1:6" ht="12.75" hidden="1" thickBot="1">
      <c r="A85" s="311"/>
      <c r="B85" s="317" t="s">
        <v>70</v>
      </c>
      <c r="C85" s="1106"/>
      <c r="D85" s="1106"/>
      <c r="E85" s="306" t="e">
        <f aca="true" t="shared" si="20" ref="E85:E148">SUM(D85/C85)</f>
        <v>#DIV/0!</v>
      </c>
      <c r="F85" s="367"/>
    </row>
    <row r="86" spans="1:6" ht="12.75" hidden="1" thickBot="1">
      <c r="A86" s="334"/>
      <c r="B86" s="320" t="s">
        <v>113</v>
      </c>
      <c r="C86" s="1104"/>
      <c r="D86" s="1104"/>
      <c r="E86" s="306" t="e">
        <f t="shared" si="20"/>
        <v>#DIV/0!</v>
      </c>
      <c r="F86" s="475"/>
    </row>
    <row r="87" spans="1:6" ht="12.75">
      <c r="A87" s="329">
        <v>3080</v>
      </c>
      <c r="B87" s="336" t="s">
        <v>71</v>
      </c>
      <c r="C87" s="1101">
        <f aca="true" t="shared" si="21" ref="C87">SUM(C95)</f>
        <v>23000</v>
      </c>
      <c r="D87" s="1101">
        <f aca="true" t="shared" si="22" ref="D87">SUM(D95)</f>
        <v>27818</v>
      </c>
      <c r="E87" s="306">
        <f t="shared" si="20"/>
        <v>1.2094782608695651</v>
      </c>
      <c r="F87" s="472"/>
    </row>
    <row r="88" spans="1:6" ht="12" customHeight="1">
      <c r="A88" s="329">
        <v>3081</v>
      </c>
      <c r="B88" s="323" t="s">
        <v>120</v>
      </c>
      <c r="C88" s="1101"/>
      <c r="D88" s="1101"/>
      <c r="E88" s="306"/>
      <c r="F88" s="493"/>
    </row>
    <row r="89" spans="1:6" ht="12" customHeight="1">
      <c r="A89" s="325"/>
      <c r="B89" s="312" t="s">
        <v>97</v>
      </c>
      <c r="C89" s="1102"/>
      <c r="D89" s="1102"/>
      <c r="E89" s="306"/>
      <c r="F89" s="490"/>
    </row>
    <row r="90" spans="1:6" ht="12" customHeight="1">
      <c r="A90" s="325"/>
      <c r="B90" s="314" t="s">
        <v>263</v>
      </c>
      <c r="C90" s="1102"/>
      <c r="D90" s="1102"/>
      <c r="E90" s="306"/>
      <c r="F90" s="491"/>
    </row>
    <row r="91" spans="1:6" ht="12" customHeight="1">
      <c r="A91" s="325"/>
      <c r="B91" s="315" t="s">
        <v>252</v>
      </c>
      <c r="C91" s="1102">
        <v>10000</v>
      </c>
      <c r="D91" s="1102">
        <f>10000+2847</f>
        <v>12847</v>
      </c>
      <c r="E91" s="910">
        <f t="shared" si="20"/>
        <v>1.2847</v>
      </c>
      <c r="F91" s="490"/>
    </row>
    <row r="92" spans="1:6" ht="12" customHeight="1">
      <c r="A92" s="325"/>
      <c r="B92" s="315" t="s">
        <v>69</v>
      </c>
      <c r="C92" s="1102">
        <v>13000</v>
      </c>
      <c r="D92" s="1102">
        <f>13000+1971</f>
        <v>14971</v>
      </c>
      <c r="E92" s="909">
        <f t="shared" si="20"/>
        <v>1.1516153846153847</v>
      </c>
      <c r="F92" s="491"/>
    </row>
    <row r="93" spans="1:6" ht="12" customHeight="1">
      <c r="A93" s="325"/>
      <c r="B93" s="316" t="s">
        <v>259</v>
      </c>
      <c r="C93" s="1102"/>
      <c r="D93" s="1102"/>
      <c r="E93" s="909"/>
      <c r="F93" s="473"/>
    </row>
    <row r="94" spans="1:6" ht="12" customHeight="1" thickBot="1">
      <c r="A94" s="311"/>
      <c r="B94" s="317" t="s">
        <v>70</v>
      </c>
      <c r="C94" s="1106"/>
      <c r="D94" s="1106"/>
      <c r="E94" s="911"/>
      <c r="F94" s="367"/>
    </row>
    <row r="95" spans="1:6" ht="12" customHeight="1" thickBot="1">
      <c r="A95" s="334"/>
      <c r="B95" s="320" t="s">
        <v>113</v>
      </c>
      <c r="C95" s="1104">
        <f aca="true" t="shared" si="23" ref="C95">SUM(C89:C94)</f>
        <v>23000</v>
      </c>
      <c r="D95" s="1104">
        <f aca="true" t="shared" si="24" ref="D95">SUM(D89:D94)</f>
        <v>27818</v>
      </c>
      <c r="E95" s="908">
        <f t="shared" si="20"/>
        <v>1.2094782608695651</v>
      </c>
      <c r="F95" s="335"/>
    </row>
    <row r="96" spans="1:6" ht="12" customHeight="1" thickBot="1">
      <c r="A96" s="338">
        <v>3130</v>
      </c>
      <c r="B96" s="339" t="s">
        <v>320</v>
      </c>
      <c r="C96" s="1104">
        <f>SUM(C97+C140)</f>
        <v>235401</v>
      </c>
      <c r="D96" s="1104">
        <f>SUM(D97+D140)</f>
        <v>559118</v>
      </c>
      <c r="E96" s="908">
        <f t="shared" si="20"/>
        <v>2.3751725778565085</v>
      </c>
      <c r="F96" s="335"/>
    </row>
    <row r="97" spans="1:6" ht="12" customHeight="1" thickBot="1">
      <c r="A97" s="329">
        <v>3110</v>
      </c>
      <c r="B97" s="339" t="s">
        <v>318</v>
      </c>
      <c r="C97" s="1104">
        <f aca="true" t="shared" si="25" ref="C97">SUM(C105+C123+C131+C113+C139)</f>
        <v>216401</v>
      </c>
      <c r="D97" s="1104">
        <f aca="true" t="shared" si="26" ref="D97">SUM(D105+D123+D131+D113+D139)</f>
        <v>531206</v>
      </c>
      <c r="E97" s="908">
        <f t="shared" si="20"/>
        <v>2.454729876479314</v>
      </c>
      <c r="F97" s="335"/>
    </row>
    <row r="98" spans="1:6" ht="12" customHeight="1">
      <c r="A98" s="340">
        <v>3111</v>
      </c>
      <c r="B98" s="341" t="s">
        <v>135</v>
      </c>
      <c r="C98" s="1101"/>
      <c r="D98" s="1101"/>
      <c r="E98" s="306"/>
      <c r="F98" s="276" t="s">
        <v>458</v>
      </c>
    </row>
    <row r="99" spans="1:6" ht="12" customHeight="1">
      <c r="A99" s="311"/>
      <c r="B99" s="312" t="s">
        <v>97</v>
      </c>
      <c r="C99" s="1102"/>
      <c r="D99" s="1102"/>
      <c r="E99" s="306"/>
      <c r="F99" s="331"/>
    </row>
    <row r="100" spans="1:6" ht="12" customHeight="1">
      <c r="A100" s="311"/>
      <c r="B100" s="314" t="s">
        <v>263</v>
      </c>
      <c r="C100" s="1102"/>
      <c r="D100" s="1102"/>
      <c r="E100" s="306"/>
      <c r="F100" s="331"/>
    </row>
    <row r="101" spans="1:6" ht="12" customHeight="1">
      <c r="A101" s="311"/>
      <c r="B101" s="315" t="s">
        <v>252</v>
      </c>
      <c r="C101" s="1102"/>
      <c r="D101" s="1102"/>
      <c r="E101" s="306"/>
      <c r="F101" s="331"/>
    </row>
    <row r="102" spans="1:6" ht="12" customHeight="1">
      <c r="A102" s="311"/>
      <c r="B102" s="316" t="s">
        <v>102</v>
      </c>
      <c r="C102" s="1102"/>
      <c r="D102" s="1102"/>
      <c r="E102" s="306"/>
      <c r="F102" s="437"/>
    </row>
    <row r="103" spans="1:6" ht="12" customHeight="1">
      <c r="A103" s="311"/>
      <c r="B103" s="316" t="s">
        <v>259</v>
      </c>
      <c r="C103" s="1102"/>
      <c r="D103" s="1102"/>
      <c r="E103" s="306"/>
      <c r="F103" s="331"/>
    </row>
    <row r="104" spans="1:6" ht="12" customHeight="1" thickBot="1">
      <c r="A104" s="311"/>
      <c r="B104" s="317" t="s">
        <v>240</v>
      </c>
      <c r="C104" s="1106">
        <v>100000</v>
      </c>
      <c r="D104" s="1106">
        <f>100000+109844+150000</f>
        <v>359844</v>
      </c>
      <c r="E104" s="912">
        <f t="shared" si="20"/>
        <v>3.59844</v>
      </c>
      <c r="F104" s="331"/>
    </row>
    <row r="105" spans="1:6" ht="12" customHeight="1" thickBot="1">
      <c r="A105" s="334"/>
      <c r="B105" s="320" t="s">
        <v>113</v>
      </c>
      <c r="C105" s="1104">
        <f aca="true" t="shared" si="27" ref="C105">SUM(C99:C104)</f>
        <v>100000</v>
      </c>
      <c r="D105" s="1104">
        <f aca="true" t="shared" si="28" ref="D105">SUM(D99:D104)</f>
        <v>359844</v>
      </c>
      <c r="E105" s="908">
        <f t="shared" si="20"/>
        <v>3.59844</v>
      </c>
      <c r="F105" s="335"/>
    </row>
    <row r="106" spans="1:6" ht="12" customHeight="1">
      <c r="A106" s="340">
        <v>3112</v>
      </c>
      <c r="B106" s="341" t="s">
        <v>360</v>
      </c>
      <c r="C106" s="1101"/>
      <c r="D106" s="1101"/>
      <c r="E106" s="306"/>
      <c r="F106" s="276"/>
    </row>
    <row r="107" spans="1:6" ht="12" customHeight="1">
      <c r="A107" s="311"/>
      <c r="B107" s="312" t="s">
        <v>97</v>
      </c>
      <c r="C107" s="1102"/>
      <c r="D107" s="1102"/>
      <c r="E107" s="306"/>
      <c r="F107" s="331"/>
    </row>
    <row r="108" spans="1:6" ht="12" customHeight="1">
      <c r="A108" s="311"/>
      <c r="B108" s="314" t="s">
        <v>263</v>
      </c>
      <c r="C108" s="1102"/>
      <c r="D108" s="1102"/>
      <c r="E108" s="306"/>
      <c r="F108" s="331"/>
    </row>
    <row r="109" spans="1:6" ht="12" customHeight="1">
      <c r="A109" s="311"/>
      <c r="B109" s="315" t="s">
        <v>252</v>
      </c>
      <c r="C109" s="1102">
        <v>20000</v>
      </c>
      <c r="D109" s="1102">
        <f>20000+27149</f>
        <v>47149</v>
      </c>
      <c r="E109" s="909">
        <f t="shared" si="20"/>
        <v>2.35745</v>
      </c>
      <c r="F109" s="560" t="s">
        <v>485</v>
      </c>
    </row>
    <row r="110" spans="1:6" ht="12" customHeight="1">
      <c r="A110" s="311"/>
      <c r="B110" s="316" t="s">
        <v>102</v>
      </c>
      <c r="C110" s="1102"/>
      <c r="D110" s="1102"/>
      <c r="E110" s="306"/>
      <c r="F110" s="560" t="s">
        <v>494</v>
      </c>
    </row>
    <row r="111" spans="1:6" ht="12" customHeight="1">
      <c r="A111" s="311"/>
      <c r="B111" s="316" t="s">
        <v>259</v>
      </c>
      <c r="C111" s="1102"/>
      <c r="D111" s="1102"/>
      <c r="E111" s="306"/>
      <c r="F111" s="331"/>
    </row>
    <row r="112" spans="1:6" ht="12" customHeight="1" thickBot="1">
      <c r="A112" s="311"/>
      <c r="B112" s="317" t="s">
        <v>16</v>
      </c>
      <c r="C112" s="1106">
        <v>20000</v>
      </c>
      <c r="D112" s="1106">
        <v>20000</v>
      </c>
      <c r="E112" s="912">
        <f t="shared" si="20"/>
        <v>1</v>
      </c>
      <c r="F112" s="331"/>
    </row>
    <row r="113" spans="1:6" ht="12" customHeight="1" thickBot="1">
      <c r="A113" s="334"/>
      <c r="B113" s="320" t="s">
        <v>113</v>
      </c>
      <c r="C113" s="1104">
        <f aca="true" t="shared" si="29" ref="C113">SUM(C107:C112)</f>
        <v>40000</v>
      </c>
      <c r="D113" s="1104">
        <f aca="true" t="shared" si="30" ref="D113">SUM(D107:D112)</f>
        <v>67149</v>
      </c>
      <c r="E113" s="908">
        <f t="shared" si="20"/>
        <v>1.678725</v>
      </c>
      <c r="F113" s="335"/>
    </row>
    <row r="114" spans="1:6" ht="12" customHeight="1">
      <c r="A114" s="270">
        <v>3114</v>
      </c>
      <c r="B114" s="342" t="s">
        <v>105</v>
      </c>
      <c r="C114" s="278"/>
      <c r="D114" s="278"/>
      <c r="E114" s="306"/>
      <c r="F114" s="343"/>
    </row>
    <row r="115" spans="1:6" ht="12" customHeight="1">
      <c r="A115" s="215"/>
      <c r="B115" s="282" t="s">
        <v>97</v>
      </c>
      <c r="C115" s="221"/>
      <c r="D115" s="221"/>
      <c r="E115" s="306"/>
      <c r="F115" s="331"/>
    </row>
    <row r="116" spans="1:6" ht="12" customHeight="1">
      <c r="A116" s="215"/>
      <c r="B116" s="154" t="s">
        <v>263</v>
      </c>
      <c r="C116" s="221"/>
      <c r="D116" s="221"/>
      <c r="E116" s="306"/>
      <c r="F116" s="444"/>
    </row>
    <row r="117" spans="1:6" ht="12" customHeight="1">
      <c r="A117" s="215"/>
      <c r="B117" s="283" t="s">
        <v>252</v>
      </c>
      <c r="C117" s="221">
        <v>55000</v>
      </c>
      <c r="D117" s="221">
        <f>55000+5700</f>
        <v>60700</v>
      </c>
      <c r="E117" s="909">
        <f t="shared" si="20"/>
        <v>1.1036363636363635</v>
      </c>
      <c r="F117" s="610" t="s">
        <v>491</v>
      </c>
    </row>
    <row r="118" spans="1:6" ht="12" customHeight="1">
      <c r="A118" s="215"/>
      <c r="B118" s="222" t="s">
        <v>102</v>
      </c>
      <c r="C118" s="221"/>
      <c r="D118" s="221"/>
      <c r="E118" s="306"/>
      <c r="F118" s="324"/>
    </row>
    <row r="119" spans="1:6" ht="12" customHeight="1">
      <c r="A119" s="215"/>
      <c r="B119" s="222" t="s">
        <v>259</v>
      </c>
      <c r="C119" s="221"/>
      <c r="D119" s="221"/>
      <c r="E119" s="306"/>
      <c r="F119" s="444"/>
    </row>
    <row r="120" spans="1:6" ht="12" customHeight="1">
      <c r="A120" s="215"/>
      <c r="B120" s="317" t="s">
        <v>222</v>
      </c>
      <c r="C120" s="221"/>
      <c r="D120" s="221">
        <v>20011</v>
      </c>
      <c r="E120" s="306"/>
      <c r="F120" s="332"/>
    </row>
    <row r="121" spans="1:6" ht="12" customHeight="1">
      <c r="A121" s="215"/>
      <c r="B121" s="546" t="s">
        <v>443</v>
      </c>
      <c r="C121" s="221"/>
      <c r="D121" s="221"/>
      <c r="E121" s="306"/>
      <c r="F121" s="313"/>
    </row>
    <row r="122" spans="1:6" ht="12" customHeight="1" thickBot="1">
      <c r="A122" s="215"/>
      <c r="B122" s="509" t="s">
        <v>16</v>
      </c>
      <c r="C122" s="1107"/>
      <c r="D122" s="1107"/>
      <c r="E122" s="907"/>
      <c r="F122" s="510"/>
    </row>
    <row r="123" spans="1:6" ht="12" customHeight="1" thickBot="1">
      <c r="A123" s="289"/>
      <c r="B123" s="320" t="s">
        <v>113</v>
      </c>
      <c r="C123" s="1108">
        <f aca="true" t="shared" si="31" ref="C123">SUM(C115:C122)</f>
        <v>55000</v>
      </c>
      <c r="D123" s="1108">
        <f aca="true" t="shared" si="32" ref="D123">SUM(D115:D122)</f>
        <v>80711</v>
      </c>
      <c r="E123" s="908">
        <f t="shared" si="20"/>
        <v>1.4674727272727273</v>
      </c>
      <c r="F123" s="335"/>
    </row>
    <row r="124" spans="1:6" ht="12" customHeight="1">
      <c r="A124" s="270">
        <v>3115</v>
      </c>
      <c r="B124" s="342" t="s">
        <v>470</v>
      </c>
      <c r="C124" s="278"/>
      <c r="D124" s="278"/>
      <c r="E124" s="306"/>
      <c r="F124" s="343"/>
    </row>
    <row r="125" spans="1:6" ht="12" customHeight="1">
      <c r="A125" s="215"/>
      <c r="B125" s="282" t="s">
        <v>97</v>
      </c>
      <c r="C125" s="221"/>
      <c r="D125" s="221"/>
      <c r="E125" s="306"/>
      <c r="F125" s="331"/>
    </row>
    <row r="126" spans="1:6" ht="12" customHeight="1">
      <c r="A126" s="215"/>
      <c r="B126" s="154" t="s">
        <v>263</v>
      </c>
      <c r="C126" s="221"/>
      <c r="D126" s="221"/>
      <c r="E126" s="910"/>
      <c r="F126" s="606" t="s">
        <v>453</v>
      </c>
    </row>
    <row r="127" spans="1:6" ht="12" customHeight="1">
      <c r="A127" s="215"/>
      <c r="B127" s="283" t="s">
        <v>252</v>
      </c>
      <c r="C127" s="221">
        <v>15000</v>
      </c>
      <c r="D127" s="221">
        <f>15000+1034</f>
        <v>16034</v>
      </c>
      <c r="E127" s="909">
        <f t="shared" si="20"/>
        <v>1.0689333333333333</v>
      </c>
      <c r="F127" s="490" t="s">
        <v>479</v>
      </c>
    </row>
    <row r="128" spans="1:6" ht="12" customHeight="1">
      <c r="A128" s="215"/>
      <c r="B128" s="222" t="s">
        <v>102</v>
      </c>
      <c r="C128" s="221"/>
      <c r="D128" s="221"/>
      <c r="E128" s="909"/>
      <c r="F128" s="324"/>
    </row>
    <row r="129" spans="1:6" ht="12" customHeight="1">
      <c r="A129" s="215"/>
      <c r="B129" s="222" t="s">
        <v>259</v>
      </c>
      <c r="C129" s="221"/>
      <c r="D129" s="221"/>
      <c r="E129" s="909"/>
      <c r="F129" s="313"/>
    </row>
    <row r="130" spans="1:6" ht="12" customHeight="1" thickBot="1">
      <c r="A130" s="281"/>
      <c r="B130" s="358" t="s">
        <v>70</v>
      </c>
      <c r="C130" s="1081"/>
      <c r="D130" s="1081"/>
      <c r="E130" s="911"/>
      <c r="F130" s="332"/>
    </row>
    <row r="131" spans="1:6" ht="12" customHeight="1" thickBot="1">
      <c r="A131" s="289"/>
      <c r="B131" s="320" t="s">
        <v>113</v>
      </c>
      <c r="C131" s="1108">
        <f aca="true" t="shared" si="33" ref="C131">SUM(C126:C130)</f>
        <v>15000</v>
      </c>
      <c r="D131" s="1108">
        <f aca="true" t="shared" si="34" ref="D131">SUM(D126:D130)</f>
        <v>16034</v>
      </c>
      <c r="E131" s="908">
        <f t="shared" si="20"/>
        <v>1.0689333333333333</v>
      </c>
      <c r="F131" s="335"/>
    </row>
    <row r="132" spans="1:6" ht="12" customHeight="1">
      <c r="A132" s="270">
        <v>3116</v>
      </c>
      <c r="B132" s="342" t="s">
        <v>436</v>
      </c>
      <c r="C132" s="278"/>
      <c r="D132" s="278"/>
      <c r="E132" s="306"/>
      <c r="F132" s="343"/>
    </row>
    <row r="133" spans="1:6" ht="12" customHeight="1">
      <c r="A133" s="215"/>
      <c r="B133" s="282" t="s">
        <v>97</v>
      </c>
      <c r="C133" s="221"/>
      <c r="D133" s="221"/>
      <c r="E133" s="306"/>
      <c r="F133" s="331"/>
    </row>
    <row r="134" spans="1:6" ht="12" customHeight="1">
      <c r="A134" s="215"/>
      <c r="B134" s="154" t="s">
        <v>263</v>
      </c>
      <c r="C134" s="221"/>
      <c r="D134" s="221"/>
      <c r="E134" s="910"/>
      <c r="F134" s="560" t="s">
        <v>486</v>
      </c>
    </row>
    <row r="135" spans="1:6" ht="12" customHeight="1">
      <c r="A135" s="215"/>
      <c r="B135" s="283" t="s">
        <v>252</v>
      </c>
      <c r="C135" s="221">
        <v>6401</v>
      </c>
      <c r="D135" s="221">
        <f>6401+1067</f>
        <v>7468</v>
      </c>
      <c r="E135" s="909">
        <f t="shared" si="20"/>
        <v>1.1666927042649586</v>
      </c>
      <c r="F135" s="610" t="s">
        <v>491</v>
      </c>
    </row>
    <row r="136" spans="1:6" ht="12" customHeight="1">
      <c r="A136" s="215"/>
      <c r="B136" s="222" t="s">
        <v>102</v>
      </c>
      <c r="C136" s="221"/>
      <c r="D136" s="221"/>
      <c r="E136" s="909"/>
      <c r="F136" s="324"/>
    </row>
    <row r="137" spans="1:6" ht="12" customHeight="1">
      <c r="A137" s="215"/>
      <c r="B137" s="222" t="s">
        <v>259</v>
      </c>
      <c r="C137" s="221"/>
      <c r="D137" s="221"/>
      <c r="E137" s="909"/>
      <c r="F137" s="331"/>
    </row>
    <row r="138" spans="1:6" ht="12" customHeight="1" thickBot="1">
      <c r="A138" s="281"/>
      <c r="B138" s="358" t="s">
        <v>70</v>
      </c>
      <c r="C138" s="1081"/>
      <c r="D138" s="1081"/>
      <c r="E138" s="911"/>
      <c r="F138" s="332"/>
    </row>
    <row r="139" spans="1:6" ht="12" customHeight="1" thickBot="1">
      <c r="A139" s="289"/>
      <c r="B139" s="320" t="s">
        <v>113</v>
      </c>
      <c r="C139" s="1108">
        <f aca="true" t="shared" si="35" ref="C139">SUM(C134:C138)</f>
        <v>6401</v>
      </c>
      <c r="D139" s="1108">
        <f aca="true" t="shared" si="36" ref="D139">SUM(D134:D138)</f>
        <v>7468</v>
      </c>
      <c r="E139" s="908">
        <f t="shared" si="20"/>
        <v>1.1666927042649586</v>
      </c>
      <c r="F139" s="335"/>
    </row>
    <row r="140" spans="1:6" ht="12" customHeight="1" thickBot="1">
      <c r="A140" s="344">
        <v>3120</v>
      </c>
      <c r="B140" s="339" t="s">
        <v>321</v>
      </c>
      <c r="C140" s="1108">
        <f aca="true" t="shared" si="37" ref="C140">SUM(C148+C156+C164+C172)</f>
        <v>19000</v>
      </c>
      <c r="D140" s="1108">
        <f aca="true" t="shared" si="38" ref="D140">SUM(D148+D156+D164+D172)</f>
        <v>27912</v>
      </c>
      <c r="E140" s="908">
        <f t="shared" si="20"/>
        <v>1.4690526315789474</v>
      </c>
      <c r="F140" s="335"/>
    </row>
    <row r="141" spans="1:6" ht="12" customHeight="1">
      <c r="A141" s="68">
        <v>3121</v>
      </c>
      <c r="B141" s="345" t="s">
        <v>158</v>
      </c>
      <c r="C141" s="278"/>
      <c r="D141" s="278"/>
      <c r="E141" s="306"/>
      <c r="F141" s="330"/>
    </row>
    <row r="142" spans="1:6" ht="12" customHeight="1">
      <c r="A142" s="68"/>
      <c r="B142" s="282" t="s">
        <v>97</v>
      </c>
      <c r="C142" s="278"/>
      <c r="D142" s="278"/>
      <c r="E142" s="306"/>
      <c r="F142" s="307"/>
    </row>
    <row r="143" spans="1:6" ht="12" customHeight="1">
      <c r="A143" s="68"/>
      <c r="B143" s="154" t="s">
        <v>263</v>
      </c>
      <c r="C143" s="278"/>
      <c r="D143" s="278"/>
      <c r="E143" s="306"/>
      <c r="F143" s="438" t="s">
        <v>482</v>
      </c>
    </row>
    <row r="144" spans="1:6" ht="12" customHeight="1">
      <c r="A144" s="270"/>
      <c r="B144" s="283" t="s">
        <v>252</v>
      </c>
      <c r="C144" s="1109">
        <v>4000</v>
      </c>
      <c r="D144" s="1109">
        <f>4000+2294</f>
        <v>6294</v>
      </c>
      <c r="E144" s="910">
        <f t="shared" si="20"/>
        <v>1.5735</v>
      </c>
      <c r="F144" s="438" t="s">
        <v>483</v>
      </c>
    </row>
    <row r="145" spans="1:6" ht="12" customHeight="1">
      <c r="A145" s="270"/>
      <c r="B145" s="222" t="s">
        <v>259</v>
      </c>
      <c r="C145" s="1109"/>
      <c r="D145" s="1109"/>
      <c r="E145" s="909"/>
      <c r="F145" s="346"/>
    </row>
    <row r="146" spans="1:6" ht="12" customHeight="1">
      <c r="A146" s="68"/>
      <c r="B146" s="222" t="s">
        <v>259</v>
      </c>
      <c r="C146" s="278"/>
      <c r="D146" s="278"/>
      <c r="E146" s="909"/>
      <c r="F146" s="313"/>
    </row>
    <row r="147" spans="1:6" ht="12" customHeight="1" thickBot="1">
      <c r="A147" s="68"/>
      <c r="B147" s="317" t="s">
        <v>70</v>
      </c>
      <c r="C147" s="1110"/>
      <c r="D147" s="1110"/>
      <c r="E147" s="911"/>
      <c r="F147" s="302"/>
    </row>
    <row r="148" spans="1:6" ht="12.6" customHeight="1" thickBot="1">
      <c r="A148" s="289"/>
      <c r="B148" s="320" t="s">
        <v>113</v>
      </c>
      <c r="C148" s="1108">
        <f aca="true" t="shared" si="39" ref="C148">SUM(C144:C147)</f>
        <v>4000</v>
      </c>
      <c r="D148" s="1108">
        <f aca="true" t="shared" si="40" ref="D148">SUM(D144:D147)</f>
        <v>6294</v>
      </c>
      <c r="E148" s="908">
        <f t="shared" si="20"/>
        <v>1.5735</v>
      </c>
      <c r="F148" s="335"/>
    </row>
    <row r="149" spans="1:6" ht="12" customHeight="1">
      <c r="A149" s="270">
        <v>3122</v>
      </c>
      <c r="B149" s="342" t="s">
        <v>152</v>
      </c>
      <c r="C149" s="278"/>
      <c r="D149" s="278"/>
      <c r="E149" s="306"/>
      <c r="F149" s="347"/>
    </row>
    <row r="150" spans="1:6" ht="12" customHeight="1">
      <c r="A150" s="215"/>
      <c r="B150" s="282" t="s">
        <v>97</v>
      </c>
      <c r="C150" s="221"/>
      <c r="D150" s="221"/>
      <c r="E150" s="306"/>
      <c r="F150" s="331"/>
    </row>
    <row r="151" spans="1:6" ht="12" customHeight="1">
      <c r="A151" s="215"/>
      <c r="B151" s="154" t="s">
        <v>263</v>
      </c>
      <c r="C151" s="221"/>
      <c r="D151" s="221"/>
      <c r="E151" s="306"/>
      <c r="F151" s="331"/>
    </row>
    <row r="152" spans="1:6" ht="12" customHeight="1">
      <c r="A152" s="215"/>
      <c r="B152" s="283" t="s">
        <v>252</v>
      </c>
      <c r="C152" s="221">
        <v>3000</v>
      </c>
      <c r="D152" s="221">
        <f>3000+9</f>
        <v>3009</v>
      </c>
      <c r="E152" s="910">
        <f aca="true" t="shared" si="41" ref="E152:E210">SUM(D152/C152)</f>
        <v>1.003</v>
      </c>
      <c r="F152" s="324"/>
    </row>
    <row r="153" spans="1:6" ht="12" customHeight="1">
      <c r="A153" s="215"/>
      <c r="B153" s="222" t="s">
        <v>102</v>
      </c>
      <c r="C153" s="221"/>
      <c r="D153" s="221"/>
      <c r="E153" s="909"/>
      <c r="F153" s="331"/>
    </row>
    <row r="154" spans="1:6" ht="12" customHeight="1">
      <c r="A154" s="215"/>
      <c r="B154" s="222" t="s">
        <v>259</v>
      </c>
      <c r="C154" s="221"/>
      <c r="D154" s="221"/>
      <c r="E154" s="909"/>
      <c r="F154" s="313"/>
    </row>
    <row r="155" spans="1:6" ht="12" customHeight="1" thickBot="1">
      <c r="A155" s="215"/>
      <c r="B155" s="317" t="s">
        <v>70</v>
      </c>
      <c r="C155" s="1107"/>
      <c r="D155" s="1107"/>
      <c r="E155" s="911"/>
      <c r="F155" s="331"/>
    </row>
    <row r="156" spans="1:6" ht="12" customHeight="1" thickBot="1">
      <c r="A156" s="272"/>
      <c r="B156" s="320" t="s">
        <v>113</v>
      </c>
      <c r="C156" s="1108">
        <f aca="true" t="shared" si="42" ref="C156">SUM(C150:C155)</f>
        <v>3000</v>
      </c>
      <c r="D156" s="1108">
        <f aca="true" t="shared" si="43" ref="D156">SUM(D150:D155)</f>
        <v>3009</v>
      </c>
      <c r="E156" s="908">
        <f t="shared" si="41"/>
        <v>1.003</v>
      </c>
      <c r="F156" s="335"/>
    </row>
    <row r="157" spans="1:6" ht="12" customHeight="1">
      <c r="A157" s="270">
        <v>3123</v>
      </c>
      <c r="B157" s="176" t="s">
        <v>104</v>
      </c>
      <c r="C157" s="278"/>
      <c r="D157" s="278"/>
      <c r="E157" s="306"/>
      <c r="F157" s="276"/>
    </row>
    <row r="158" spans="1:6" ht="12" customHeight="1">
      <c r="A158" s="215"/>
      <c r="B158" s="282" t="s">
        <v>97</v>
      </c>
      <c r="C158" s="221"/>
      <c r="D158" s="221"/>
      <c r="E158" s="306"/>
      <c r="F158" s="331"/>
    </row>
    <row r="159" spans="1:6" ht="12" customHeight="1">
      <c r="A159" s="215"/>
      <c r="B159" s="154" t="s">
        <v>263</v>
      </c>
      <c r="C159" s="221"/>
      <c r="D159" s="221"/>
      <c r="E159" s="910"/>
      <c r="F159" s="437"/>
    </row>
    <row r="160" spans="1:6" ht="12" customHeight="1">
      <c r="A160" s="215"/>
      <c r="B160" s="283" t="s">
        <v>252</v>
      </c>
      <c r="C160" s="221">
        <v>10000</v>
      </c>
      <c r="D160" s="221">
        <f>10000+6609</f>
        <v>16609</v>
      </c>
      <c r="E160" s="909">
        <f t="shared" si="41"/>
        <v>1.6609</v>
      </c>
      <c r="F160" s="324"/>
    </row>
    <row r="161" spans="1:6" ht="12" customHeight="1">
      <c r="A161" s="215"/>
      <c r="B161" s="222" t="s">
        <v>102</v>
      </c>
      <c r="C161" s="221"/>
      <c r="D161" s="221"/>
      <c r="E161" s="909"/>
      <c r="F161" s="444"/>
    </row>
    <row r="162" spans="1:6" ht="12" customHeight="1">
      <c r="A162" s="215"/>
      <c r="B162" s="222" t="s">
        <v>259</v>
      </c>
      <c r="C162" s="221"/>
      <c r="D162" s="221"/>
      <c r="E162" s="909"/>
      <c r="F162" s="313"/>
    </row>
    <row r="163" spans="1:6" ht="12" customHeight="1" thickBot="1">
      <c r="A163" s="215"/>
      <c r="B163" s="317" t="s">
        <v>70</v>
      </c>
      <c r="C163" s="1107"/>
      <c r="D163" s="1107"/>
      <c r="E163" s="911"/>
      <c r="F163" s="331"/>
    </row>
    <row r="164" spans="1:6" ht="12" customHeight="1" thickBot="1">
      <c r="A164" s="272"/>
      <c r="B164" s="320" t="s">
        <v>113</v>
      </c>
      <c r="C164" s="1108">
        <f aca="true" t="shared" si="44" ref="C164">SUM(C158:C163)</f>
        <v>10000</v>
      </c>
      <c r="D164" s="1108">
        <f aca="true" t="shared" si="45" ref="D164">SUM(D158:D163)</f>
        <v>16609</v>
      </c>
      <c r="E164" s="908">
        <f t="shared" si="41"/>
        <v>1.6609</v>
      </c>
      <c r="F164" s="335"/>
    </row>
    <row r="165" spans="1:6" ht="12" customHeight="1">
      <c r="A165" s="270">
        <v>3124</v>
      </c>
      <c r="B165" s="176" t="s">
        <v>107</v>
      </c>
      <c r="C165" s="278"/>
      <c r="D165" s="278"/>
      <c r="E165" s="306"/>
      <c r="F165" s="276" t="s">
        <v>458</v>
      </c>
    </row>
    <row r="166" spans="1:6" ht="12" customHeight="1">
      <c r="A166" s="215"/>
      <c r="B166" s="282" t="s">
        <v>97</v>
      </c>
      <c r="C166" s="221"/>
      <c r="D166" s="221"/>
      <c r="E166" s="306"/>
      <c r="F166" s="331"/>
    </row>
    <row r="167" spans="1:6" ht="12" customHeight="1">
      <c r="A167" s="215"/>
      <c r="B167" s="154" t="s">
        <v>263</v>
      </c>
      <c r="C167" s="221"/>
      <c r="D167" s="221"/>
      <c r="E167" s="910"/>
      <c r="F167" s="331"/>
    </row>
    <row r="168" spans="1:6" ht="12" customHeight="1">
      <c r="A168" s="215"/>
      <c r="B168" s="283" t="s">
        <v>252</v>
      </c>
      <c r="C168" s="221">
        <v>2000</v>
      </c>
      <c r="D168" s="221">
        <v>2000</v>
      </c>
      <c r="E168" s="909">
        <f t="shared" si="41"/>
        <v>1</v>
      </c>
      <c r="F168" s="324"/>
    </row>
    <row r="169" spans="1:6" ht="12" customHeight="1">
      <c r="A169" s="215"/>
      <c r="B169" s="222" t="s">
        <v>259</v>
      </c>
      <c r="C169" s="221"/>
      <c r="D169" s="221"/>
      <c r="E169" s="909"/>
      <c r="F169" s="331"/>
    </row>
    <row r="170" spans="1:6" ht="12" customHeight="1">
      <c r="A170" s="215"/>
      <c r="B170" s="222" t="s">
        <v>259</v>
      </c>
      <c r="C170" s="221"/>
      <c r="D170" s="221"/>
      <c r="E170" s="909"/>
      <c r="F170" s="313"/>
    </row>
    <row r="171" spans="1:6" ht="12" customHeight="1" thickBot="1">
      <c r="A171" s="215"/>
      <c r="B171" s="317" t="s">
        <v>70</v>
      </c>
      <c r="C171" s="1107"/>
      <c r="D171" s="1107"/>
      <c r="E171" s="911"/>
      <c r="F171" s="331"/>
    </row>
    <row r="172" spans="1:6" ht="12" customHeight="1" thickBot="1">
      <c r="A172" s="272"/>
      <c r="B172" s="320" t="s">
        <v>113</v>
      </c>
      <c r="C172" s="1108">
        <f aca="true" t="shared" si="46" ref="C172">SUM(C166:C171)</f>
        <v>2000</v>
      </c>
      <c r="D172" s="1108">
        <f aca="true" t="shared" si="47" ref="D172">SUM(D166:D171)</f>
        <v>2000</v>
      </c>
      <c r="E172" s="908">
        <f t="shared" si="41"/>
        <v>1</v>
      </c>
      <c r="F172" s="335"/>
    </row>
    <row r="173" spans="1:6" ht="12" customHeight="1" thickBot="1">
      <c r="A173" s="344">
        <v>3140</v>
      </c>
      <c r="B173" s="348" t="s">
        <v>108</v>
      </c>
      <c r="C173" s="1108">
        <f>SUM(C181+C190+C198+C206+C214+C223+C232)</f>
        <v>39170</v>
      </c>
      <c r="D173" s="1108">
        <f>SUM(D181+D190+D198+D206+D214+D223+D232)</f>
        <v>49862</v>
      </c>
      <c r="E173" s="908">
        <f t="shared" si="41"/>
        <v>1.2729640030635692</v>
      </c>
      <c r="F173" s="335"/>
    </row>
    <row r="174" spans="1:6" ht="12" customHeight="1">
      <c r="A174" s="270">
        <v>3141</v>
      </c>
      <c r="B174" s="176" t="s">
        <v>1087</v>
      </c>
      <c r="C174" s="278"/>
      <c r="D174" s="278"/>
      <c r="E174" s="306"/>
      <c r="F174" s="331"/>
    </row>
    <row r="175" spans="1:6" ht="12" customHeight="1">
      <c r="A175" s="215"/>
      <c r="B175" s="282" t="s">
        <v>97</v>
      </c>
      <c r="C175" s="221"/>
      <c r="D175" s="221"/>
      <c r="E175" s="306"/>
      <c r="F175" s="552" t="s">
        <v>1288</v>
      </c>
    </row>
    <row r="176" spans="1:6" ht="12" customHeight="1">
      <c r="A176" s="215"/>
      <c r="B176" s="154" t="s">
        <v>263</v>
      </c>
      <c r="C176" s="221"/>
      <c r="D176" s="221"/>
      <c r="E176" s="306"/>
      <c r="F176" s="437"/>
    </row>
    <row r="177" spans="1:6" ht="12" customHeight="1">
      <c r="A177" s="215"/>
      <c r="B177" s="283" t="s">
        <v>252</v>
      </c>
      <c r="C177" s="221">
        <v>2500</v>
      </c>
      <c r="D177" s="221">
        <v>2500</v>
      </c>
      <c r="E177" s="910">
        <f t="shared" si="41"/>
        <v>1</v>
      </c>
      <c r="F177" s="437"/>
    </row>
    <row r="178" spans="1:6" ht="12" customHeight="1">
      <c r="A178" s="215"/>
      <c r="B178" s="222" t="s">
        <v>102</v>
      </c>
      <c r="C178" s="221">
        <v>8500</v>
      </c>
      <c r="D178" s="221">
        <v>8500</v>
      </c>
      <c r="E178" s="909">
        <f t="shared" si="41"/>
        <v>1</v>
      </c>
      <c r="F178" s="437"/>
    </row>
    <row r="179" spans="1:6" ht="12" customHeight="1">
      <c r="A179" s="215"/>
      <c r="B179" s="222" t="s">
        <v>259</v>
      </c>
      <c r="C179" s="1109"/>
      <c r="D179" s="1109"/>
      <c r="E179" s="909"/>
      <c r="F179" s="437"/>
    </row>
    <row r="180" spans="1:6" ht="12" customHeight="1" thickBot="1">
      <c r="A180" s="215"/>
      <c r="B180" s="317" t="s">
        <v>70</v>
      </c>
      <c r="C180" s="1107"/>
      <c r="D180" s="1107"/>
      <c r="E180" s="911"/>
      <c r="F180" s="439"/>
    </row>
    <row r="181" spans="1:6" ht="12" customHeight="1" thickBot="1">
      <c r="A181" s="272"/>
      <c r="B181" s="320" t="s">
        <v>113</v>
      </c>
      <c r="C181" s="1108">
        <f aca="true" t="shared" si="48" ref="C181">SUM(C175:C180)</f>
        <v>11000</v>
      </c>
      <c r="D181" s="1108">
        <f aca="true" t="shared" si="49" ref="D181">SUM(D175:D180)</f>
        <v>11000</v>
      </c>
      <c r="E181" s="908">
        <f t="shared" si="41"/>
        <v>1</v>
      </c>
      <c r="F181" s="335"/>
    </row>
    <row r="182" spans="1:6" ht="12" customHeight="1">
      <c r="A182" s="270">
        <v>3142</v>
      </c>
      <c r="B182" s="288" t="s">
        <v>22</v>
      </c>
      <c r="C182" s="278"/>
      <c r="D182" s="278"/>
      <c r="E182" s="306"/>
      <c r="F182" s="330"/>
    </row>
    <row r="183" spans="1:6" ht="12" customHeight="1">
      <c r="A183" s="270"/>
      <c r="B183" s="282" t="s">
        <v>97</v>
      </c>
      <c r="C183" s="221">
        <v>2700</v>
      </c>
      <c r="D183" s="221">
        <f>2700+796</f>
        <v>3496</v>
      </c>
      <c r="E183" s="910">
        <f t="shared" si="41"/>
        <v>1.2948148148148149</v>
      </c>
      <c r="F183" s="438"/>
    </row>
    <row r="184" spans="1:6" ht="12" customHeight="1">
      <c r="A184" s="270"/>
      <c r="B184" s="154" t="s">
        <v>263</v>
      </c>
      <c r="C184" s="221">
        <v>800</v>
      </c>
      <c r="D184" s="221">
        <f>800+235</f>
        <v>1035</v>
      </c>
      <c r="E184" s="909">
        <f t="shared" si="41"/>
        <v>1.29375</v>
      </c>
      <c r="F184" s="608" t="s">
        <v>1288</v>
      </c>
    </row>
    <row r="185" spans="1:6" ht="12" customHeight="1">
      <c r="A185" s="270"/>
      <c r="B185" s="283" t="s">
        <v>252</v>
      </c>
      <c r="C185" s="1109">
        <v>1500</v>
      </c>
      <c r="D185" s="1109">
        <f>1500+89</f>
        <v>1589</v>
      </c>
      <c r="E185" s="909">
        <f t="shared" si="41"/>
        <v>1.0593333333333332</v>
      </c>
      <c r="F185" s="437"/>
    </row>
    <row r="186" spans="1:6" ht="12" customHeight="1">
      <c r="A186" s="270"/>
      <c r="B186" s="222" t="s">
        <v>102</v>
      </c>
      <c r="C186" s="1109"/>
      <c r="D186" s="1109"/>
      <c r="E186" s="909"/>
      <c r="F186" s="331"/>
    </row>
    <row r="187" spans="1:6" ht="12" customHeight="1">
      <c r="A187" s="270"/>
      <c r="B187" s="222" t="s">
        <v>259</v>
      </c>
      <c r="C187" s="1109">
        <v>1000</v>
      </c>
      <c r="D187" s="1109">
        <f>1000+1000</f>
        <v>2000</v>
      </c>
      <c r="E187" s="909">
        <f t="shared" si="41"/>
        <v>2</v>
      </c>
      <c r="F187" s="346"/>
    </row>
    <row r="188" spans="1:6" ht="12" customHeight="1">
      <c r="A188" s="270"/>
      <c r="B188" s="222" t="s">
        <v>222</v>
      </c>
      <c r="C188" s="1109"/>
      <c r="D188" s="1109"/>
      <c r="E188" s="909"/>
      <c r="F188" s="346"/>
    </row>
    <row r="189" spans="1:6" ht="12.75" thickBot="1">
      <c r="A189" s="270"/>
      <c r="B189" s="317" t="s">
        <v>240</v>
      </c>
      <c r="C189" s="1111"/>
      <c r="D189" s="1111"/>
      <c r="E189" s="911"/>
      <c r="F189" s="349"/>
    </row>
    <row r="190" spans="1:6" ht="12" customHeight="1" thickBot="1">
      <c r="A190" s="272"/>
      <c r="B190" s="320" t="s">
        <v>113</v>
      </c>
      <c r="C190" s="1108">
        <f aca="true" t="shared" si="50" ref="C190">SUM(C183:C189)</f>
        <v>6000</v>
      </c>
      <c r="D190" s="1108">
        <f aca="true" t="shared" si="51" ref="D190">SUM(D183:D189)</f>
        <v>8120</v>
      </c>
      <c r="E190" s="908">
        <f t="shared" si="41"/>
        <v>1.3533333333333333</v>
      </c>
      <c r="F190" s="335"/>
    </row>
    <row r="191" spans="1:6" ht="12" customHeight="1">
      <c r="A191" s="286">
        <v>3143</v>
      </c>
      <c r="B191" s="342" t="s">
        <v>1207</v>
      </c>
      <c r="C191" s="278"/>
      <c r="D191" s="278"/>
      <c r="E191" s="306"/>
      <c r="F191" s="303" t="s">
        <v>1208</v>
      </c>
    </row>
    <row r="192" spans="1:7" ht="12" customHeight="1">
      <c r="A192" s="215"/>
      <c r="B192" s="282" t="s">
        <v>97</v>
      </c>
      <c r="C192" s="221"/>
      <c r="D192" s="221">
        <v>84</v>
      </c>
      <c r="E192" s="306"/>
      <c r="F192" s="560"/>
      <c r="G192" s="979"/>
    </row>
    <row r="193" spans="1:6" ht="12" customHeight="1">
      <c r="A193" s="215"/>
      <c r="B193" s="154" t="s">
        <v>263</v>
      </c>
      <c r="C193" s="221"/>
      <c r="D193" s="221">
        <v>19</v>
      </c>
      <c r="E193" s="306"/>
      <c r="F193" s="438"/>
    </row>
    <row r="194" spans="1:6" ht="12" customHeight="1">
      <c r="A194" s="215"/>
      <c r="B194" s="283" t="s">
        <v>252</v>
      </c>
      <c r="C194" s="1109"/>
      <c r="D194" s="1109">
        <v>213</v>
      </c>
      <c r="E194" s="306"/>
      <c r="F194" s="438"/>
    </row>
    <row r="195" spans="1:6" ht="12" customHeight="1">
      <c r="A195" s="215"/>
      <c r="B195" s="222" t="s">
        <v>102</v>
      </c>
      <c r="C195" s="1109"/>
      <c r="D195" s="1109"/>
      <c r="E195" s="910"/>
      <c r="F195" s="437"/>
    </row>
    <row r="196" spans="1:6" ht="12" customHeight="1">
      <c r="A196" s="215"/>
      <c r="B196" s="222" t="s">
        <v>259</v>
      </c>
      <c r="C196" s="221">
        <v>5000</v>
      </c>
      <c r="D196" s="221">
        <v>5000</v>
      </c>
      <c r="E196" s="909">
        <f t="shared" si="41"/>
        <v>1</v>
      </c>
      <c r="F196" s="331"/>
    </row>
    <row r="197" spans="1:6" ht="12" customHeight="1" thickBot="1">
      <c r="A197" s="215"/>
      <c r="B197" s="317" t="s">
        <v>240</v>
      </c>
      <c r="C197" s="1107"/>
      <c r="D197" s="1107"/>
      <c r="E197" s="911"/>
      <c r="F197" s="307"/>
    </row>
    <row r="198" spans="1:6" ht="12" customHeight="1" thickBot="1">
      <c r="A198" s="272"/>
      <c r="B198" s="320" t="s">
        <v>113</v>
      </c>
      <c r="C198" s="1108">
        <f aca="true" t="shared" si="52" ref="C198">SUM(C192:C197)</f>
        <v>5000</v>
      </c>
      <c r="D198" s="1108">
        <f aca="true" t="shared" si="53" ref="D198">SUM(D192:D197)</f>
        <v>5316</v>
      </c>
      <c r="E198" s="908">
        <f t="shared" si="41"/>
        <v>1.0632</v>
      </c>
      <c r="F198" s="335"/>
    </row>
    <row r="199" spans="1:6" ht="12" customHeight="1">
      <c r="A199" s="270">
        <v>3144</v>
      </c>
      <c r="B199" s="176" t="s">
        <v>335</v>
      </c>
      <c r="C199" s="278"/>
      <c r="D199" s="278"/>
      <c r="E199" s="306"/>
      <c r="F199" s="331"/>
    </row>
    <row r="200" spans="1:6" ht="12" customHeight="1">
      <c r="A200" s="215"/>
      <c r="B200" s="282" t="s">
        <v>97</v>
      </c>
      <c r="C200" s="221"/>
      <c r="D200" s="221"/>
      <c r="E200" s="306"/>
      <c r="F200" s="331"/>
    </row>
    <row r="201" spans="1:6" ht="12" customHeight="1">
      <c r="A201" s="215"/>
      <c r="B201" s="154" t="s">
        <v>263</v>
      </c>
      <c r="C201" s="221"/>
      <c r="D201" s="221"/>
      <c r="E201" s="306"/>
      <c r="F201" s="346"/>
    </row>
    <row r="202" spans="1:6" ht="12" customHeight="1">
      <c r="A202" s="215"/>
      <c r="B202" s="283" t="s">
        <v>252</v>
      </c>
      <c r="C202" s="221"/>
      <c r="D202" s="221"/>
      <c r="E202" s="306"/>
      <c r="F202" s="438"/>
    </row>
    <row r="203" spans="1:6" ht="12" customHeight="1">
      <c r="A203" s="215"/>
      <c r="B203" s="222" t="s">
        <v>102</v>
      </c>
      <c r="C203" s="221"/>
      <c r="D203" s="221"/>
      <c r="E203" s="306"/>
      <c r="F203" s="437"/>
    </row>
    <row r="204" spans="1:6" ht="12" customHeight="1">
      <c r="A204" s="215"/>
      <c r="B204" s="222" t="s">
        <v>259</v>
      </c>
      <c r="C204" s="221"/>
      <c r="D204" s="221"/>
      <c r="E204" s="306"/>
      <c r="F204" s="331"/>
    </row>
    <row r="205" spans="1:6" ht="12" customHeight="1" thickBot="1">
      <c r="A205" s="215"/>
      <c r="B205" s="317" t="s">
        <v>70</v>
      </c>
      <c r="C205" s="1107"/>
      <c r="D205" s="1107"/>
      <c r="E205" s="907"/>
      <c r="F205" s="349"/>
    </row>
    <row r="206" spans="1:6" ht="12" customHeight="1" thickBot="1">
      <c r="A206" s="272"/>
      <c r="B206" s="320" t="s">
        <v>113</v>
      </c>
      <c r="C206" s="1108">
        <f aca="true" t="shared" si="54" ref="C206">SUM(C200:C205)</f>
        <v>0</v>
      </c>
      <c r="D206" s="1108">
        <f aca="true" t="shared" si="55" ref="D206">SUM(D200:D205)</f>
        <v>0</v>
      </c>
      <c r="E206" s="908"/>
      <c r="F206" s="335"/>
    </row>
    <row r="207" spans="1:6" ht="12" customHeight="1">
      <c r="A207" s="329">
        <v>3145</v>
      </c>
      <c r="B207" s="309" t="s">
        <v>336</v>
      </c>
      <c r="C207" s="1101"/>
      <c r="D207" s="1101"/>
      <c r="E207" s="306"/>
      <c r="F207" s="351"/>
    </row>
    <row r="208" spans="1:6" ht="12" customHeight="1">
      <c r="A208" s="325"/>
      <c r="B208" s="312" t="s">
        <v>97</v>
      </c>
      <c r="C208" s="1102">
        <v>560</v>
      </c>
      <c r="D208" s="1102">
        <v>560</v>
      </c>
      <c r="E208" s="910">
        <f t="shared" si="41"/>
        <v>1</v>
      </c>
      <c r="F208" s="351"/>
    </row>
    <row r="209" spans="1:6" ht="12" customHeight="1">
      <c r="A209" s="325"/>
      <c r="B209" s="314" t="s">
        <v>263</v>
      </c>
      <c r="C209" s="1102">
        <v>340</v>
      </c>
      <c r="D209" s="1102">
        <v>340</v>
      </c>
      <c r="E209" s="909">
        <f t="shared" si="41"/>
        <v>1</v>
      </c>
      <c r="F209" s="608" t="s">
        <v>488</v>
      </c>
    </row>
    <row r="210" spans="1:6" ht="12" customHeight="1">
      <c r="A210" s="325"/>
      <c r="B210" s="315" t="s">
        <v>252</v>
      </c>
      <c r="C210" s="1102">
        <v>2100</v>
      </c>
      <c r="D210" s="1102">
        <f>2100+490</f>
        <v>2590</v>
      </c>
      <c r="E210" s="909">
        <f t="shared" si="41"/>
        <v>1.2333333333333334</v>
      </c>
      <c r="F210" s="351"/>
    </row>
    <row r="211" spans="1:6" ht="12" customHeight="1">
      <c r="A211" s="325"/>
      <c r="B211" s="316" t="s">
        <v>102</v>
      </c>
      <c r="C211" s="1102"/>
      <c r="D211" s="1102"/>
      <c r="E211" s="909"/>
      <c r="F211" s="352"/>
    </row>
    <row r="212" spans="1:6" ht="12" customHeight="1">
      <c r="A212" s="325"/>
      <c r="B212" s="316" t="s">
        <v>259</v>
      </c>
      <c r="C212" s="1102"/>
      <c r="D212" s="1102">
        <v>130</v>
      </c>
      <c r="E212" s="909"/>
      <c r="F212" s="351"/>
    </row>
    <row r="213" spans="1:6" ht="12" customHeight="1" thickBot="1">
      <c r="A213" s="325"/>
      <c r="B213" s="317" t="s">
        <v>70</v>
      </c>
      <c r="C213" s="1112"/>
      <c r="D213" s="1112">
        <v>870</v>
      </c>
      <c r="E213" s="911"/>
      <c r="F213" s="353"/>
    </row>
    <row r="214" spans="1:6" ht="12" customHeight="1" thickBot="1">
      <c r="A214" s="327"/>
      <c r="B214" s="320" t="s">
        <v>113</v>
      </c>
      <c r="C214" s="1104">
        <f>SUM(C208:C213)</f>
        <v>3000</v>
      </c>
      <c r="D214" s="1104">
        <f>SUM(D208:D213)</f>
        <v>4490</v>
      </c>
      <c r="E214" s="908">
        <f aca="true" t="shared" si="56" ref="E214:E274">SUM(D214/C214)</f>
        <v>1.4966666666666666</v>
      </c>
      <c r="F214" s="354"/>
    </row>
    <row r="215" spans="1:6" ht="12" customHeight="1">
      <c r="A215" s="329">
        <v>3146</v>
      </c>
      <c r="B215" s="309" t="s">
        <v>1157</v>
      </c>
      <c r="C215" s="1101"/>
      <c r="D215" s="1101"/>
      <c r="E215" s="915"/>
      <c r="F215" s="436" t="s">
        <v>459</v>
      </c>
    </row>
    <row r="216" spans="1:6" ht="12" customHeight="1">
      <c r="A216" s="325"/>
      <c r="B216" s="312" t="s">
        <v>97</v>
      </c>
      <c r="C216" s="1102">
        <v>1400</v>
      </c>
      <c r="D216" s="1102">
        <f>1400+273</f>
        <v>1673</v>
      </c>
      <c r="E216" s="909">
        <f t="shared" si="56"/>
        <v>1.195</v>
      </c>
      <c r="F216" s="436" t="s">
        <v>460</v>
      </c>
    </row>
    <row r="217" spans="1:6" ht="12" customHeight="1">
      <c r="A217" s="325"/>
      <c r="B217" s="314" t="s">
        <v>263</v>
      </c>
      <c r="C217" s="1102">
        <v>500</v>
      </c>
      <c r="D217" s="1102">
        <f>500+42</f>
        <v>542</v>
      </c>
      <c r="E217" s="909">
        <f t="shared" si="56"/>
        <v>1.084</v>
      </c>
      <c r="F217" s="351"/>
    </row>
    <row r="218" spans="1:6" ht="12" customHeight="1">
      <c r="A218" s="325"/>
      <c r="B218" s="315" t="s">
        <v>252</v>
      </c>
      <c r="C218" s="1102">
        <v>1400</v>
      </c>
      <c r="D218" s="1102">
        <v>1400</v>
      </c>
      <c r="E218" s="909">
        <f t="shared" si="56"/>
        <v>1</v>
      </c>
      <c r="F218" s="438"/>
    </row>
    <row r="219" spans="1:6" ht="12" customHeight="1">
      <c r="A219" s="325"/>
      <c r="B219" s="316" t="s">
        <v>102</v>
      </c>
      <c r="C219" s="1102"/>
      <c r="D219" s="1102"/>
      <c r="E219" s="909"/>
      <c r="F219" s="351"/>
    </row>
    <row r="220" spans="1:6" ht="12" customHeight="1">
      <c r="A220" s="325"/>
      <c r="B220" s="316" t="s">
        <v>259</v>
      </c>
      <c r="C220" s="1102">
        <v>1700</v>
      </c>
      <c r="D220" s="1102">
        <f>1700+200</f>
        <v>1900</v>
      </c>
      <c r="E220" s="909">
        <f t="shared" si="56"/>
        <v>1.1176470588235294</v>
      </c>
      <c r="F220" s="351"/>
    </row>
    <row r="221" spans="1:6" ht="12" customHeight="1">
      <c r="A221" s="325"/>
      <c r="B221" s="317" t="s">
        <v>222</v>
      </c>
      <c r="C221" s="1102"/>
      <c r="D221" s="1102"/>
      <c r="E221" s="909"/>
      <c r="F221" s="361"/>
    </row>
    <row r="222" spans="1:6" ht="12" customHeight="1" thickBot="1">
      <c r="A222" s="325"/>
      <c r="B222" s="317" t="s">
        <v>240</v>
      </c>
      <c r="C222" s="1112"/>
      <c r="D222" s="1112"/>
      <c r="E222" s="911"/>
      <c r="F222" s="353"/>
    </row>
    <row r="223" spans="1:6" ht="12" customHeight="1" thickBot="1">
      <c r="A223" s="327"/>
      <c r="B223" s="320" t="s">
        <v>113</v>
      </c>
      <c r="C223" s="1104">
        <f aca="true" t="shared" si="57" ref="C223">SUM(C216:C222)</f>
        <v>5000</v>
      </c>
      <c r="D223" s="1104">
        <f aca="true" t="shared" si="58" ref="D223">SUM(D216:D222)</f>
        <v>5515</v>
      </c>
      <c r="E223" s="908">
        <f t="shared" si="56"/>
        <v>1.103</v>
      </c>
      <c r="F223" s="354"/>
    </row>
    <row r="224" spans="1:6" ht="12" customHeight="1">
      <c r="A224" s="329">
        <v>3147</v>
      </c>
      <c r="B224" s="309" t="s">
        <v>1256</v>
      </c>
      <c r="C224" s="1101"/>
      <c r="D224" s="1101"/>
      <c r="E224" s="306"/>
      <c r="F224" s="436"/>
    </row>
    <row r="225" spans="1:6" ht="12" customHeight="1">
      <c r="A225" s="325"/>
      <c r="B225" s="312" t="s">
        <v>97</v>
      </c>
      <c r="C225" s="1102"/>
      <c r="D225" s="1102"/>
      <c r="E225" s="306"/>
      <c r="F225" s="351"/>
    </row>
    <row r="226" spans="1:6" ht="12" customHeight="1">
      <c r="A226" s="325"/>
      <c r="B226" s="314" t="s">
        <v>263</v>
      </c>
      <c r="C226" s="1102"/>
      <c r="D226" s="1102"/>
      <c r="E226" s="910"/>
      <c r="F226" s="351"/>
    </row>
    <row r="227" spans="1:6" ht="12" customHeight="1">
      <c r="A227" s="325"/>
      <c r="B227" s="315" t="s">
        <v>252</v>
      </c>
      <c r="C227" s="1102">
        <v>9170</v>
      </c>
      <c r="D227" s="1102">
        <f>9170+6251</f>
        <v>15421</v>
      </c>
      <c r="E227" s="909">
        <f t="shared" si="56"/>
        <v>1.6816793893129771</v>
      </c>
      <c r="F227" s="438"/>
    </row>
    <row r="228" spans="1:6" ht="12" customHeight="1">
      <c r="A228" s="325"/>
      <c r="B228" s="316" t="s">
        <v>102</v>
      </c>
      <c r="C228" s="1102"/>
      <c r="D228" s="1102"/>
      <c r="E228" s="909"/>
      <c r="F228" s="436" t="s">
        <v>489</v>
      </c>
    </row>
    <row r="229" spans="1:6" ht="12" customHeight="1">
      <c r="A229" s="325"/>
      <c r="B229" s="316" t="s">
        <v>259</v>
      </c>
      <c r="C229" s="1102"/>
      <c r="D229" s="1102"/>
      <c r="E229" s="909"/>
      <c r="F229" s="351"/>
    </row>
    <row r="230" spans="1:6" ht="12" customHeight="1">
      <c r="A230" s="325"/>
      <c r="B230" s="317" t="s">
        <v>222</v>
      </c>
      <c r="C230" s="1102"/>
      <c r="D230" s="1102"/>
      <c r="E230" s="909"/>
      <c r="F230" s="441"/>
    </row>
    <row r="231" spans="1:6" ht="12" customHeight="1" thickBot="1">
      <c r="A231" s="325"/>
      <c r="B231" s="317" t="s">
        <v>240</v>
      </c>
      <c r="C231" s="1112"/>
      <c r="D231" s="1112"/>
      <c r="E231" s="911"/>
      <c r="F231" s="1113"/>
    </row>
    <row r="232" spans="1:6" ht="12" customHeight="1" thickBot="1">
      <c r="A232" s="327"/>
      <c r="B232" s="320" t="s">
        <v>113</v>
      </c>
      <c r="C232" s="1104">
        <f aca="true" t="shared" si="59" ref="C232">SUM(C225:C231)</f>
        <v>9170</v>
      </c>
      <c r="D232" s="1104">
        <f aca="true" t="shared" si="60" ref="D232">SUM(D225:D231)</f>
        <v>15421</v>
      </c>
      <c r="E232" s="908">
        <f t="shared" si="56"/>
        <v>1.6816793893129771</v>
      </c>
      <c r="F232" s="354"/>
    </row>
    <row r="233" spans="1:6" ht="12.75" thickBot="1">
      <c r="A233" s="344"/>
      <c r="B233" s="355" t="s">
        <v>39</v>
      </c>
      <c r="C233" s="1108">
        <f>SUM(C260+C278+C296+C323+C304+C313+C334+C252+C343+C241+C268+C351)</f>
        <v>2874144</v>
      </c>
      <c r="D233" s="1108">
        <f>SUM(D260+D278+D296+D323+D304+D313+D334+D252+D343+D241+D268+D351)</f>
        <v>3181911</v>
      </c>
      <c r="E233" s="908">
        <f t="shared" si="56"/>
        <v>1.1070812735896323</v>
      </c>
      <c r="F233" s="335"/>
    </row>
    <row r="234" spans="1:6" ht="12.75">
      <c r="A234" s="270">
        <v>3200</v>
      </c>
      <c r="B234" s="356" t="s">
        <v>361</v>
      </c>
      <c r="C234" s="278"/>
      <c r="D234" s="278"/>
      <c r="E234" s="306"/>
      <c r="F234" s="303"/>
    </row>
    <row r="235" spans="1:6" ht="12.75">
      <c r="A235" s="281"/>
      <c r="B235" s="282" t="s">
        <v>97</v>
      </c>
      <c r="C235" s="221">
        <v>136128</v>
      </c>
      <c r="D235" s="221">
        <v>136128</v>
      </c>
      <c r="E235" s="910">
        <f t="shared" si="56"/>
        <v>1</v>
      </c>
      <c r="F235" s="67"/>
    </row>
    <row r="236" spans="1:6" ht="12.75">
      <c r="A236" s="281"/>
      <c r="B236" s="154" t="s">
        <v>263</v>
      </c>
      <c r="C236" s="221">
        <v>14457</v>
      </c>
      <c r="D236" s="221">
        <f>14457+8</f>
        <v>14465</v>
      </c>
      <c r="E236" s="909">
        <f t="shared" si="56"/>
        <v>1.0005533651518295</v>
      </c>
      <c r="F236" s="438"/>
    </row>
    <row r="237" spans="1:6" ht="12.75">
      <c r="A237" s="215"/>
      <c r="B237" s="283" t="s">
        <v>252</v>
      </c>
      <c r="C237" s="221">
        <v>175</v>
      </c>
      <c r="D237" s="221">
        <v>175</v>
      </c>
      <c r="E237" s="909">
        <f t="shared" si="56"/>
        <v>1</v>
      </c>
      <c r="F237" s="438"/>
    </row>
    <row r="238" spans="1:6" ht="12.75">
      <c r="A238" s="215"/>
      <c r="B238" s="222" t="s">
        <v>102</v>
      </c>
      <c r="C238" s="221"/>
      <c r="D238" s="221"/>
      <c r="E238" s="909"/>
      <c r="F238" s="438"/>
    </row>
    <row r="239" spans="1:6" ht="12.75">
      <c r="A239" s="281"/>
      <c r="B239" s="222" t="s">
        <v>259</v>
      </c>
      <c r="C239" s="221"/>
      <c r="D239" s="221"/>
      <c r="E239" s="909"/>
      <c r="F239" s="440"/>
    </row>
    <row r="240" spans="1:6" ht="12.75" thickBot="1">
      <c r="A240" s="215"/>
      <c r="B240" s="317" t="s">
        <v>70</v>
      </c>
      <c r="C240" s="1107"/>
      <c r="D240" s="1107"/>
      <c r="E240" s="911"/>
      <c r="F240" s="333"/>
    </row>
    <row r="241" spans="1:6" ht="12.75" thickBot="1">
      <c r="A241" s="68"/>
      <c r="B241" s="320" t="s">
        <v>113</v>
      </c>
      <c r="C241" s="1108">
        <f>SUM(C235:C240)</f>
        <v>150760</v>
      </c>
      <c r="D241" s="1108">
        <f>SUM(D235:D240)</f>
        <v>150768</v>
      </c>
      <c r="E241" s="908">
        <f t="shared" si="56"/>
        <v>1.0000530644733352</v>
      </c>
      <c r="F241" s="335"/>
    </row>
    <row r="242" spans="1:6" ht="12.75">
      <c r="A242" s="68"/>
      <c r="B242" s="938" t="s">
        <v>1304</v>
      </c>
      <c r="C242" s="1114">
        <v>43690</v>
      </c>
      <c r="D242" s="1114">
        <f>43690+8</f>
        <v>43698</v>
      </c>
      <c r="E242" s="952">
        <f t="shared" si="56"/>
        <v>1.0001831082627604</v>
      </c>
      <c r="F242" s="303"/>
    </row>
    <row r="243" spans="1:6" ht="12.75">
      <c r="A243" s="270"/>
      <c r="B243" s="939" t="s">
        <v>1305</v>
      </c>
      <c r="C243" s="1115">
        <v>57091</v>
      </c>
      <c r="D243" s="1115">
        <v>57091</v>
      </c>
      <c r="E243" s="953">
        <f t="shared" si="56"/>
        <v>1</v>
      </c>
      <c r="F243" s="307"/>
    </row>
    <row r="244" spans="1:6" ht="12.75" thickBot="1">
      <c r="A244" s="289"/>
      <c r="B244" s="940" t="s">
        <v>1306</v>
      </c>
      <c r="C244" s="1116">
        <v>49979</v>
      </c>
      <c r="D244" s="1116">
        <v>49979</v>
      </c>
      <c r="E244" s="954">
        <f t="shared" si="56"/>
        <v>1</v>
      </c>
      <c r="F244" s="654"/>
    </row>
    <row r="245" spans="1:6" ht="12.75">
      <c r="A245" s="270">
        <v>3201</v>
      </c>
      <c r="B245" s="339" t="s">
        <v>314</v>
      </c>
      <c r="C245" s="278"/>
      <c r="D245" s="278"/>
      <c r="E245" s="306"/>
      <c r="F245" s="303"/>
    </row>
    <row r="246" spans="1:6" ht="12.75">
      <c r="A246" s="270"/>
      <c r="B246" s="283" t="s">
        <v>97</v>
      </c>
      <c r="C246" s="1109">
        <v>12500</v>
      </c>
      <c r="D246" s="1109">
        <f>12500+1035</f>
        <v>13535</v>
      </c>
      <c r="E246" s="910">
        <f t="shared" si="56"/>
        <v>1.0828</v>
      </c>
      <c r="F246" s="438"/>
    </row>
    <row r="247" spans="1:6" ht="12.75">
      <c r="A247" s="270"/>
      <c r="B247" s="154" t="s">
        <v>263</v>
      </c>
      <c r="C247" s="1109">
        <v>2000</v>
      </c>
      <c r="D247" s="1109">
        <f>2000+396</f>
        <v>2396</v>
      </c>
      <c r="E247" s="909">
        <f t="shared" si="56"/>
        <v>1.198</v>
      </c>
      <c r="F247" s="438"/>
    </row>
    <row r="248" spans="1:6" ht="12.75">
      <c r="A248" s="270"/>
      <c r="B248" s="283" t="s">
        <v>252</v>
      </c>
      <c r="C248" s="1109">
        <v>55500</v>
      </c>
      <c r="D248" s="1109">
        <v>91302</v>
      </c>
      <c r="E248" s="909">
        <f t="shared" si="56"/>
        <v>1.645081081081081</v>
      </c>
      <c r="F248" s="438"/>
    </row>
    <row r="249" spans="1:6" ht="12.75">
      <c r="A249" s="270"/>
      <c r="B249" s="357" t="s">
        <v>102</v>
      </c>
      <c r="C249" s="1109"/>
      <c r="D249" s="1109"/>
      <c r="E249" s="909"/>
      <c r="F249" s="438"/>
    </row>
    <row r="250" spans="1:6" ht="12.75">
      <c r="A250" s="270"/>
      <c r="B250" s="357" t="s">
        <v>259</v>
      </c>
      <c r="C250" s="1109"/>
      <c r="D250" s="1109"/>
      <c r="E250" s="909"/>
      <c r="F250" s="438"/>
    </row>
    <row r="251" spans="1:6" ht="12.75" thickBot="1">
      <c r="A251" s="270"/>
      <c r="B251" s="317" t="s">
        <v>222</v>
      </c>
      <c r="C251" s="1111"/>
      <c r="D251" s="1111">
        <v>5429</v>
      </c>
      <c r="E251" s="911">
        <v>1</v>
      </c>
      <c r="F251" s="307"/>
    </row>
    <row r="252" spans="1:6" ht="12.75" thickBot="1">
      <c r="A252" s="289"/>
      <c r="B252" s="320" t="s">
        <v>113</v>
      </c>
      <c r="C252" s="1108">
        <f>SUM(C246:C251)</f>
        <v>70000</v>
      </c>
      <c r="D252" s="1108">
        <f>SUM(D246:D251)</f>
        <v>112662</v>
      </c>
      <c r="E252" s="908">
        <f t="shared" si="56"/>
        <v>1.609457142857143</v>
      </c>
      <c r="F252" s="335"/>
    </row>
    <row r="253" spans="1:6" ht="12.75">
      <c r="A253" s="68">
        <v>3202</v>
      </c>
      <c r="B253" s="288" t="s">
        <v>1160</v>
      </c>
      <c r="C253" s="278"/>
      <c r="D253" s="278"/>
      <c r="E253" s="306"/>
      <c r="F253" s="436" t="s">
        <v>454</v>
      </c>
    </row>
    <row r="254" spans="1:6" ht="12.75">
      <c r="A254" s="68"/>
      <c r="B254" s="282" t="s">
        <v>97</v>
      </c>
      <c r="C254" s="1109">
        <v>2000</v>
      </c>
      <c r="D254" s="1109">
        <f>2000+216</f>
        <v>2216</v>
      </c>
      <c r="E254" s="910">
        <f t="shared" si="56"/>
        <v>1.108</v>
      </c>
      <c r="F254" s="307" t="s">
        <v>455</v>
      </c>
    </row>
    <row r="255" spans="1:6" ht="12.75">
      <c r="A255" s="68"/>
      <c r="B255" s="154" t="s">
        <v>263</v>
      </c>
      <c r="C255" s="1109">
        <v>1000</v>
      </c>
      <c r="D255" s="1109">
        <f>1000+34</f>
        <v>1034</v>
      </c>
      <c r="E255" s="909">
        <f t="shared" si="56"/>
        <v>1.034</v>
      </c>
      <c r="F255" s="346"/>
    </row>
    <row r="256" spans="1:6" ht="12.75">
      <c r="A256" s="68"/>
      <c r="B256" s="283" t="s">
        <v>252</v>
      </c>
      <c r="C256" s="1109">
        <v>2000</v>
      </c>
      <c r="D256" s="1109">
        <v>2000</v>
      </c>
      <c r="E256" s="909">
        <f t="shared" si="56"/>
        <v>1</v>
      </c>
      <c r="F256" s="608" t="s">
        <v>488</v>
      </c>
    </row>
    <row r="257" spans="1:6" ht="12.75">
      <c r="A257" s="68"/>
      <c r="B257" s="222" t="s">
        <v>102</v>
      </c>
      <c r="C257" s="1109"/>
      <c r="D257" s="1109"/>
      <c r="E257" s="909"/>
      <c r="F257" s="346"/>
    </row>
    <row r="258" spans="1:6" ht="12.75">
      <c r="A258" s="68"/>
      <c r="B258" s="222" t="s">
        <v>259</v>
      </c>
      <c r="C258" s="1109">
        <v>1000</v>
      </c>
      <c r="D258" s="1109">
        <v>1000</v>
      </c>
      <c r="E258" s="909">
        <f t="shared" si="56"/>
        <v>1</v>
      </c>
      <c r="F258" s="346"/>
    </row>
    <row r="259" spans="1:6" ht="12.75" thickBot="1">
      <c r="A259" s="68"/>
      <c r="B259" s="317" t="s">
        <v>240</v>
      </c>
      <c r="C259" s="1111"/>
      <c r="D259" s="1111"/>
      <c r="E259" s="911"/>
      <c r="F259" s="333"/>
    </row>
    <row r="260" spans="1:6" ht="12.75" thickBot="1">
      <c r="A260" s="289"/>
      <c r="B260" s="320" t="s">
        <v>113</v>
      </c>
      <c r="C260" s="1108">
        <f aca="true" t="shared" si="61" ref="C260">SUM(C254:C259)</f>
        <v>6000</v>
      </c>
      <c r="D260" s="1108">
        <f aca="true" t="shared" si="62" ref="D260">SUM(D254:D259)</f>
        <v>6250</v>
      </c>
      <c r="E260" s="908">
        <f t="shared" si="56"/>
        <v>1.0416666666666667</v>
      </c>
      <c r="F260" s="335"/>
    </row>
    <row r="261" spans="1:6" ht="12" customHeight="1">
      <c r="A261" s="68">
        <v>3204</v>
      </c>
      <c r="B261" s="342" t="s">
        <v>339</v>
      </c>
      <c r="C261" s="278"/>
      <c r="D261" s="278"/>
      <c r="E261" s="306"/>
      <c r="F261" s="330"/>
    </row>
    <row r="262" spans="1:6" ht="12" customHeight="1">
      <c r="A262" s="281"/>
      <c r="B262" s="282" t="s">
        <v>97</v>
      </c>
      <c r="C262" s="221"/>
      <c r="D262" s="221"/>
      <c r="E262" s="306"/>
      <c r="F262" s="307"/>
    </row>
    <row r="263" spans="1:6" ht="12" customHeight="1">
      <c r="A263" s="281"/>
      <c r="B263" s="154" t="s">
        <v>263</v>
      </c>
      <c r="C263" s="221"/>
      <c r="D263" s="221"/>
      <c r="E263" s="306"/>
      <c r="F263" s="606" t="s">
        <v>453</v>
      </c>
    </row>
    <row r="264" spans="1:6" ht="12" customHeight="1">
      <c r="A264" s="281"/>
      <c r="B264" s="283" t="s">
        <v>252</v>
      </c>
      <c r="C264" s="221">
        <v>18000</v>
      </c>
      <c r="D264" s="221">
        <f>18000+1981</f>
        <v>19981</v>
      </c>
      <c r="E264" s="910">
        <f t="shared" si="56"/>
        <v>1.1100555555555556</v>
      </c>
      <c r="F264" s="490" t="s">
        <v>479</v>
      </c>
    </row>
    <row r="265" spans="1:6" ht="12" customHeight="1">
      <c r="A265" s="281"/>
      <c r="B265" s="222" t="s">
        <v>259</v>
      </c>
      <c r="C265" s="221"/>
      <c r="D265" s="221"/>
      <c r="E265" s="306"/>
      <c r="F265" s="350"/>
    </row>
    <row r="266" spans="1:6" ht="12" customHeight="1">
      <c r="A266" s="281"/>
      <c r="B266" s="222" t="s">
        <v>102</v>
      </c>
      <c r="C266" s="221"/>
      <c r="D266" s="221"/>
      <c r="E266" s="306"/>
      <c r="F266" s="438"/>
    </row>
    <row r="267" spans="1:6" ht="12" customHeight="1" thickBot="1">
      <c r="A267" s="281"/>
      <c r="B267" s="317" t="s">
        <v>70</v>
      </c>
      <c r="C267" s="1107"/>
      <c r="D267" s="1107"/>
      <c r="E267" s="914"/>
      <c r="F267" s="1117"/>
    </row>
    <row r="268" spans="1:6" ht="12" customHeight="1" thickBot="1">
      <c r="A268" s="289"/>
      <c r="B268" s="320" t="s">
        <v>113</v>
      </c>
      <c r="C268" s="1108">
        <f aca="true" t="shared" si="63" ref="C268">SUM(C262:C267)</f>
        <v>18000</v>
      </c>
      <c r="D268" s="1108">
        <f aca="true" t="shared" si="64" ref="D268">SUM(D262:D267)</f>
        <v>19981</v>
      </c>
      <c r="E268" s="908">
        <f t="shared" si="56"/>
        <v>1.1100555555555556</v>
      </c>
      <c r="F268" s="335"/>
    </row>
    <row r="269" spans="1:6" ht="12" customHeight="1">
      <c r="A269" s="68">
        <v>3205</v>
      </c>
      <c r="B269" s="342" t="s">
        <v>315</v>
      </c>
      <c r="C269" s="278"/>
      <c r="D269" s="278"/>
      <c r="E269" s="306"/>
      <c r="F269" s="330" t="s">
        <v>452</v>
      </c>
    </row>
    <row r="270" spans="1:6" ht="12" customHeight="1">
      <c r="A270" s="281"/>
      <c r="B270" s="282" t="s">
        <v>97</v>
      </c>
      <c r="C270" s="221">
        <v>4000</v>
      </c>
      <c r="D270" s="221">
        <f>4000+301</f>
        <v>4301</v>
      </c>
      <c r="E270" s="910">
        <f t="shared" si="56"/>
        <v>1.07525</v>
      </c>
      <c r="F270" s="307" t="s">
        <v>136</v>
      </c>
    </row>
    <row r="271" spans="1:6" ht="12" customHeight="1">
      <c r="A271" s="281"/>
      <c r="B271" s="154" t="s">
        <v>263</v>
      </c>
      <c r="C271" s="221">
        <v>1000</v>
      </c>
      <c r="D271" s="221">
        <f>1000+49</f>
        <v>1049</v>
      </c>
      <c r="E271" s="909">
        <f t="shared" si="56"/>
        <v>1.049</v>
      </c>
      <c r="F271" s="331"/>
    </row>
    <row r="272" spans="1:6" ht="12" customHeight="1">
      <c r="A272" s="215"/>
      <c r="B272" s="283" t="s">
        <v>252</v>
      </c>
      <c r="C272" s="221">
        <v>9500</v>
      </c>
      <c r="D272" s="221">
        <f>9500+12243</f>
        <v>21743</v>
      </c>
      <c r="E272" s="909">
        <f t="shared" si="56"/>
        <v>2.288736842105263</v>
      </c>
      <c r="F272" s="437"/>
    </row>
    <row r="273" spans="1:6" ht="12" customHeight="1">
      <c r="A273" s="215"/>
      <c r="B273" s="222" t="s">
        <v>102</v>
      </c>
      <c r="C273" s="221"/>
      <c r="D273" s="221"/>
      <c r="E273" s="909"/>
      <c r="F273" s="437"/>
    </row>
    <row r="274" spans="1:6" ht="12" customHeight="1">
      <c r="A274" s="215"/>
      <c r="B274" s="222" t="s">
        <v>259</v>
      </c>
      <c r="C274" s="221">
        <v>10000</v>
      </c>
      <c r="D274" s="221">
        <f>10000+5208</f>
        <v>15208</v>
      </c>
      <c r="E274" s="909">
        <f t="shared" si="56"/>
        <v>1.5208</v>
      </c>
      <c r="F274" s="332"/>
    </row>
    <row r="275" spans="1:6" ht="12" customHeight="1">
      <c r="A275" s="215"/>
      <c r="B275" s="222" t="s">
        <v>102</v>
      </c>
      <c r="C275" s="221"/>
      <c r="D275" s="221"/>
      <c r="E275" s="909"/>
      <c r="F275" s="332"/>
    </row>
    <row r="276" spans="1:6" ht="12" customHeight="1">
      <c r="A276" s="215"/>
      <c r="B276" s="222" t="s">
        <v>16</v>
      </c>
      <c r="C276" s="221"/>
      <c r="D276" s="221">
        <v>4639</v>
      </c>
      <c r="E276" s="909"/>
      <c r="F276" s="332"/>
    </row>
    <row r="277" spans="1:6" ht="12" customHeight="1" thickBot="1">
      <c r="A277" s="215"/>
      <c r="B277" s="317" t="s">
        <v>240</v>
      </c>
      <c r="C277" s="1107">
        <v>40000</v>
      </c>
      <c r="D277" s="1107">
        <f>40000+2841</f>
        <v>42841</v>
      </c>
      <c r="E277" s="911">
        <f aca="true" t="shared" si="65" ref="E277:E339">SUM(D277/C277)</f>
        <v>1.071025</v>
      </c>
      <c r="F277" s="559"/>
    </row>
    <row r="278" spans="1:6" ht="12" customHeight="1" thickBot="1">
      <c r="A278" s="289"/>
      <c r="B278" s="320" t="s">
        <v>113</v>
      </c>
      <c r="C278" s="1108">
        <f>SUM(C270:C277)</f>
        <v>64500</v>
      </c>
      <c r="D278" s="1108">
        <f>SUM(D270:D277)</f>
        <v>89781</v>
      </c>
      <c r="E278" s="908">
        <f t="shared" si="65"/>
        <v>1.391953488372093</v>
      </c>
      <c r="F278" s="359"/>
    </row>
    <row r="279" spans="1:6" ht="12" customHeight="1">
      <c r="A279" s="68">
        <v>3206</v>
      </c>
      <c r="B279" s="342" t="s">
        <v>1259</v>
      </c>
      <c r="C279" s="278"/>
      <c r="D279" s="278"/>
      <c r="E279" s="306"/>
      <c r="F279" s="330"/>
    </row>
    <row r="280" spans="1:6" ht="12" customHeight="1">
      <c r="A280" s="281"/>
      <c r="B280" s="282" t="s">
        <v>97</v>
      </c>
      <c r="C280" s="221"/>
      <c r="D280" s="221"/>
      <c r="E280" s="306"/>
      <c r="F280" s="307"/>
    </row>
    <row r="281" spans="1:6" ht="12" customHeight="1">
      <c r="A281" s="281"/>
      <c r="B281" s="154" t="s">
        <v>263</v>
      </c>
      <c r="C281" s="221"/>
      <c r="D281" s="221"/>
      <c r="E281" s="306"/>
      <c r="F281" s="331"/>
    </row>
    <row r="282" spans="1:6" ht="12" customHeight="1">
      <c r="A282" s="215"/>
      <c r="B282" s="283" t="s">
        <v>252</v>
      </c>
      <c r="C282" s="221"/>
      <c r="D282" s="221"/>
      <c r="E282" s="306"/>
      <c r="F282" s="437"/>
    </row>
    <row r="283" spans="1:6" ht="12" customHeight="1">
      <c r="A283" s="215"/>
      <c r="B283" s="222" t="s">
        <v>102</v>
      </c>
      <c r="C283" s="221"/>
      <c r="D283" s="221"/>
      <c r="E283" s="306"/>
      <c r="F283" s="437"/>
    </row>
    <row r="284" spans="1:6" ht="12" customHeight="1">
      <c r="A284" s="215"/>
      <c r="B284" s="222" t="s">
        <v>259</v>
      </c>
      <c r="C284" s="221"/>
      <c r="D284" s="221"/>
      <c r="E284" s="306"/>
      <c r="F284" s="332"/>
    </row>
    <row r="285" spans="1:6" ht="12" customHeight="1">
      <c r="A285" s="215"/>
      <c r="B285" s="222" t="s">
        <v>102</v>
      </c>
      <c r="C285" s="221"/>
      <c r="D285" s="221"/>
      <c r="E285" s="306"/>
      <c r="F285" s="332"/>
    </row>
    <row r="286" spans="1:6" ht="12" customHeight="1">
      <c r="A286" s="215"/>
      <c r="B286" s="222" t="s">
        <v>16</v>
      </c>
      <c r="C286" s="221">
        <v>5000</v>
      </c>
      <c r="D286" s="221">
        <v>5000</v>
      </c>
      <c r="E286" s="909">
        <f t="shared" si="65"/>
        <v>1</v>
      </c>
      <c r="F286" s="332"/>
    </row>
    <row r="287" spans="1:6" ht="12" customHeight="1" thickBot="1">
      <c r="A287" s="215"/>
      <c r="B287" s="317" t="s">
        <v>240</v>
      </c>
      <c r="C287" s="1107">
        <v>5000</v>
      </c>
      <c r="D287" s="1107">
        <v>5000</v>
      </c>
      <c r="E287" s="912">
        <f t="shared" si="65"/>
        <v>1</v>
      </c>
      <c r="F287" s="559"/>
    </row>
    <row r="288" spans="1:6" ht="12" customHeight="1" thickBot="1">
      <c r="A288" s="289"/>
      <c r="B288" s="320" t="s">
        <v>113</v>
      </c>
      <c r="C288" s="1108">
        <f aca="true" t="shared" si="66" ref="C288">SUM(C280:C287)</f>
        <v>10000</v>
      </c>
      <c r="D288" s="1108">
        <f aca="true" t="shared" si="67" ref="D288">SUM(D280:D287)</f>
        <v>10000</v>
      </c>
      <c r="E288" s="914">
        <f t="shared" si="65"/>
        <v>1</v>
      </c>
      <c r="F288" s="359"/>
    </row>
    <row r="289" spans="1:6" ht="12" customHeight="1">
      <c r="A289" s="270">
        <v>3207</v>
      </c>
      <c r="B289" s="342" t="s">
        <v>256</v>
      </c>
      <c r="C289" s="278"/>
      <c r="D289" s="278"/>
      <c r="E289" s="306"/>
      <c r="F289" s="331"/>
    </row>
    <row r="290" spans="1:6" ht="12" customHeight="1">
      <c r="A290" s="215"/>
      <c r="B290" s="282" t="s">
        <v>97</v>
      </c>
      <c r="C290" s="221"/>
      <c r="D290" s="221"/>
      <c r="E290" s="306"/>
      <c r="F290" s="331"/>
    </row>
    <row r="291" spans="1:6" ht="12" customHeight="1">
      <c r="A291" s="215"/>
      <c r="B291" s="154" t="s">
        <v>263</v>
      </c>
      <c r="C291" s="221"/>
      <c r="D291" s="221"/>
      <c r="E291" s="306"/>
      <c r="F291" s="324"/>
    </row>
    <row r="292" spans="1:6" ht="12" customHeight="1">
      <c r="A292" s="215"/>
      <c r="B292" s="283" t="s">
        <v>252</v>
      </c>
      <c r="C292" s="221">
        <v>32000</v>
      </c>
      <c r="D292" s="221">
        <f>32000+2350</f>
        <v>34350</v>
      </c>
      <c r="E292" s="909">
        <f t="shared" si="65"/>
        <v>1.0734375</v>
      </c>
      <c r="F292" s="437"/>
    </row>
    <row r="293" spans="1:6" ht="12" customHeight="1">
      <c r="A293" s="215"/>
      <c r="B293" s="222" t="s">
        <v>102</v>
      </c>
      <c r="C293" s="221"/>
      <c r="D293" s="221"/>
      <c r="E293" s="306"/>
      <c r="F293" s="437"/>
    </row>
    <row r="294" spans="1:6" ht="12" customHeight="1">
      <c r="A294" s="215"/>
      <c r="B294" s="222" t="s">
        <v>259</v>
      </c>
      <c r="C294" s="221"/>
      <c r="D294" s="221"/>
      <c r="E294" s="306"/>
      <c r="F294" s="331"/>
    </row>
    <row r="295" spans="1:6" ht="12" customHeight="1" thickBot="1">
      <c r="A295" s="215"/>
      <c r="B295" s="317" t="s">
        <v>70</v>
      </c>
      <c r="C295" s="1107"/>
      <c r="D295" s="1107"/>
      <c r="E295" s="907"/>
      <c r="F295" s="302"/>
    </row>
    <row r="296" spans="1:6" ht="12.75" thickBot="1">
      <c r="A296" s="272"/>
      <c r="B296" s="320" t="s">
        <v>113</v>
      </c>
      <c r="C296" s="1108">
        <f aca="true" t="shared" si="68" ref="C296">SUM(C290:C295)</f>
        <v>32000</v>
      </c>
      <c r="D296" s="1108">
        <f aca="true" t="shared" si="69" ref="D296">SUM(D290:D295)</f>
        <v>34350</v>
      </c>
      <c r="E296" s="908">
        <f t="shared" si="65"/>
        <v>1.0734375</v>
      </c>
      <c r="F296" s="335"/>
    </row>
    <row r="297" spans="1:6" ht="12.75">
      <c r="A297" s="270">
        <v>3208</v>
      </c>
      <c r="B297" s="342" t="s">
        <v>161</v>
      </c>
      <c r="C297" s="278"/>
      <c r="D297" s="278"/>
      <c r="E297" s="306"/>
      <c r="F297" s="331"/>
    </row>
    <row r="298" spans="1:6" ht="12.75">
      <c r="A298" s="215"/>
      <c r="B298" s="282" t="s">
        <v>97</v>
      </c>
      <c r="C298" s="221"/>
      <c r="D298" s="221"/>
      <c r="E298" s="910"/>
      <c r="F298" s="331"/>
    </row>
    <row r="299" spans="1:6" ht="12.75">
      <c r="A299" s="215"/>
      <c r="B299" s="154" t="s">
        <v>263</v>
      </c>
      <c r="C299" s="221"/>
      <c r="D299" s="221"/>
      <c r="E299" s="909"/>
      <c r="F299" s="437"/>
    </row>
    <row r="300" spans="1:6" ht="12.75">
      <c r="A300" s="215"/>
      <c r="B300" s="283" t="s">
        <v>252</v>
      </c>
      <c r="C300" s="221">
        <v>20000</v>
      </c>
      <c r="D300" s="221">
        <f>20000+2462</f>
        <v>22462</v>
      </c>
      <c r="E300" s="909">
        <f t="shared" si="65"/>
        <v>1.1231</v>
      </c>
      <c r="F300" s="437"/>
    </row>
    <row r="301" spans="1:6" ht="12.75">
      <c r="A301" s="215"/>
      <c r="B301" s="222" t="s">
        <v>102</v>
      </c>
      <c r="C301" s="221"/>
      <c r="D301" s="221"/>
      <c r="E301" s="909"/>
      <c r="F301" s="331"/>
    </row>
    <row r="302" spans="1:6" ht="12.75">
      <c r="A302" s="215"/>
      <c r="B302" s="222" t="s">
        <v>259</v>
      </c>
      <c r="C302" s="221"/>
      <c r="D302" s="221"/>
      <c r="E302" s="909"/>
      <c r="F302" s="331"/>
    </row>
    <row r="303" spans="1:6" ht="12.75" thickBot="1">
      <c r="A303" s="215"/>
      <c r="B303" s="317" t="s">
        <v>70</v>
      </c>
      <c r="C303" s="1107"/>
      <c r="D303" s="1107"/>
      <c r="E303" s="911"/>
      <c r="F303" s="302"/>
    </row>
    <row r="304" spans="1:6" ht="12.75" thickBot="1">
      <c r="A304" s="272"/>
      <c r="B304" s="320" t="s">
        <v>113</v>
      </c>
      <c r="C304" s="1108">
        <f aca="true" t="shared" si="70" ref="C304">SUM(C298:C303)</f>
        <v>20000</v>
      </c>
      <c r="D304" s="1108">
        <f aca="true" t="shared" si="71" ref="D304">SUM(D298:D303)</f>
        <v>22462</v>
      </c>
      <c r="E304" s="908">
        <f t="shared" si="65"/>
        <v>1.1231</v>
      </c>
      <c r="F304" s="335"/>
    </row>
    <row r="305" spans="1:6" ht="12.75">
      <c r="A305" s="68">
        <v>3209</v>
      </c>
      <c r="B305" s="291" t="s">
        <v>60</v>
      </c>
      <c r="C305" s="278"/>
      <c r="D305" s="278"/>
      <c r="E305" s="306"/>
      <c r="F305" s="330"/>
    </row>
    <row r="306" spans="1:6" ht="12.75">
      <c r="A306" s="68"/>
      <c r="B306" s="283" t="s">
        <v>97</v>
      </c>
      <c r="C306" s="1109"/>
      <c r="D306" s="1109">
        <v>60</v>
      </c>
      <c r="E306" s="910"/>
      <c r="F306" s="307"/>
    </row>
    <row r="307" spans="1:6" ht="12.75">
      <c r="A307" s="68"/>
      <c r="B307" s="154" t="s">
        <v>263</v>
      </c>
      <c r="C307" s="1109"/>
      <c r="D307" s="1109">
        <v>98</v>
      </c>
      <c r="E307" s="909"/>
      <c r="F307" s="437"/>
    </row>
    <row r="308" spans="1:6" ht="12.75">
      <c r="A308" s="68"/>
      <c r="B308" s="283" t="s">
        <v>252</v>
      </c>
      <c r="C308" s="1109"/>
      <c r="D308" s="1109"/>
      <c r="E308" s="909"/>
      <c r="F308" s="437"/>
    </row>
    <row r="309" spans="1:6" ht="12.75">
      <c r="A309" s="68"/>
      <c r="B309" s="357" t="s">
        <v>102</v>
      </c>
      <c r="C309" s="1109"/>
      <c r="D309" s="1109"/>
      <c r="E309" s="909"/>
      <c r="F309" s="346"/>
    </row>
    <row r="310" spans="1:6" ht="12.75">
      <c r="A310" s="68"/>
      <c r="B310" s="357" t="s">
        <v>259</v>
      </c>
      <c r="C310" s="1109"/>
      <c r="D310" s="1109">
        <v>100</v>
      </c>
      <c r="E310" s="909"/>
      <c r="F310" s="307"/>
    </row>
    <row r="311" spans="1:6" ht="12.75">
      <c r="A311" s="68"/>
      <c r="B311" s="317" t="s">
        <v>222</v>
      </c>
      <c r="C311" s="1109"/>
      <c r="D311" s="1109"/>
      <c r="E311" s="909"/>
      <c r="F311" s="307"/>
    </row>
    <row r="312" spans="1:6" ht="12.75" thickBot="1">
      <c r="A312" s="68"/>
      <c r="B312" s="509" t="s">
        <v>240</v>
      </c>
      <c r="C312" s="1111"/>
      <c r="D312" s="1111"/>
      <c r="E312" s="911"/>
      <c r="F312" s="349"/>
    </row>
    <row r="313" spans="1:6" ht="12.75" thickBot="1">
      <c r="A313" s="289"/>
      <c r="B313" s="320" t="s">
        <v>113</v>
      </c>
      <c r="C313" s="1108">
        <f aca="true" t="shared" si="72" ref="C313">SUM(C306:C312)</f>
        <v>0</v>
      </c>
      <c r="D313" s="1108">
        <f aca="true" t="shared" si="73" ref="D313">SUM(D306:D312)</f>
        <v>258</v>
      </c>
      <c r="E313" s="908"/>
      <c r="F313" s="335"/>
    </row>
    <row r="314" spans="1:6" ht="12.75">
      <c r="A314" s="270"/>
      <c r="B314" s="288" t="s">
        <v>74</v>
      </c>
      <c r="C314" s="278">
        <f>SUM(C323+C334+C343+C351+C361)</f>
        <v>2634104</v>
      </c>
      <c r="D314" s="278">
        <f>SUM(D323+D334+D343+D351+D361)</f>
        <v>2888587</v>
      </c>
      <c r="E314" s="306">
        <f t="shared" si="65"/>
        <v>1.096610839966835</v>
      </c>
      <c r="F314" s="303"/>
    </row>
    <row r="315" spans="1:6" ht="12.75">
      <c r="A315" s="270">
        <v>3211</v>
      </c>
      <c r="B315" s="343" t="s">
        <v>520</v>
      </c>
      <c r="C315" s="278"/>
      <c r="D315" s="278"/>
      <c r="E315" s="306"/>
      <c r="F315" s="330"/>
    </row>
    <row r="316" spans="1:6" ht="12.75">
      <c r="A316" s="270"/>
      <c r="B316" s="283" t="s">
        <v>97</v>
      </c>
      <c r="C316" s="278"/>
      <c r="D316" s="278"/>
      <c r="E316" s="306"/>
      <c r="F316" s="307"/>
    </row>
    <row r="317" spans="1:6" ht="12.75">
      <c r="A317" s="270"/>
      <c r="B317" s="154" t="s">
        <v>263</v>
      </c>
      <c r="C317" s="278"/>
      <c r="D317" s="278"/>
      <c r="E317" s="910"/>
      <c r="F317" s="552"/>
    </row>
    <row r="318" spans="1:6" ht="12.75">
      <c r="A318" s="270"/>
      <c r="B318" s="283" t="s">
        <v>252</v>
      </c>
      <c r="C318" s="1109">
        <v>808000</v>
      </c>
      <c r="D318" s="1109">
        <f>808000+71029+3500</f>
        <v>882529</v>
      </c>
      <c r="E318" s="909">
        <f t="shared" si="65"/>
        <v>1.0922388613861387</v>
      </c>
      <c r="F318" s="552" t="s">
        <v>521</v>
      </c>
    </row>
    <row r="319" spans="1:6" ht="12.75">
      <c r="A319" s="270"/>
      <c r="B319" s="942" t="s">
        <v>1313</v>
      </c>
      <c r="C319" s="1109"/>
      <c r="D319" s="1109"/>
      <c r="E319" s="909"/>
      <c r="F319" s="941"/>
    </row>
    <row r="320" spans="1:6" ht="12.75">
      <c r="A320" s="270"/>
      <c r="B320" s="357" t="s">
        <v>102</v>
      </c>
      <c r="C320" s="1109"/>
      <c r="D320" s="1109"/>
      <c r="E320" s="909"/>
      <c r="F320" s="610"/>
    </row>
    <row r="321" spans="1:6" ht="12.75">
      <c r="A321" s="270"/>
      <c r="B321" s="357" t="s">
        <v>259</v>
      </c>
      <c r="C321" s="278"/>
      <c r="D321" s="278"/>
      <c r="E321" s="909"/>
      <c r="F321" s="438"/>
    </row>
    <row r="322" spans="1:6" ht="12.75" thickBot="1">
      <c r="A322" s="68"/>
      <c r="B322" s="317" t="s">
        <v>70</v>
      </c>
      <c r="C322" s="1110"/>
      <c r="D322" s="1110"/>
      <c r="E322" s="911"/>
      <c r="F322" s="438"/>
    </row>
    <row r="323" spans="1:6" ht="12.75" thickBot="1">
      <c r="A323" s="68"/>
      <c r="B323" s="320" t="s">
        <v>113</v>
      </c>
      <c r="C323" s="1108">
        <f aca="true" t="shared" si="74" ref="C323">SUM(C318:C322)</f>
        <v>808000</v>
      </c>
      <c r="D323" s="1108">
        <f aca="true" t="shared" si="75" ref="D323">SUM(D318:D322)</f>
        <v>882529</v>
      </c>
      <c r="E323" s="908">
        <f t="shared" si="65"/>
        <v>1.0922388613861387</v>
      </c>
      <c r="F323" s="335"/>
    </row>
    <row r="324" spans="1:6" ht="12.75">
      <c r="A324" s="68"/>
      <c r="B324" s="936" t="s">
        <v>1301</v>
      </c>
      <c r="C324" s="1114">
        <v>769900</v>
      </c>
      <c r="D324" s="1114">
        <v>773400</v>
      </c>
      <c r="E324" s="952">
        <f t="shared" si="65"/>
        <v>1.0045460449409014</v>
      </c>
      <c r="F324" s="303"/>
    </row>
    <row r="325" spans="1:6" ht="12.75" thickBot="1">
      <c r="A325" s="68"/>
      <c r="B325" s="935" t="s">
        <v>1302</v>
      </c>
      <c r="C325" s="1118">
        <v>38100</v>
      </c>
      <c r="D325" s="1118">
        <v>38100</v>
      </c>
      <c r="E325" s="951">
        <f t="shared" si="65"/>
        <v>1</v>
      </c>
      <c r="F325" s="349"/>
    </row>
    <row r="326" spans="1:6" ht="12.75" thickBot="1">
      <c r="A326" s="289"/>
      <c r="B326" s="320" t="s">
        <v>1107</v>
      </c>
      <c r="C326" s="1108">
        <f>SUM(C323)</f>
        <v>808000</v>
      </c>
      <c r="D326" s="1108">
        <f>SUM(D323)</f>
        <v>882529</v>
      </c>
      <c r="E326" s="908">
        <f t="shared" si="65"/>
        <v>1.0922388613861387</v>
      </c>
      <c r="F326" s="335"/>
    </row>
    <row r="327" spans="1:6" ht="12.75">
      <c r="A327" s="270">
        <v>3212</v>
      </c>
      <c r="B327" s="343" t="s">
        <v>362</v>
      </c>
      <c r="C327" s="278"/>
      <c r="D327" s="278"/>
      <c r="E327" s="306"/>
      <c r="F327" s="330"/>
    </row>
    <row r="328" spans="1:6" ht="12.75">
      <c r="A328" s="270"/>
      <c r="B328" s="283" t="s">
        <v>97</v>
      </c>
      <c r="C328" s="1109"/>
      <c r="D328" s="1109"/>
      <c r="E328" s="910"/>
      <c r="F328" s="307"/>
    </row>
    <row r="329" spans="1:6" ht="12.75">
      <c r="A329" s="270"/>
      <c r="B329" s="154" t="s">
        <v>263</v>
      </c>
      <c r="C329" s="1109"/>
      <c r="D329" s="1109"/>
      <c r="E329" s="909"/>
      <c r="F329" s="438" t="s">
        <v>482</v>
      </c>
    </row>
    <row r="330" spans="1:6" ht="12.75">
      <c r="A330" s="270"/>
      <c r="B330" s="283" t="s">
        <v>252</v>
      </c>
      <c r="C330" s="1109">
        <v>941884</v>
      </c>
      <c r="D330" s="1109">
        <f>941884+97912+22000</f>
        <v>1061796</v>
      </c>
      <c r="E330" s="909">
        <f t="shared" si="65"/>
        <v>1.1273107941105274</v>
      </c>
      <c r="F330" s="438" t="s">
        <v>483</v>
      </c>
    </row>
    <row r="331" spans="1:6" ht="12.75">
      <c r="A331" s="270"/>
      <c r="B331" s="357" t="s">
        <v>102</v>
      </c>
      <c r="C331" s="1109"/>
      <c r="D331" s="1109"/>
      <c r="E331" s="909"/>
      <c r="F331" s="610" t="s">
        <v>491</v>
      </c>
    </row>
    <row r="332" spans="1:6" ht="12.75">
      <c r="A332" s="270"/>
      <c r="B332" s="357" t="s">
        <v>259</v>
      </c>
      <c r="C332" s="278"/>
      <c r="D332" s="278"/>
      <c r="E332" s="909"/>
      <c r="F332" s="346"/>
    </row>
    <row r="333" spans="1:6" ht="12.75" thickBot="1">
      <c r="A333" s="270"/>
      <c r="B333" s="317" t="s">
        <v>70</v>
      </c>
      <c r="C333" s="1110"/>
      <c r="D333" s="1110"/>
      <c r="E333" s="911"/>
      <c r="F333" s="333"/>
    </row>
    <row r="334" spans="1:6" ht="12.75" thickBot="1">
      <c r="A334" s="68"/>
      <c r="B334" s="320" t="s">
        <v>113</v>
      </c>
      <c r="C334" s="1108">
        <f aca="true" t="shared" si="76" ref="C334">SUM(C328:C333)</f>
        <v>941884</v>
      </c>
      <c r="D334" s="1108">
        <f aca="true" t="shared" si="77" ref="D334">SUM(D328:D333)</f>
        <v>1061796</v>
      </c>
      <c r="E334" s="908">
        <f t="shared" si="65"/>
        <v>1.1273107941105274</v>
      </c>
      <c r="F334" s="335"/>
    </row>
    <row r="335" spans="1:6" ht="12.75" thickBot="1">
      <c r="A335" s="289"/>
      <c r="B335" s="937" t="s">
        <v>1303</v>
      </c>
      <c r="C335" s="1118">
        <v>781050</v>
      </c>
      <c r="D335" s="1118">
        <v>803050</v>
      </c>
      <c r="E335" s="914">
        <f t="shared" si="65"/>
        <v>1.0281672108059663</v>
      </c>
      <c r="F335" s="349"/>
    </row>
    <row r="336" spans="1:6" ht="12.75">
      <c r="A336" s="270">
        <v>3213</v>
      </c>
      <c r="B336" s="292" t="s">
        <v>873</v>
      </c>
      <c r="C336" s="278"/>
      <c r="D336" s="278"/>
      <c r="E336" s="306"/>
      <c r="F336" s="330"/>
    </row>
    <row r="337" spans="1:6" ht="12.75">
      <c r="A337" s="270"/>
      <c r="B337" s="283" t="s">
        <v>97</v>
      </c>
      <c r="C337" s="278"/>
      <c r="D337" s="278"/>
      <c r="E337" s="306"/>
      <c r="F337" s="307"/>
    </row>
    <row r="338" spans="1:6" ht="12.75">
      <c r="A338" s="270"/>
      <c r="B338" s="154" t="s">
        <v>263</v>
      </c>
      <c r="C338" s="278"/>
      <c r="D338" s="278"/>
      <c r="E338" s="910"/>
      <c r="F338" s="438"/>
    </row>
    <row r="339" spans="1:6" ht="12.75">
      <c r="A339" s="270"/>
      <c r="B339" s="283" t="s">
        <v>252</v>
      </c>
      <c r="C339" s="1109">
        <v>490000</v>
      </c>
      <c r="D339" s="1109">
        <f>490000+3601</f>
        <v>493601</v>
      </c>
      <c r="E339" s="909">
        <f t="shared" si="65"/>
        <v>1.0073489795918367</v>
      </c>
      <c r="F339" s="346"/>
    </row>
    <row r="340" spans="1:6" ht="12.75">
      <c r="A340" s="270"/>
      <c r="B340" s="357" t="s">
        <v>102</v>
      </c>
      <c r="C340" s="1109"/>
      <c r="D340" s="1109"/>
      <c r="E340" s="909"/>
      <c r="F340" s="346"/>
    </row>
    <row r="341" spans="1:6" ht="12.75">
      <c r="A341" s="270"/>
      <c r="B341" s="357" t="s">
        <v>259</v>
      </c>
      <c r="C341" s="278"/>
      <c r="D341" s="278"/>
      <c r="E341" s="909"/>
      <c r="F341" s="307"/>
    </row>
    <row r="342" spans="1:6" ht="12.75" thickBot="1">
      <c r="A342" s="270"/>
      <c r="B342" s="317" t="s">
        <v>70</v>
      </c>
      <c r="C342" s="1110"/>
      <c r="D342" s="1110"/>
      <c r="E342" s="911"/>
      <c r="F342" s="333"/>
    </row>
    <row r="343" spans="1:6" ht="12.75" thickBot="1">
      <c r="A343" s="289"/>
      <c r="B343" s="320" t="s">
        <v>113</v>
      </c>
      <c r="C343" s="1108">
        <f aca="true" t="shared" si="78" ref="C343">SUM(C339:C342)</f>
        <v>490000</v>
      </c>
      <c r="D343" s="1108">
        <f aca="true" t="shared" si="79" ref="D343">SUM(D339:D342)</f>
        <v>493601</v>
      </c>
      <c r="E343" s="908">
        <f aca="true" t="shared" si="80" ref="E343:E399">SUM(D343/C343)</f>
        <v>1.0073489795918367</v>
      </c>
      <c r="F343" s="349"/>
    </row>
    <row r="344" spans="1:6" ht="12.75">
      <c r="A344" s="308">
        <v>3216</v>
      </c>
      <c r="B344" s="339" t="s">
        <v>29</v>
      </c>
      <c r="C344" s="1101"/>
      <c r="D344" s="1101"/>
      <c r="E344" s="306"/>
      <c r="F344" s="360"/>
    </row>
    <row r="345" spans="1:6" ht="12.75">
      <c r="A345" s="308"/>
      <c r="B345" s="315" t="s">
        <v>97</v>
      </c>
      <c r="C345" s="1101"/>
      <c r="D345" s="1101"/>
      <c r="E345" s="306"/>
      <c r="F345" s="361"/>
    </row>
    <row r="346" spans="1:6" ht="12.75">
      <c r="A346" s="308"/>
      <c r="B346" s="314" t="s">
        <v>263</v>
      </c>
      <c r="C346" s="1101"/>
      <c r="D346" s="1101"/>
      <c r="E346" s="910"/>
      <c r="F346" s="606" t="s">
        <v>453</v>
      </c>
    </row>
    <row r="347" spans="1:6" ht="12.75">
      <c r="A347" s="308"/>
      <c r="B347" s="315" t="s">
        <v>252</v>
      </c>
      <c r="C347" s="1102">
        <v>273000</v>
      </c>
      <c r="D347" s="1102">
        <f>273000+34473</f>
        <v>307473</v>
      </c>
      <c r="E347" s="909">
        <f t="shared" si="80"/>
        <v>1.1262747252747254</v>
      </c>
      <c r="F347" s="490" t="s">
        <v>479</v>
      </c>
    </row>
    <row r="348" spans="1:6" ht="12.75">
      <c r="A348" s="308"/>
      <c r="B348" s="363" t="s">
        <v>102</v>
      </c>
      <c r="C348" s="1102"/>
      <c r="D348" s="1102"/>
      <c r="E348" s="909"/>
      <c r="F348" s="441"/>
    </row>
    <row r="349" spans="1:6" ht="12.75">
      <c r="A349" s="308"/>
      <c r="B349" s="357" t="s">
        <v>259</v>
      </c>
      <c r="C349" s="1102"/>
      <c r="D349" s="1102"/>
      <c r="E349" s="909"/>
      <c r="F349" s="610" t="s">
        <v>491</v>
      </c>
    </row>
    <row r="350" spans="1:6" ht="12.75" thickBot="1">
      <c r="A350" s="308"/>
      <c r="B350" s="317" t="s">
        <v>222</v>
      </c>
      <c r="C350" s="1112"/>
      <c r="D350" s="1112"/>
      <c r="E350" s="911"/>
      <c r="F350" s="364"/>
    </row>
    <row r="351" spans="1:6" ht="12.75" thickBot="1">
      <c r="A351" s="329"/>
      <c r="B351" s="320" t="s">
        <v>113</v>
      </c>
      <c r="C351" s="1119">
        <f>SUM(C347:C350)</f>
        <v>273000</v>
      </c>
      <c r="D351" s="1119">
        <f>SUM(D347:D350)</f>
        <v>307473</v>
      </c>
      <c r="E351" s="908">
        <f t="shared" si="80"/>
        <v>1.1262747252747254</v>
      </c>
      <c r="F351" s="354"/>
    </row>
    <row r="352" spans="1:6" ht="12.75">
      <c r="A352" s="329"/>
      <c r="B352" s="938" t="s">
        <v>1316</v>
      </c>
      <c r="C352" s="1120">
        <v>253000</v>
      </c>
      <c r="D352" s="1120">
        <v>253000</v>
      </c>
      <c r="E352" s="950">
        <f t="shared" si="80"/>
        <v>1</v>
      </c>
      <c r="F352" s="365"/>
    </row>
    <row r="353" spans="1:6" ht="12.75" thickBot="1">
      <c r="A353" s="327"/>
      <c r="B353" s="940" t="s">
        <v>1317</v>
      </c>
      <c r="C353" s="1121">
        <v>20000</v>
      </c>
      <c r="D353" s="1121">
        <v>20000</v>
      </c>
      <c r="E353" s="954">
        <f t="shared" si="80"/>
        <v>1</v>
      </c>
      <c r="F353" s="361"/>
    </row>
    <row r="354" spans="1:6" ht="12.75">
      <c r="A354" s="308">
        <v>3217</v>
      </c>
      <c r="B354" s="339" t="s">
        <v>1258</v>
      </c>
      <c r="C354" s="1101"/>
      <c r="D354" s="1101"/>
      <c r="E354" s="306"/>
      <c r="F354" s="360"/>
    </row>
    <row r="355" spans="1:6" ht="12.75">
      <c r="A355" s="308"/>
      <c r="B355" s="315" t="s">
        <v>97</v>
      </c>
      <c r="C355" s="1101"/>
      <c r="D355" s="1101"/>
      <c r="E355" s="306"/>
      <c r="F355" s="361"/>
    </row>
    <row r="356" spans="1:6" ht="12.75">
      <c r="A356" s="308"/>
      <c r="B356" s="314" t="s">
        <v>263</v>
      </c>
      <c r="C356" s="1101"/>
      <c r="D356" s="1101"/>
      <c r="E356" s="910"/>
      <c r="F356" s="606" t="s">
        <v>453</v>
      </c>
    </row>
    <row r="357" spans="1:6" ht="12.75">
      <c r="A357" s="308"/>
      <c r="B357" s="315" t="s">
        <v>252</v>
      </c>
      <c r="C357" s="1102">
        <v>121220</v>
      </c>
      <c r="D357" s="1102">
        <f>121220+9268+12700</f>
        <v>143188</v>
      </c>
      <c r="E357" s="909">
        <f t="shared" si="80"/>
        <v>1.1812242204256724</v>
      </c>
      <c r="F357" s="490" t="s">
        <v>479</v>
      </c>
    </row>
    <row r="358" spans="1:6" ht="12.75">
      <c r="A358" s="308"/>
      <c r="B358" s="363" t="s">
        <v>102</v>
      </c>
      <c r="C358" s="1102"/>
      <c r="D358" s="1102"/>
      <c r="E358" s="909"/>
      <c r="F358" s="441"/>
    </row>
    <row r="359" spans="1:6" ht="12.75">
      <c r="A359" s="308"/>
      <c r="B359" s="357" t="s">
        <v>259</v>
      </c>
      <c r="C359" s="1102"/>
      <c r="D359" s="1102"/>
      <c r="E359" s="909"/>
      <c r="F359" s="610" t="s">
        <v>491</v>
      </c>
    </row>
    <row r="360" spans="1:6" ht="12.75" thickBot="1">
      <c r="A360" s="308"/>
      <c r="B360" s="317" t="s">
        <v>222</v>
      </c>
      <c r="C360" s="1112"/>
      <c r="D360" s="1112"/>
      <c r="E360" s="911"/>
      <c r="F360" s="364"/>
    </row>
    <row r="361" spans="1:6" ht="12.75" thickBot="1">
      <c r="A361" s="329"/>
      <c r="B361" s="320" t="s">
        <v>113</v>
      </c>
      <c r="C361" s="1119">
        <f aca="true" t="shared" si="81" ref="C361">SUM(C357:C360)</f>
        <v>121220</v>
      </c>
      <c r="D361" s="1119">
        <f aca="true" t="shared" si="82" ref="D361">SUM(D357:D360)</f>
        <v>143188</v>
      </c>
      <c r="E361" s="908">
        <f t="shared" si="80"/>
        <v>1.1812242204256724</v>
      </c>
      <c r="F361" s="354"/>
    </row>
    <row r="362" spans="1:6" ht="12.75">
      <c r="A362" s="329"/>
      <c r="B362" s="938" t="s">
        <v>1307</v>
      </c>
      <c r="C362" s="1120">
        <v>47759</v>
      </c>
      <c r="D362" s="1120">
        <v>58409</v>
      </c>
      <c r="E362" s="915">
        <f t="shared" si="80"/>
        <v>1.2229946188153018</v>
      </c>
      <c r="F362" s="365"/>
    </row>
    <row r="363" spans="1:6" ht="12.75">
      <c r="A363" s="308"/>
      <c r="B363" s="939" t="s">
        <v>1308</v>
      </c>
      <c r="C363" s="1122">
        <v>28993</v>
      </c>
      <c r="D363" s="1122">
        <v>28993</v>
      </c>
      <c r="E363" s="910">
        <f t="shared" si="80"/>
        <v>1</v>
      </c>
      <c r="F363" s="361"/>
    </row>
    <row r="364" spans="1:6" ht="12.75">
      <c r="A364" s="308"/>
      <c r="B364" s="939" t="s">
        <v>1309</v>
      </c>
      <c r="C364" s="1122">
        <v>27518</v>
      </c>
      <c r="D364" s="1122">
        <v>27518</v>
      </c>
      <c r="E364" s="910">
        <f t="shared" si="80"/>
        <v>1</v>
      </c>
      <c r="F364" s="361"/>
    </row>
    <row r="365" spans="1:6" ht="12.75">
      <c r="A365" s="308"/>
      <c r="B365" s="939" t="s">
        <v>1310</v>
      </c>
      <c r="C365" s="1122">
        <v>6950</v>
      </c>
      <c r="D365" s="1122">
        <v>9000</v>
      </c>
      <c r="E365" s="910">
        <f t="shared" si="80"/>
        <v>1.2949640287769784</v>
      </c>
      <c r="F365" s="361"/>
    </row>
    <row r="366" spans="1:6" ht="12.75">
      <c r="A366" s="308"/>
      <c r="B366" s="939" t="s">
        <v>1311</v>
      </c>
      <c r="C366" s="1122">
        <v>5000</v>
      </c>
      <c r="D366" s="1122">
        <v>5000</v>
      </c>
      <c r="E366" s="910">
        <f t="shared" si="80"/>
        <v>1</v>
      </c>
      <c r="F366" s="361"/>
    </row>
    <row r="367" spans="1:6" ht="12.75" thickBot="1">
      <c r="A367" s="327"/>
      <c r="B367" s="939" t="s">
        <v>1312</v>
      </c>
      <c r="C367" s="1122">
        <v>5000</v>
      </c>
      <c r="D367" s="1122">
        <v>5000</v>
      </c>
      <c r="E367" s="910">
        <f t="shared" si="80"/>
        <v>1</v>
      </c>
      <c r="F367" s="361"/>
    </row>
    <row r="368" spans="1:6" ht="12.75" thickBot="1">
      <c r="A368" s="270">
        <v>3220</v>
      </c>
      <c r="B368" s="285" t="s">
        <v>322</v>
      </c>
      <c r="C368" s="1108">
        <f>SUM(C386+C377+C395+C404)</f>
        <v>37215</v>
      </c>
      <c r="D368" s="1108">
        <f>SUM(D386+D377+D395+D404)</f>
        <v>40414</v>
      </c>
      <c r="E368" s="908">
        <f t="shared" si="80"/>
        <v>1.0859599623807605</v>
      </c>
      <c r="F368" s="335"/>
    </row>
    <row r="369" spans="1:6" ht="12.75">
      <c r="A369" s="270">
        <v>3221</v>
      </c>
      <c r="B369" s="291" t="s">
        <v>536</v>
      </c>
      <c r="C369" s="278"/>
      <c r="D369" s="278"/>
      <c r="E369" s="306"/>
      <c r="F369" s="303"/>
    </row>
    <row r="370" spans="1:6" ht="12.75">
      <c r="A370" s="270"/>
      <c r="B370" s="282" t="s">
        <v>97</v>
      </c>
      <c r="C370" s="1109">
        <v>99</v>
      </c>
      <c r="D370" s="1109">
        <v>99</v>
      </c>
      <c r="E370" s="909">
        <f t="shared" si="80"/>
        <v>1</v>
      </c>
      <c r="F370" s="330"/>
    </row>
    <row r="371" spans="1:6" ht="12.75">
      <c r="A371" s="270"/>
      <c r="B371" s="154" t="s">
        <v>263</v>
      </c>
      <c r="C371" s="1109">
        <v>15</v>
      </c>
      <c r="D371" s="1109">
        <v>15</v>
      </c>
      <c r="E371" s="910">
        <f t="shared" si="80"/>
        <v>1</v>
      </c>
      <c r="F371" s="437"/>
    </row>
    <row r="372" spans="1:6" ht="12.75">
      <c r="A372" s="270"/>
      <c r="B372" s="283" t="s">
        <v>252</v>
      </c>
      <c r="C372" s="1109">
        <v>100</v>
      </c>
      <c r="D372" s="1109">
        <f>100+2199</f>
        <v>2299</v>
      </c>
      <c r="E372" s="909">
        <f t="shared" si="80"/>
        <v>22.99</v>
      </c>
      <c r="F372" s="346"/>
    </row>
    <row r="373" spans="1:6" ht="12.75">
      <c r="A373" s="270"/>
      <c r="B373" s="222" t="s">
        <v>102</v>
      </c>
      <c r="C373" s="1109"/>
      <c r="D373" s="1109"/>
      <c r="E373" s="909"/>
      <c r="F373" s="346"/>
    </row>
    <row r="374" spans="1:6" ht="12.75">
      <c r="A374" s="270"/>
      <c r="B374" s="222" t="s">
        <v>259</v>
      </c>
      <c r="C374" s="278"/>
      <c r="D374" s="278"/>
      <c r="E374" s="909"/>
      <c r="F374" s="307"/>
    </row>
    <row r="375" spans="1:6" ht="12.75">
      <c r="A375" s="270"/>
      <c r="B375" s="222" t="s">
        <v>534</v>
      </c>
      <c r="C375" s="1109"/>
      <c r="D375" s="1109"/>
      <c r="E375" s="909"/>
      <c r="F375" s="654"/>
    </row>
    <row r="376" spans="1:6" ht="12.75" thickBot="1">
      <c r="A376" s="270"/>
      <c r="B376" s="317" t="s">
        <v>240</v>
      </c>
      <c r="C376" s="1111"/>
      <c r="D376" s="1111"/>
      <c r="E376" s="911"/>
      <c r="F376" s="333"/>
    </row>
    <row r="377" spans="1:6" ht="12.75" thickBot="1">
      <c r="A377" s="289"/>
      <c r="B377" s="320" t="s">
        <v>113</v>
      </c>
      <c r="C377" s="1108">
        <f aca="true" t="shared" si="83" ref="C377">SUM(C370:C376)</f>
        <v>214</v>
      </c>
      <c r="D377" s="1108">
        <f aca="true" t="shared" si="84" ref="D377">SUM(D370:D376)</f>
        <v>2413</v>
      </c>
      <c r="E377" s="908">
        <f t="shared" si="80"/>
        <v>11.27570093457944</v>
      </c>
      <c r="F377" s="335"/>
    </row>
    <row r="378" spans="1:6" ht="12.75">
      <c r="A378" s="270">
        <v>3223</v>
      </c>
      <c r="B378" s="291" t="s">
        <v>63</v>
      </c>
      <c r="C378" s="278"/>
      <c r="D378" s="278"/>
      <c r="E378" s="306"/>
      <c r="F378" s="303"/>
    </row>
    <row r="379" spans="1:6" ht="12.75">
      <c r="A379" s="270"/>
      <c r="B379" s="282" t="s">
        <v>97</v>
      </c>
      <c r="C379" s="1109"/>
      <c r="D379" s="1109"/>
      <c r="E379" s="306"/>
      <c r="F379" s="330"/>
    </row>
    <row r="380" spans="1:6" ht="12.75">
      <c r="A380" s="270"/>
      <c r="B380" s="154" t="s">
        <v>263</v>
      </c>
      <c r="C380" s="1109"/>
      <c r="D380" s="1109"/>
      <c r="E380" s="910"/>
      <c r="F380" s="437"/>
    </row>
    <row r="381" spans="1:6" ht="12.75">
      <c r="A381" s="270"/>
      <c r="B381" s="283" t="s">
        <v>252</v>
      </c>
      <c r="C381" s="1109">
        <v>2945</v>
      </c>
      <c r="D381" s="1109">
        <f>2945+1000</f>
        <v>3945</v>
      </c>
      <c r="E381" s="909">
        <f t="shared" si="80"/>
        <v>1.33955857385399</v>
      </c>
      <c r="F381" s="346"/>
    </row>
    <row r="382" spans="1:6" ht="12.75">
      <c r="A382" s="270"/>
      <c r="B382" s="222" t="s">
        <v>102</v>
      </c>
      <c r="C382" s="1109"/>
      <c r="D382" s="1109"/>
      <c r="E382" s="909"/>
      <c r="F382" s="346"/>
    </row>
    <row r="383" spans="1:6" ht="12.75">
      <c r="A383" s="270"/>
      <c r="B383" s="222" t="s">
        <v>259</v>
      </c>
      <c r="C383" s="278"/>
      <c r="D383" s="278"/>
      <c r="E383" s="909"/>
      <c r="F383" s="307"/>
    </row>
    <row r="384" spans="1:6" ht="12.75">
      <c r="A384" s="270"/>
      <c r="B384" s="222" t="s">
        <v>534</v>
      </c>
      <c r="C384" s="1109"/>
      <c r="D384" s="1109"/>
      <c r="E384" s="909"/>
      <c r="F384" s="654"/>
    </row>
    <row r="385" spans="1:6" ht="12.75" thickBot="1">
      <c r="A385" s="270"/>
      <c r="B385" s="317" t="s">
        <v>240</v>
      </c>
      <c r="C385" s="1111">
        <v>5200</v>
      </c>
      <c r="D385" s="1111">
        <v>5200</v>
      </c>
      <c r="E385" s="911">
        <f t="shared" si="80"/>
        <v>1</v>
      </c>
      <c r="F385" s="1123"/>
    </row>
    <row r="386" spans="1:6" ht="12.75" thickBot="1">
      <c r="A386" s="289"/>
      <c r="B386" s="320" t="s">
        <v>113</v>
      </c>
      <c r="C386" s="1108">
        <f aca="true" t="shared" si="85" ref="C386">SUM(C379:C385)</f>
        <v>8145</v>
      </c>
      <c r="D386" s="1108">
        <f aca="true" t="shared" si="86" ref="D386">SUM(D379:D385)</f>
        <v>9145</v>
      </c>
      <c r="E386" s="908">
        <f t="shared" si="80"/>
        <v>1.1227747084100674</v>
      </c>
      <c r="F386" s="335"/>
    </row>
    <row r="387" spans="1:6" ht="12.75">
      <c r="A387" s="270">
        <v>3222</v>
      </c>
      <c r="B387" s="291" t="s">
        <v>1172</v>
      </c>
      <c r="C387" s="278"/>
      <c r="D387" s="278"/>
      <c r="E387" s="306"/>
      <c r="F387" s="303"/>
    </row>
    <row r="388" spans="1:6" ht="12.75">
      <c r="A388" s="270"/>
      <c r="B388" s="282" t="s">
        <v>97</v>
      </c>
      <c r="C388" s="1109">
        <v>15000</v>
      </c>
      <c r="D388" s="1109">
        <v>15000</v>
      </c>
      <c r="E388" s="909">
        <f t="shared" si="80"/>
        <v>1</v>
      </c>
      <c r="F388" s="330"/>
    </row>
    <row r="389" spans="1:6" ht="12.75">
      <c r="A389" s="270"/>
      <c r="B389" s="154" t="s">
        <v>263</v>
      </c>
      <c r="C389" s="1109">
        <v>1950</v>
      </c>
      <c r="D389" s="1109">
        <v>1950</v>
      </c>
      <c r="E389" s="909">
        <f t="shared" si="80"/>
        <v>1</v>
      </c>
      <c r="F389" s="437"/>
    </row>
    <row r="390" spans="1:6" ht="12.75">
      <c r="A390" s="270"/>
      <c r="B390" s="283" t="s">
        <v>252</v>
      </c>
      <c r="C390" s="1109">
        <v>3242</v>
      </c>
      <c r="D390" s="1109">
        <v>3242</v>
      </c>
      <c r="E390" s="909">
        <f t="shared" si="80"/>
        <v>1</v>
      </c>
      <c r="F390" s="346"/>
    </row>
    <row r="391" spans="1:6" ht="12.75">
      <c r="A391" s="270"/>
      <c r="B391" s="222" t="s">
        <v>102</v>
      </c>
      <c r="C391" s="1109"/>
      <c r="D391" s="1109"/>
      <c r="E391" s="909"/>
      <c r="F391" s="346"/>
    </row>
    <row r="392" spans="1:6" ht="12.75">
      <c r="A392" s="270"/>
      <c r="B392" s="222" t="s">
        <v>259</v>
      </c>
      <c r="C392" s="278"/>
      <c r="D392" s="278"/>
      <c r="E392" s="306"/>
      <c r="F392" s="307"/>
    </row>
    <row r="393" spans="1:6" ht="12.75">
      <c r="A393" s="270"/>
      <c r="B393" s="222" t="s">
        <v>534</v>
      </c>
      <c r="C393" s="1109"/>
      <c r="D393" s="1109"/>
      <c r="E393" s="306"/>
      <c r="F393" s="654"/>
    </row>
    <row r="394" spans="1:6" ht="12.75" thickBot="1">
      <c r="A394" s="270"/>
      <c r="B394" s="317" t="s">
        <v>240</v>
      </c>
      <c r="C394" s="1111"/>
      <c r="D394" s="1111"/>
      <c r="E394" s="907"/>
      <c r="F394" s="1123"/>
    </row>
    <row r="395" spans="1:6" ht="12.75" thickBot="1">
      <c r="A395" s="289"/>
      <c r="B395" s="320" t="s">
        <v>113</v>
      </c>
      <c r="C395" s="1108">
        <f aca="true" t="shared" si="87" ref="C395">SUM(C388:C394)</f>
        <v>20192</v>
      </c>
      <c r="D395" s="1108">
        <f aca="true" t="shared" si="88" ref="D395">SUM(D388:D394)</f>
        <v>20192</v>
      </c>
      <c r="E395" s="908">
        <f t="shared" si="80"/>
        <v>1</v>
      </c>
      <c r="F395" s="335"/>
    </row>
    <row r="396" spans="1:6" ht="12.75">
      <c r="A396" s="270">
        <v>3225</v>
      </c>
      <c r="B396" s="291" t="s">
        <v>1173</v>
      </c>
      <c r="C396" s="278"/>
      <c r="D396" s="278"/>
      <c r="E396" s="306"/>
      <c r="F396" s="303"/>
    </row>
    <row r="397" spans="1:6" ht="12.75">
      <c r="A397" s="270"/>
      <c r="B397" s="282" t="s">
        <v>97</v>
      </c>
      <c r="C397" s="1109">
        <v>7400</v>
      </c>
      <c r="D397" s="1109">
        <v>7400</v>
      </c>
      <c r="E397" s="909">
        <f t="shared" si="80"/>
        <v>1</v>
      </c>
      <c r="F397" s="330"/>
    </row>
    <row r="398" spans="1:6" ht="12.75">
      <c r="A398" s="270"/>
      <c r="B398" s="154" t="s">
        <v>263</v>
      </c>
      <c r="C398" s="1109">
        <v>962</v>
      </c>
      <c r="D398" s="1109">
        <v>962</v>
      </c>
      <c r="E398" s="909">
        <f t="shared" si="80"/>
        <v>1</v>
      </c>
      <c r="F398" s="437"/>
    </row>
    <row r="399" spans="1:6" ht="12.75">
      <c r="A399" s="270"/>
      <c r="B399" s="283" t="s">
        <v>252</v>
      </c>
      <c r="C399" s="1109">
        <v>302</v>
      </c>
      <c r="D399" s="1109">
        <v>302</v>
      </c>
      <c r="E399" s="909">
        <f t="shared" si="80"/>
        <v>1</v>
      </c>
      <c r="F399" s="346"/>
    </row>
    <row r="400" spans="1:6" ht="12.75">
      <c r="A400" s="270"/>
      <c r="B400" s="222" t="s">
        <v>102</v>
      </c>
      <c r="C400" s="1109"/>
      <c r="D400" s="1109"/>
      <c r="E400" s="306"/>
      <c r="F400" s="346"/>
    </row>
    <row r="401" spans="1:6" ht="12.75">
      <c r="A401" s="270"/>
      <c r="B401" s="222" t="s">
        <v>259</v>
      </c>
      <c r="C401" s="278"/>
      <c r="D401" s="278"/>
      <c r="E401" s="306"/>
      <c r="F401" s="307"/>
    </row>
    <row r="402" spans="1:6" ht="12.75">
      <c r="A402" s="270"/>
      <c r="B402" s="222" t="s">
        <v>534</v>
      </c>
      <c r="C402" s="1109"/>
      <c r="D402" s="1109"/>
      <c r="E402" s="306"/>
      <c r="F402" s="654"/>
    </row>
    <row r="403" spans="1:6" ht="12.75" thickBot="1">
      <c r="A403" s="270"/>
      <c r="B403" s="317" t="s">
        <v>240</v>
      </c>
      <c r="C403" s="1111"/>
      <c r="D403" s="1111"/>
      <c r="E403" s="907"/>
      <c r="F403" s="1123"/>
    </row>
    <row r="404" spans="1:6" ht="12.75" thickBot="1">
      <c r="A404" s="289"/>
      <c r="B404" s="320" t="s">
        <v>113</v>
      </c>
      <c r="C404" s="1108">
        <f aca="true" t="shared" si="89" ref="C404">SUM(C397:C403)</f>
        <v>8664</v>
      </c>
      <c r="D404" s="1108">
        <f aca="true" t="shared" si="90" ref="D404">SUM(D397:D403)</f>
        <v>8664</v>
      </c>
      <c r="E404" s="908">
        <f aca="true" t="shared" si="91" ref="E404:E473">SUM(D404/C404)</f>
        <v>1</v>
      </c>
      <c r="F404" s="335"/>
    </row>
    <row r="405" spans="1:6" ht="12" customHeight="1" thickBot="1">
      <c r="A405" s="270">
        <v>3300</v>
      </c>
      <c r="B405" s="355" t="s">
        <v>40</v>
      </c>
      <c r="C405" s="1108">
        <f>SUM(C413+C421+C459+C468+C477+C493+C501+C509+C525+C550+C558+C566+C606+C614+C623+C640+C648+C656+C664+C672+C680+C697+C714+C722+C730+C738+C517+C533+C541+C574+C582+C590+C688)+C430+C450+C485+C632+C706</f>
        <v>624784</v>
      </c>
      <c r="D405" s="1108">
        <f>SUM(D413+D421+D459+D468+D477+D493+D501+D509+D525+D550+D558+D566+D606+D614+D623+D640+D648+D656+D664+D672+D680+D697+D714+D722+D730+D738+D517+D533+D541+D574+D582+D590+D688)+D430+D450+D485+D632+D706</f>
        <v>648552</v>
      </c>
      <c r="E405" s="908">
        <f t="shared" si="91"/>
        <v>1.0380419472969857</v>
      </c>
      <c r="F405" s="366"/>
    </row>
    <row r="406" spans="1:6" ht="12" customHeight="1">
      <c r="A406" s="270">
        <v>3301</v>
      </c>
      <c r="B406" s="292" t="s">
        <v>127</v>
      </c>
      <c r="C406" s="278"/>
      <c r="D406" s="278"/>
      <c r="E406" s="306"/>
      <c r="F406" s="303" t="s">
        <v>462</v>
      </c>
    </row>
    <row r="407" spans="1:6" ht="12" customHeight="1">
      <c r="A407" s="68"/>
      <c r="B407" s="282" t="s">
        <v>97</v>
      </c>
      <c r="C407" s="1109">
        <v>1000</v>
      </c>
      <c r="D407" s="1109">
        <v>1000</v>
      </c>
      <c r="E407" s="910">
        <f t="shared" si="91"/>
        <v>1</v>
      </c>
      <c r="F407" s="560" t="s">
        <v>461</v>
      </c>
    </row>
    <row r="408" spans="1:6" ht="12" customHeight="1">
      <c r="A408" s="68"/>
      <c r="B408" s="154" t="s">
        <v>263</v>
      </c>
      <c r="C408" s="1109">
        <v>300</v>
      </c>
      <c r="D408" s="1109">
        <v>300</v>
      </c>
      <c r="E408" s="909">
        <f t="shared" si="91"/>
        <v>1</v>
      </c>
      <c r="F408" s="346"/>
    </row>
    <row r="409" spans="1:6" ht="12" customHeight="1">
      <c r="A409" s="270"/>
      <c r="B409" s="283" t="s">
        <v>252</v>
      </c>
      <c r="C409" s="221">
        <v>12200</v>
      </c>
      <c r="D409" s="221">
        <f>12200+2000</f>
        <v>14200</v>
      </c>
      <c r="E409" s="909">
        <f t="shared" si="91"/>
        <v>1.1639344262295082</v>
      </c>
      <c r="F409" s="346"/>
    </row>
    <row r="410" spans="1:6" ht="12" customHeight="1">
      <c r="A410" s="270"/>
      <c r="B410" s="222" t="s">
        <v>102</v>
      </c>
      <c r="C410" s="221"/>
      <c r="D410" s="221"/>
      <c r="E410" s="909"/>
      <c r="F410" s="346"/>
    </row>
    <row r="411" spans="1:6" ht="12" customHeight="1">
      <c r="A411" s="68"/>
      <c r="B411" s="222" t="s">
        <v>259</v>
      </c>
      <c r="C411" s="1109">
        <v>2500</v>
      </c>
      <c r="D411" s="1109">
        <v>2500</v>
      </c>
      <c r="E411" s="909">
        <f t="shared" si="91"/>
        <v>1</v>
      </c>
      <c r="F411" s="332"/>
    </row>
    <row r="412" spans="1:6" ht="12" customHeight="1" thickBot="1">
      <c r="A412" s="68"/>
      <c r="B412" s="317" t="s">
        <v>240</v>
      </c>
      <c r="C412" s="1111"/>
      <c r="D412" s="1111"/>
      <c r="E412" s="911"/>
      <c r="F412" s="367"/>
    </row>
    <row r="413" spans="1:6" ht="13.5" customHeight="1" thickBot="1">
      <c r="A413" s="289"/>
      <c r="B413" s="320" t="s">
        <v>113</v>
      </c>
      <c r="C413" s="1110">
        <f aca="true" t="shared" si="92" ref="C413">SUM(C407:C412)</f>
        <v>16000</v>
      </c>
      <c r="D413" s="1110">
        <f aca="true" t="shared" si="93" ref="D413">SUM(D407:D412)</f>
        <v>18000</v>
      </c>
      <c r="E413" s="908">
        <f t="shared" si="91"/>
        <v>1.125</v>
      </c>
      <c r="F413" s="335"/>
    </row>
    <row r="414" spans="1:6" ht="12.75">
      <c r="A414" s="270">
        <v>3302</v>
      </c>
      <c r="B414" s="292" t="s">
        <v>332</v>
      </c>
      <c r="C414" s="278"/>
      <c r="D414" s="278"/>
      <c r="E414" s="306"/>
      <c r="F414" s="330"/>
    </row>
    <row r="415" spans="1:6" ht="12.75">
      <c r="A415" s="68"/>
      <c r="B415" s="282" t="s">
        <v>97</v>
      </c>
      <c r="C415" s="278"/>
      <c r="D415" s="278"/>
      <c r="E415" s="306"/>
      <c r="F415" s="331"/>
    </row>
    <row r="416" spans="1:6" ht="12.75">
      <c r="A416" s="68"/>
      <c r="B416" s="154" t="s">
        <v>263</v>
      </c>
      <c r="C416" s="1109"/>
      <c r="D416" s="1109"/>
      <c r="E416" s="306"/>
      <c r="F416" s="331" t="s">
        <v>486</v>
      </c>
    </row>
    <row r="417" spans="1:6" ht="12.75">
      <c r="A417" s="270"/>
      <c r="B417" s="283" t="s">
        <v>252</v>
      </c>
      <c r="C417" s="221">
        <v>350000</v>
      </c>
      <c r="D417" s="221">
        <v>350000</v>
      </c>
      <c r="E417" s="909">
        <f t="shared" si="91"/>
        <v>1</v>
      </c>
      <c r="F417" s="438"/>
    </row>
    <row r="418" spans="1:6" ht="12.75">
      <c r="A418" s="270"/>
      <c r="B418" s="222" t="s">
        <v>102</v>
      </c>
      <c r="C418" s="221"/>
      <c r="D418" s="221"/>
      <c r="E418" s="306"/>
      <c r="F418" s="610" t="s">
        <v>491</v>
      </c>
    </row>
    <row r="419" spans="1:6" ht="12.75">
      <c r="A419" s="68"/>
      <c r="B419" s="222" t="s">
        <v>259</v>
      </c>
      <c r="C419" s="1109"/>
      <c r="D419" s="1109"/>
      <c r="E419" s="306"/>
      <c r="F419" s="332"/>
    </row>
    <row r="420" spans="1:6" ht="12.75" thickBot="1">
      <c r="A420" s="68"/>
      <c r="B420" s="317" t="s">
        <v>70</v>
      </c>
      <c r="C420" s="1110"/>
      <c r="D420" s="1110"/>
      <c r="E420" s="907"/>
      <c r="F420" s="367"/>
    </row>
    <row r="421" spans="1:6" ht="11.25" customHeight="1" thickBot="1">
      <c r="A421" s="68"/>
      <c r="B421" s="320" t="s">
        <v>113</v>
      </c>
      <c r="C421" s="1108">
        <f aca="true" t="shared" si="94" ref="C421">SUM(C415:C420)</f>
        <v>350000</v>
      </c>
      <c r="D421" s="1108">
        <f aca="true" t="shared" si="95" ref="D421">SUM(D415:D420)</f>
        <v>350000</v>
      </c>
      <c r="E421" s="908">
        <f t="shared" si="91"/>
        <v>1</v>
      </c>
      <c r="F421" s="335"/>
    </row>
    <row r="422" spans="1:6" ht="12.75" hidden="1">
      <c r="A422" s="68">
        <v>3303</v>
      </c>
      <c r="B422" s="342" t="s">
        <v>501</v>
      </c>
      <c r="C422" s="221"/>
      <c r="D422" s="221"/>
      <c r="E422" s="306" t="e">
        <f t="shared" si="91"/>
        <v>#DIV/0!</v>
      </c>
      <c r="F422" s="369"/>
    </row>
    <row r="423" spans="1:6" ht="12.75" hidden="1">
      <c r="A423" s="281"/>
      <c r="B423" s="282" t="s">
        <v>97</v>
      </c>
      <c r="C423" s="221"/>
      <c r="D423" s="221"/>
      <c r="E423" s="306" t="e">
        <f t="shared" si="91"/>
        <v>#DIV/0!</v>
      </c>
      <c r="F423" s="372"/>
    </row>
    <row r="424" spans="1:6" ht="12.75" hidden="1">
      <c r="A424" s="281"/>
      <c r="B424" s="154" t="s">
        <v>263</v>
      </c>
      <c r="C424" s="221"/>
      <c r="D424" s="221"/>
      <c r="E424" s="306" t="e">
        <f t="shared" si="91"/>
        <v>#DIV/0!</v>
      </c>
      <c r="F424" s="438"/>
    </row>
    <row r="425" spans="1:6" ht="12.75" hidden="1">
      <c r="A425" s="281"/>
      <c r="B425" s="283" t="s">
        <v>252</v>
      </c>
      <c r="C425" s="221"/>
      <c r="D425" s="221"/>
      <c r="E425" s="306" t="e">
        <f t="shared" si="91"/>
        <v>#DIV/0!</v>
      </c>
      <c r="F425" s="442"/>
    </row>
    <row r="426" spans="1:6" ht="12.75" hidden="1">
      <c r="A426" s="281"/>
      <c r="B426" s="222" t="s">
        <v>102</v>
      </c>
      <c r="C426" s="1109"/>
      <c r="D426" s="1109"/>
      <c r="E426" s="306" t="e">
        <f t="shared" si="91"/>
        <v>#DIV/0!</v>
      </c>
      <c r="F426" s="369"/>
    </row>
    <row r="427" spans="1:6" ht="12.75" hidden="1">
      <c r="A427" s="281"/>
      <c r="B427" s="222" t="s">
        <v>259</v>
      </c>
      <c r="C427" s="221"/>
      <c r="D427" s="221"/>
      <c r="E427" s="306" t="e">
        <f t="shared" si="91"/>
        <v>#DIV/0!</v>
      </c>
      <c r="F427" s="551"/>
    </row>
    <row r="428" spans="1:6" ht="12.75" hidden="1">
      <c r="A428" s="281"/>
      <c r="B428" s="222" t="s">
        <v>102</v>
      </c>
      <c r="C428" s="1109"/>
      <c r="D428" s="1109"/>
      <c r="E428" s="306" t="e">
        <f t="shared" si="91"/>
        <v>#DIV/0!</v>
      </c>
      <c r="F428" s="369"/>
    </row>
    <row r="429" spans="1:6" ht="12.75" hidden="1">
      <c r="A429" s="281"/>
      <c r="B429" s="222" t="s">
        <v>222</v>
      </c>
      <c r="C429" s="221"/>
      <c r="D429" s="221"/>
      <c r="E429" s="306" t="e">
        <f t="shared" si="91"/>
        <v>#DIV/0!</v>
      </c>
      <c r="F429" s="551"/>
    </row>
    <row r="430" spans="1:6" ht="13.5" hidden="1" thickBot="1">
      <c r="A430" s="68"/>
      <c r="B430" s="320" t="s">
        <v>113</v>
      </c>
      <c r="C430" s="1108"/>
      <c r="D430" s="1108"/>
      <c r="E430" s="306" t="e">
        <f t="shared" si="91"/>
        <v>#DIV/0!</v>
      </c>
      <c r="F430" s="371"/>
    </row>
    <row r="431" spans="1:6" ht="12.75">
      <c r="A431" s="68"/>
      <c r="B431" s="944" t="s">
        <v>1314</v>
      </c>
      <c r="C431" s="1124">
        <v>52306</v>
      </c>
      <c r="D431" s="1124">
        <v>52306</v>
      </c>
      <c r="E431" s="950">
        <f t="shared" si="91"/>
        <v>1</v>
      </c>
      <c r="F431" s="945"/>
    </row>
    <row r="432" spans="1:6" ht="13.5" thickBot="1">
      <c r="A432" s="289"/>
      <c r="B432" s="937" t="s">
        <v>1315</v>
      </c>
      <c r="C432" s="1125">
        <v>297694</v>
      </c>
      <c r="D432" s="1125">
        <v>297694</v>
      </c>
      <c r="E432" s="951">
        <f t="shared" si="91"/>
        <v>1</v>
      </c>
      <c r="F432" s="943"/>
    </row>
    <row r="433" spans="1:6" ht="12.75">
      <c r="A433" s="68">
        <v>3303</v>
      </c>
      <c r="B433" s="342" t="s">
        <v>501</v>
      </c>
      <c r="C433" s="278"/>
      <c r="D433" s="278"/>
      <c r="E433" s="306"/>
      <c r="F433" s="369"/>
    </row>
    <row r="434" spans="1:6" ht="12.75">
      <c r="A434" s="281"/>
      <c r="B434" s="282" t="s">
        <v>97</v>
      </c>
      <c r="C434" s="1109"/>
      <c r="D434" s="1109"/>
      <c r="E434" s="306"/>
      <c r="F434" s="651"/>
    </row>
    <row r="435" spans="1:6" ht="12.75">
      <c r="A435" s="281"/>
      <c r="B435" s="154" t="s">
        <v>263</v>
      </c>
      <c r="C435" s="221"/>
      <c r="D435" s="221"/>
      <c r="E435" s="909"/>
      <c r="F435" s="438"/>
    </row>
    <row r="436" spans="1:6" ht="12.75">
      <c r="A436" s="281"/>
      <c r="B436" s="283" t="s">
        <v>252</v>
      </c>
      <c r="C436" s="1109"/>
      <c r="D436" s="1109">
        <v>121</v>
      </c>
      <c r="E436" s="909">
        <v>1</v>
      </c>
      <c r="F436" s="442"/>
    </row>
    <row r="437" spans="1:6" ht="12.75">
      <c r="A437" s="281"/>
      <c r="B437" s="222" t="s">
        <v>102</v>
      </c>
      <c r="C437" s="221"/>
      <c r="D437" s="221"/>
      <c r="E437" s="909"/>
      <c r="F437" s="369"/>
    </row>
    <row r="438" spans="1:6" ht="12.75">
      <c r="A438" s="281"/>
      <c r="B438" s="222" t="s">
        <v>259</v>
      </c>
      <c r="C438" s="221"/>
      <c r="D438" s="221"/>
      <c r="E438" s="306"/>
      <c r="F438" s="551"/>
    </row>
    <row r="439" spans="1:6" ht="12.75">
      <c r="A439" s="281"/>
      <c r="B439" s="222" t="s">
        <v>102</v>
      </c>
      <c r="C439" s="1109"/>
      <c r="D439" s="1109"/>
      <c r="E439" s="306"/>
      <c r="F439" s="369"/>
    </row>
    <row r="440" spans="1:6" ht="13.5" thickBot="1">
      <c r="A440" s="281"/>
      <c r="B440" s="222" t="s">
        <v>222</v>
      </c>
      <c r="C440" s="1110"/>
      <c r="D440" s="1110"/>
      <c r="E440" s="907"/>
      <c r="F440" s="651"/>
    </row>
    <row r="441" spans="1:6" ht="13.5" thickBot="1">
      <c r="A441" s="289"/>
      <c r="B441" s="320" t="s">
        <v>113</v>
      </c>
      <c r="C441" s="1108"/>
      <c r="D441" s="1108">
        <f>SUM(D434:D440)</f>
        <v>121</v>
      </c>
      <c r="E441" s="908">
        <v>1</v>
      </c>
      <c r="F441" s="371"/>
    </row>
    <row r="442" spans="1:6" ht="12.75">
      <c r="A442" s="68">
        <v>3304</v>
      </c>
      <c r="B442" s="342" t="s">
        <v>511</v>
      </c>
      <c r="C442" s="278"/>
      <c r="D442" s="278"/>
      <c r="E442" s="306"/>
      <c r="F442" s="368"/>
    </row>
    <row r="443" spans="1:6" ht="12.75">
      <c r="A443" s="281"/>
      <c r="B443" s="282" t="s">
        <v>97</v>
      </c>
      <c r="C443" s="221"/>
      <c r="D443" s="221"/>
      <c r="E443" s="306"/>
      <c r="F443" s="369"/>
    </row>
    <row r="444" spans="1:6" ht="12.75">
      <c r="A444" s="281"/>
      <c r="B444" s="154" t="s">
        <v>263</v>
      </c>
      <c r="C444" s="221"/>
      <c r="D444" s="221"/>
      <c r="E444" s="306"/>
      <c r="F444" s="372"/>
    </row>
    <row r="445" spans="1:6" ht="12.75">
      <c r="A445" s="281"/>
      <c r="B445" s="283" t="s">
        <v>252</v>
      </c>
      <c r="C445" s="221"/>
      <c r="D445" s="221">
        <v>2293</v>
      </c>
      <c r="E445" s="306"/>
      <c r="F445" s="438"/>
    </row>
    <row r="446" spans="1:6" ht="12.75">
      <c r="A446" s="281"/>
      <c r="B446" s="222" t="s">
        <v>102</v>
      </c>
      <c r="C446" s="221"/>
      <c r="D446" s="221"/>
      <c r="E446" s="306"/>
      <c r="F446" s="442"/>
    </row>
    <row r="447" spans="1:6" ht="12.75">
      <c r="A447" s="281"/>
      <c r="B447" s="222" t="s">
        <v>259</v>
      </c>
      <c r="C447" s="1109"/>
      <c r="D447" s="1109"/>
      <c r="E447" s="306"/>
      <c r="F447" s="369"/>
    </row>
    <row r="448" spans="1:6" ht="12.75">
      <c r="A448" s="281"/>
      <c r="B448" s="222" t="s">
        <v>102</v>
      </c>
      <c r="C448" s="221"/>
      <c r="D448" s="221"/>
      <c r="E448" s="306"/>
      <c r="F448" s="551"/>
    </row>
    <row r="449" spans="1:6" ht="12.75" thickBot="1">
      <c r="A449" s="281"/>
      <c r="B449" s="317" t="s">
        <v>70</v>
      </c>
      <c r="C449" s="1107"/>
      <c r="D449" s="1107"/>
      <c r="E449" s="907"/>
      <c r="F449" s="349"/>
    </row>
    <row r="450" spans="1:6" ht="13.5" thickBot="1">
      <c r="A450" s="289"/>
      <c r="B450" s="320" t="s">
        <v>113</v>
      </c>
      <c r="C450" s="1108"/>
      <c r="D450" s="1108">
        <f>SUM(D443:D449)</f>
        <v>2293</v>
      </c>
      <c r="E450" s="908">
        <v>1</v>
      </c>
      <c r="F450" s="371"/>
    </row>
    <row r="451" spans="1:6" ht="0.75" customHeight="1">
      <c r="A451" s="68">
        <v>3305</v>
      </c>
      <c r="B451" s="342" t="s">
        <v>1329</v>
      </c>
      <c r="C451" s="278"/>
      <c r="D451" s="278"/>
      <c r="E451" s="306"/>
      <c r="F451" s="368"/>
    </row>
    <row r="452" spans="1:6" ht="12" customHeight="1" hidden="1">
      <c r="A452" s="281"/>
      <c r="B452" s="282" t="s">
        <v>97</v>
      </c>
      <c r="C452" s="221"/>
      <c r="D452" s="221"/>
      <c r="E452" s="306"/>
      <c r="F452" s="369"/>
    </row>
    <row r="453" spans="1:6" ht="12" customHeight="1" hidden="1">
      <c r="A453" s="281"/>
      <c r="B453" s="154" t="s">
        <v>263</v>
      </c>
      <c r="C453" s="221"/>
      <c r="D453" s="221"/>
      <c r="E453" s="306"/>
      <c r="F453" s="651"/>
    </row>
    <row r="454" spans="1:6" ht="12" customHeight="1" hidden="1">
      <c r="A454" s="281"/>
      <c r="B454" s="283" t="s">
        <v>252</v>
      </c>
      <c r="C454" s="221"/>
      <c r="D454" s="221"/>
      <c r="E454" s="306"/>
      <c r="F454" s="438"/>
    </row>
    <row r="455" spans="1:6" ht="12" customHeight="1" hidden="1">
      <c r="A455" s="281"/>
      <c r="B455" s="222" t="s">
        <v>102</v>
      </c>
      <c r="C455" s="221"/>
      <c r="D455" s="221"/>
      <c r="E455" s="306"/>
      <c r="F455" s="442"/>
    </row>
    <row r="456" spans="1:6" ht="12" customHeight="1" hidden="1">
      <c r="A456" s="281"/>
      <c r="B456" s="222" t="s">
        <v>259</v>
      </c>
      <c r="C456" s="1109"/>
      <c r="D456" s="1109"/>
      <c r="E456" s="306"/>
      <c r="F456" s="369"/>
    </row>
    <row r="457" spans="1:6" ht="12" customHeight="1" hidden="1">
      <c r="A457" s="281"/>
      <c r="B457" s="222" t="s">
        <v>102</v>
      </c>
      <c r="C457" s="221"/>
      <c r="D457" s="221"/>
      <c r="E457" s="306"/>
      <c r="F457" s="551"/>
    </row>
    <row r="458" spans="1:6" ht="12" customHeight="1" hidden="1" thickBot="1">
      <c r="A458" s="281"/>
      <c r="B458" s="317" t="s">
        <v>70</v>
      </c>
      <c r="C458" s="1107"/>
      <c r="D458" s="1107"/>
      <c r="E458" s="907"/>
      <c r="F458" s="349"/>
    </row>
    <row r="459" spans="1:6" ht="12" customHeight="1" hidden="1" thickBot="1">
      <c r="A459" s="289"/>
      <c r="B459" s="320" t="s">
        <v>113</v>
      </c>
      <c r="C459" s="1108"/>
      <c r="D459" s="1108">
        <f>SUM(D452:D458)</f>
        <v>0</v>
      </c>
      <c r="E459" s="908"/>
      <c r="F459" s="371"/>
    </row>
    <row r="460" spans="1:6" ht="12" customHeight="1">
      <c r="A460" s="68">
        <v>3306</v>
      </c>
      <c r="B460" s="342" t="s">
        <v>1088</v>
      </c>
      <c r="C460" s="278"/>
      <c r="D460" s="278"/>
      <c r="E460" s="306"/>
      <c r="F460" s="368"/>
    </row>
    <row r="461" spans="1:6" ht="12" customHeight="1">
      <c r="A461" s="281"/>
      <c r="B461" s="282" t="s">
        <v>97</v>
      </c>
      <c r="C461" s="221"/>
      <c r="D461" s="221"/>
      <c r="E461" s="306"/>
      <c r="F461" s="369"/>
    </row>
    <row r="462" spans="1:6" ht="12" customHeight="1">
      <c r="A462" s="281"/>
      <c r="B462" s="154" t="s">
        <v>263</v>
      </c>
      <c r="C462" s="221"/>
      <c r="D462" s="221"/>
      <c r="E462" s="306"/>
      <c r="F462" s="372"/>
    </row>
    <row r="463" spans="1:6" ht="12" customHeight="1">
      <c r="A463" s="281"/>
      <c r="B463" s="283" t="s">
        <v>252</v>
      </c>
      <c r="C463" s="221"/>
      <c r="D463" s="221"/>
      <c r="E463" s="910"/>
      <c r="F463" s="442"/>
    </row>
    <row r="464" spans="1:6" ht="12" customHeight="1">
      <c r="A464" s="281"/>
      <c r="B464" s="222" t="s">
        <v>102</v>
      </c>
      <c r="C464" s="221">
        <v>16000</v>
      </c>
      <c r="D464" s="221">
        <f>16000+54</f>
        <v>16054</v>
      </c>
      <c r="E464" s="909">
        <f t="shared" si="91"/>
        <v>1.003375</v>
      </c>
      <c r="F464" s="438"/>
    </row>
    <row r="465" spans="1:6" ht="12" customHeight="1">
      <c r="A465" s="281"/>
      <c r="B465" s="222" t="s">
        <v>259</v>
      </c>
      <c r="C465" s="1109"/>
      <c r="D465" s="1109"/>
      <c r="E465" s="909"/>
      <c r="F465" s="369"/>
    </row>
    <row r="466" spans="1:6" ht="12" customHeight="1">
      <c r="A466" s="281"/>
      <c r="B466" s="222" t="s">
        <v>102</v>
      </c>
      <c r="C466" s="221"/>
      <c r="D466" s="221"/>
      <c r="E466" s="909"/>
      <c r="F466" s="373"/>
    </row>
    <row r="467" spans="1:6" ht="12" customHeight="1" thickBot="1">
      <c r="A467" s="281"/>
      <c r="B467" s="317" t="s">
        <v>70</v>
      </c>
      <c r="C467" s="1107"/>
      <c r="D467" s="1107"/>
      <c r="E467" s="911"/>
      <c r="F467" s="349"/>
    </row>
    <row r="468" spans="1:6" ht="12" customHeight="1" thickBot="1">
      <c r="A468" s="289"/>
      <c r="B468" s="320" t="s">
        <v>113</v>
      </c>
      <c r="C468" s="1108">
        <f aca="true" t="shared" si="96" ref="C468">SUM(C463:C464)</f>
        <v>16000</v>
      </c>
      <c r="D468" s="1108">
        <f aca="true" t="shared" si="97" ref="D468">SUM(D463:D464)</f>
        <v>16054</v>
      </c>
      <c r="E468" s="908">
        <f t="shared" si="91"/>
        <v>1.003375</v>
      </c>
      <c r="F468" s="371"/>
    </row>
    <row r="469" spans="1:6" ht="12" customHeight="1">
      <c r="A469" s="68">
        <v>3307</v>
      </c>
      <c r="B469" s="342" t="s">
        <v>173</v>
      </c>
      <c r="C469" s="278"/>
      <c r="D469" s="278"/>
      <c r="E469" s="306"/>
      <c r="F469" s="368"/>
    </row>
    <row r="470" spans="1:6" ht="12" customHeight="1">
      <c r="A470" s="281"/>
      <c r="B470" s="282" t="s">
        <v>97</v>
      </c>
      <c r="C470" s="221"/>
      <c r="D470" s="221"/>
      <c r="E470" s="306"/>
      <c r="F470" s="369"/>
    </row>
    <row r="471" spans="1:6" ht="12" customHeight="1">
      <c r="A471" s="281"/>
      <c r="B471" s="154" t="s">
        <v>263</v>
      </c>
      <c r="C471" s="221"/>
      <c r="D471" s="221"/>
      <c r="E471" s="910"/>
      <c r="F471" s="372"/>
    </row>
    <row r="472" spans="1:6" ht="12" customHeight="1">
      <c r="A472" s="281"/>
      <c r="B472" s="283" t="s">
        <v>252</v>
      </c>
      <c r="C472" s="221"/>
      <c r="D472" s="221"/>
      <c r="E472" s="909"/>
      <c r="F472" s="442"/>
    </row>
    <row r="473" spans="1:6" ht="12" customHeight="1">
      <c r="A473" s="281"/>
      <c r="B473" s="222" t="s">
        <v>102</v>
      </c>
      <c r="C473" s="221">
        <v>2000</v>
      </c>
      <c r="D473" s="221">
        <v>2000</v>
      </c>
      <c r="E473" s="909">
        <f t="shared" si="91"/>
        <v>1</v>
      </c>
      <c r="F473" s="442"/>
    </row>
    <row r="474" spans="1:6" ht="12" customHeight="1">
      <c r="A474" s="281"/>
      <c r="B474" s="222" t="s">
        <v>259</v>
      </c>
      <c r="C474" s="1109"/>
      <c r="D474" s="1109">
        <v>1063</v>
      </c>
      <c r="E474" s="909"/>
      <c r="F474" s="438"/>
    </row>
    <row r="475" spans="1:6" ht="12" customHeight="1">
      <c r="A475" s="281"/>
      <c r="B475" s="222" t="s">
        <v>102</v>
      </c>
      <c r="C475" s="221"/>
      <c r="D475" s="221"/>
      <c r="E475" s="909"/>
      <c r="F475" s="373"/>
    </row>
    <row r="476" spans="1:6" ht="12" customHeight="1" thickBot="1">
      <c r="A476" s="281"/>
      <c r="B476" s="317" t="s">
        <v>70</v>
      </c>
      <c r="C476" s="1107"/>
      <c r="D476" s="1107"/>
      <c r="E476" s="911"/>
      <c r="F476" s="349"/>
    </row>
    <row r="477" spans="1:6" ht="12" customHeight="1" thickBot="1">
      <c r="A477" s="289"/>
      <c r="B477" s="320" t="s">
        <v>113</v>
      </c>
      <c r="C477" s="1108">
        <f aca="true" t="shared" si="98" ref="C477">SUM(C470:C476)</f>
        <v>2000</v>
      </c>
      <c r="D477" s="1108">
        <f aca="true" t="shared" si="99" ref="D477">SUM(D470:D476)</f>
        <v>3063</v>
      </c>
      <c r="E477" s="908">
        <f aca="true" t="shared" si="100" ref="E477:E538">SUM(D477/C477)</f>
        <v>1.5315</v>
      </c>
      <c r="F477" s="371"/>
    </row>
    <row r="478" spans="1:6" ht="12" customHeight="1">
      <c r="A478" s="68">
        <v>3309</v>
      </c>
      <c r="B478" s="176" t="s">
        <v>1168</v>
      </c>
      <c r="C478" s="278"/>
      <c r="D478" s="278"/>
      <c r="E478" s="306"/>
      <c r="F478" s="331"/>
    </row>
    <row r="479" spans="1:6" ht="12" customHeight="1">
      <c r="A479" s="281"/>
      <c r="B479" s="282" t="s">
        <v>97</v>
      </c>
      <c r="C479" s="221"/>
      <c r="D479" s="221"/>
      <c r="E479" s="306"/>
      <c r="F479" s="331"/>
    </row>
    <row r="480" spans="1:6" ht="12" customHeight="1">
      <c r="A480" s="281"/>
      <c r="B480" s="154" t="s">
        <v>263</v>
      </c>
      <c r="C480" s="221"/>
      <c r="D480" s="221"/>
      <c r="E480" s="910"/>
      <c r="F480" s="437"/>
    </row>
    <row r="481" spans="1:6" ht="12" customHeight="1">
      <c r="A481" s="281"/>
      <c r="B481" s="283" t="s">
        <v>252</v>
      </c>
      <c r="C481" s="221"/>
      <c r="D481" s="221"/>
      <c r="E481" s="909"/>
      <c r="F481" s="438"/>
    </row>
    <row r="482" spans="1:6" ht="12" customHeight="1">
      <c r="A482" s="281"/>
      <c r="B482" s="222" t="s">
        <v>102</v>
      </c>
      <c r="C482" s="221">
        <v>28000</v>
      </c>
      <c r="D482" s="221">
        <f>28000+881</f>
        <v>28881</v>
      </c>
      <c r="E482" s="909">
        <f t="shared" si="100"/>
        <v>1.0314642857142857</v>
      </c>
      <c r="F482" s="442"/>
    </row>
    <row r="483" spans="1:6" ht="12" customHeight="1">
      <c r="A483" s="281"/>
      <c r="B483" s="222" t="s">
        <v>259</v>
      </c>
      <c r="C483" s="1109"/>
      <c r="D483" s="1109"/>
      <c r="E483" s="909"/>
      <c r="F483" s="652"/>
    </row>
    <row r="484" spans="1:6" ht="12" customHeight="1" thickBot="1">
      <c r="A484" s="281"/>
      <c r="B484" s="317" t="s">
        <v>70</v>
      </c>
      <c r="C484" s="1107"/>
      <c r="D484" s="1107"/>
      <c r="E484" s="911"/>
      <c r="F484" s="349"/>
    </row>
    <row r="485" spans="1:6" ht="11.25" customHeight="1" thickBot="1">
      <c r="A485" s="289"/>
      <c r="B485" s="320" t="s">
        <v>113</v>
      </c>
      <c r="C485" s="1108">
        <f aca="true" t="shared" si="101" ref="C485">SUM(C479:C484)</f>
        <v>28000</v>
      </c>
      <c r="D485" s="1108">
        <f aca="true" t="shared" si="102" ref="D485">SUM(D479:D484)</f>
        <v>28881</v>
      </c>
      <c r="E485" s="908">
        <f t="shared" si="100"/>
        <v>1.0314642857142857</v>
      </c>
      <c r="F485" s="335"/>
    </row>
    <row r="486" spans="1:6" ht="12.75" customHeight="1" hidden="1" thickBot="1">
      <c r="A486" s="68">
        <v>3310</v>
      </c>
      <c r="B486" s="176" t="s">
        <v>347</v>
      </c>
      <c r="C486" s="278"/>
      <c r="D486" s="278"/>
      <c r="E486" s="306"/>
      <c r="F486" s="331"/>
    </row>
    <row r="487" spans="1:6" ht="12.75" customHeight="1" hidden="1" thickBot="1">
      <c r="A487" s="281"/>
      <c r="B487" s="282" t="s">
        <v>97</v>
      </c>
      <c r="C487" s="221"/>
      <c r="D487" s="221"/>
      <c r="E487" s="910"/>
      <c r="F487" s="331"/>
    </row>
    <row r="488" spans="1:6" ht="12.75" customHeight="1" hidden="1" thickBot="1">
      <c r="A488" s="281"/>
      <c r="B488" s="154" t="s">
        <v>263</v>
      </c>
      <c r="C488" s="221"/>
      <c r="D488" s="221"/>
      <c r="E488" s="909"/>
      <c r="F488" s="437"/>
    </row>
    <row r="489" spans="1:6" ht="12.75" customHeight="1" hidden="1" thickBot="1">
      <c r="A489" s="281"/>
      <c r="B489" s="283" t="s">
        <v>252</v>
      </c>
      <c r="C489" s="221"/>
      <c r="D489" s="221"/>
      <c r="E489" s="909"/>
      <c r="F489" s="438"/>
    </row>
    <row r="490" spans="1:6" ht="12.75" customHeight="1" hidden="1" thickBot="1">
      <c r="A490" s="281"/>
      <c r="B490" s="222" t="s">
        <v>102</v>
      </c>
      <c r="C490" s="221"/>
      <c r="D490" s="221"/>
      <c r="E490" s="909"/>
      <c r="F490" s="442"/>
    </row>
    <row r="491" spans="1:6" ht="12.75" customHeight="1" hidden="1" thickBot="1">
      <c r="A491" s="281"/>
      <c r="B491" s="222" t="s">
        <v>259</v>
      </c>
      <c r="C491" s="1109"/>
      <c r="D491" s="1109"/>
      <c r="E491" s="909"/>
      <c r="F491" s="551"/>
    </row>
    <row r="492" spans="1:6" ht="12.75" customHeight="1" hidden="1" thickBot="1">
      <c r="A492" s="281"/>
      <c r="B492" s="317" t="s">
        <v>70</v>
      </c>
      <c r="C492" s="1107"/>
      <c r="D492" s="1107"/>
      <c r="E492" s="911"/>
      <c r="F492" s="349"/>
    </row>
    <row r="493" spans="1:6" ht="12.75" customHeight="1" hidden="1" thickBot="1">
      <c r="A493" s="289"/>
      <c r="B493" s="320" t="s">
        <v>113</v>
      </c>
      <c r="C493" s="1108"/>
      <c r="D493" s="1108"/>
      <c r="E493" s="908"/>
      <c r="F493" s="335"/>
    </row>
    <row r="494" spans="1:6" ht="12" customHeight="1">
      <c r="A494" s="68">
        <v>3311</v>
      </c>
      <c r="B494" s="176" t="s">
        <v>114</v>
      </c>
      <c r="C494" s="278"/>
      <c r="D494" s="278"/>
      <c r="E494" s="306"/>
      <c r="F494" s="331"/>
    </row>
    <row r="495" spans="1:6" ht="12" customHeight="1">
      <c r="A495" s="281"/>
      <c r="B495" s="282" t="s">
        <v>97</v>
      </c>
      <c r="C495" s="221"/>
      <c r="D495" s="221"/>
      <c r="E495" s="306"/>
      <c r="F495" s="331"/>
    </row>
    <row r="496" spans="1:6" ht="12" customHeight="1">
      <c r="A496" s="281"/>
      <c r="B496" s="154" t="s">
        <v>263</v>
      </c>
      <c r="C496" s="221"/>
      <c r="D496" s="221"/>
      <c r="E496" s="910"/>
      <c r="F496" s="331"/>
    </row>
    <row r="497" spans="1:6" ht="12" customHeight="1">
      <c r="A497" s="281"/>
      <c r="B497" s="283" t="s">
        <v>252</v>
      </c>
      <c r="C497" s="221"/>
      <c r="D497" s="221"/>
      <c r="E497" s="909"/>
      <c r="F497" s="437"/>
    </row>
    <row r="498" spans="1:6" ht="12" customHeight="1">
      <c r="A498" s="281"/>
      <c r="B498" s="222" t="s">
        <v>102</v>
      </c>
      <c r="C498" s="221">
        <v>8000</v>
      </c>
      <c r="D498" s="221">
        <f>8000+5</f>
        <v>8005</v>
      </c>
      <c r="E498" s="909">
        <f t="shared" si="100"/>
        <v>1.000625</v>
      </c>
      <c r="F498" s="469"/>
    </row>
    <row r="499" spans="1:6" ht="12" customHeight="1">
      <c r="A499" s="281"/>
      <c r="B499" s="222" t="s">
        <v>259</v>
      </c>
      <c r="C499" s="1109"/>
      <c r="D499" s="1109"/>
      <c r="E499" s="909"/>
      <c r="F499" s="370"/>
    </row>
    <row r="500" spans="1:6" ht="12" customHeight="1" thickBot="1">
      <c r="A500" s="281"/>
      <c r="B500" s="317" t="s">
        <v>70</v>
      </c>
      <c r="C500" s="1107"/>
      <c r="D500" s="1107"/>
      <c r="E500" s="911"/>
      <c r="F500" s="349"/>
    </row>
    <row r="501" spans="1:6" ht="12.75" thickBot="1">
      <c r="A501" s="289"/>
      <c r="B501" s="320" t="s">
        <v>113</v>
      </c>
      <c r="C501" s="1108">
        <f aca="true" t="shared" si="103" ref="C501">SUM(C495:C500)</f>
        <v>8000</v>
      </c>
      <c r="D501" s="1108">
        <f aca="true" t="shared" si="104" ref="D501">SUM(D495:D500)</f>
        <v>8005</v>
      </c>
      <c r="E501" s="908">
        <f t="shared" si="100"/>
        <v>1.000625</v>
      </c>
      <c r="F501" s="335"/>
    </row>
    <row r="502" spans="1:6" ht="12.75">
      <c r="A502" s="290">
        <v>3312</v>
      </c>
      <c r="B502" s="176" t="s">
        <v>334</v>
      </c>
      <c r="C502" s="278"/>
      <c r="D502" s="278"/>
      <c r="E502" s="306"/>
      <c r="F502" s="331"/>
    </row>
    <row r="503" spans="1:6" ht="12.75">
      <c r="A503" s="281"/>
      <c r="B503" s="282" t="s">
        <v>97</v>
      </c>
      <c r="C503" s="221"/>
      <c r="D503" s="221"/>
      <c r="E503" s="306"/>
      <c r="F503" s="331"/>
    </row>
    <row r="504" spans="1:6" ht="12.75">
      <c r="A504" s="281"/>
      <c r="B504" s="154" t="s">
        <v>263</v>
      </c>
      <c r="C504" s="221"/>
      <c r="D504" s="221"/>
      <c r="E504" s="910"/>
      <c r="F504" s="370"/>
    </row>
    <row r="505" spans="1:6" ht="12.75">
      <c r="A505" s="281"/>
      <c r="B505" s="283" t="s">
        <v>252</v>
      </c>
      <c r="C505" s="221">
        <v>900</v>
      </c>
      <c r="D505" s="221">
        <v>900</v>
      </c>
      <c r="E505" s="909">
        <f t="shared" si="100"/>
        <v>1</v>
      </c>
      <c r="F505" s="438"/>
    </row>
    <row r="506" spans="1:6" ht="12.75">
      <c r="A506" s="281"/>
      <c r="B506" s="222" t="s">
        <v>102</v>
      </c>
      <c r="C506" s="221">
        <v>35000</v>
      </c>
      <c r="D506" s="221">
        <f>35000+58</f>
        <v>35058</v>
      </c>
      <c r="E506" s="909">
        <f t="shared" si="100"/>
        <v>1.0016571428571428</v>
      </c>
      <c r="F506" s="437"/>
    </row>
    <row r="507" spans="1:6" ht="12.75">
      <c r="A507" s="281"/>
      <c r="B507" s="222" t="s">
        <v>259</v>
      </c>
      <c r="C507" s="1109"/>
      <c r="D507" s="1109"/>
      <c r="E507" s="909"/>
      <c r="F507" s="551"/>
    </row>
    <row r="508" spans="1:6" ht="12.75" thickBot="1">
      <c r="A508" s="281"/>
      <c r="B508" s="317" t="s">
        <v>70</v>
      </c>
      <c r="C508" s="1107"/>
      <c r="D508" s="1107"/>
      <c r="E508" s="911"/>
      <c r="F508" s="349"/>
    </row>
    <row r="509" spans="1:6" ht="12.75" thickBot="1">
      <c r="A509" s="289"/>
      <c r="B509" s="320" t="s">
        <v>113</v>
      </c>
      <c r="C509" s="1108">
        <f aca="true" t="shared" si="105" ref="C509">SUM(C503:C508)</f>
        <v>35900</v>
      </c>
      <c r="D509" s="1108">
        <f aca="true" t="shared" si="106" ref="D509">SUM(D503:D508)</f>
        <v>35958</v>
      </c>
      <c r="E509" s="908">
        <f t="shared" si="100"/>
        <v>1.0016155988857938</v>
      </c>
      <c r="F509" s="335"/>
    </row>
    <row r="510" spans="1:6" ht="12.75">
      <c r="A510" s="290">
        <v>3313</v>
      </c>
      <c r="B510" s="342" t="s">
        <v>1189</v>
      </c>
      <c r="C510" s="278"/>
      <c r="D510" s="278"/>
      <c r="E510" s="306"/>
      <c r="F510" s="331"/>
    </row>
    <row r="511" spans="1:6" ht="12.75">
      <c r="A511" s="281"/>
      <c r="B511" s="282" t="s">
        <v>97</v>
      </c>
      <c r="C511" s="221"/>
      <c r="D511" s="221"/>
      <c r="E511" s="306"/>
      <c r="F511" s="331"/>
    </row>
    <row r="512" spans="1:6" ht="12.75">
      <c r="A512" s="281"/>
      <c r="B512" s="154" t="s">
        <v>263</v>
      </c>
      <c r="C512" s="221"/>
      <c r="D512" s="221"/>
      <c r="E512" s="910"/>
      <c r="F512" s="370"/>
    </row>
    <row r="513" spans="1:6" ht="12.75">
      <c r="A513" s="281"/>
      <c r="B513" s="283" t="s">
        <v>252</v>
      </c>
      <c r="C513" s="221">
        <v>150</v>
      </c>
      <c r="D513" s="221">
        <v>150</v>
      </c>
      <c r="E513" s="909">
        <f t="shared" si="100"/>
        <v>1</v>
      </c>
      <c r="F513" s="438"/>
    </row>
    <row r="514" spans="1:6" ht="12.75">
      <c r="A514" s="281"/>
      <c r="B514" s="222" t="s">
        <v>102</v>
      </c>
      <c r="C514" s="221">
        <v>5000</v>
      </c>
      <c r="D514" s="221">
        <f>5000+20</f>
        <v>5020</v>
      </c>
      <c r="E514" s="909">
        <f t="shared" si="100"/>
        <v>1.004</v>
      </c>
      <c r="F514" s="437"/>
    </row>
    <row r="515" spans="1:6" ht="12.75">
      <c r="A515" s="281"/>
      <c r="B515" s="222" t="s">
        <v>259</v>
      </c>
      <c r="C515" s="1109"/>
      <c r="D515" s="1109"/>
      <c r="E515" s="909"/>
      <c r="F515" s="551"/>
    </row>
    <row r="516" spans="1:6" ht="12.75" thickBot="1">
      <c r="A516" s="281"/>
      <c r="B516" s="317" t="s">
        <v>70</v>
      </c>
      <c r="C516" s="1107"/>
      <c r="D516" s="1107"/>
      <c r="E516" s="911"/>
      <c r="F516" s="349"/>
    </row>
    <row r="517" spans="1:6" ht="11.25" customHeight="1" thickBot="1">
      <c r="A517" s="289"/>
      <c r="B517" s="320" t="s">
        <v>113</v>
      </c>
      <c r="C517" s="1108">
        <f aca="true" t="shared" si="107" ref="C517">SUM(C511:C516)</f>
        <v>5150</v>
      </c>
      <c r="D517" s="1108">
        <f aca="true" t="shared" si="108" ref="D517">SUM(D511:D516)</f>
        <v>5170</v>
      </c>
      <c r="E517" s="908">
        <f t="shared" si="100"/>
        <v>1.003883495145631</v>
      </c>
      <c r="F517" s="335"/>
    </row>
    <row r="518" spans="1:6" ht="0.75" customHeight="1" hidden="1" thickBot="1">
      <c r="A518" s="290">
        <v>3315</v>
      </c>
      <c r="B518" s="176" t="s">
        <v>11</v>
      </c>
      <c r="C518" s="278"/>
      <c r="D518" s="278"/>
      <c r="E518" s="306"/>
      <c r="F518" s="331"/>
    </row>
    <row r="519" spans="1:6" ht="12.75" hidden="1" thickBot="1">
      <c r="A519" s="281"/>
      <c r="B519" s="282" t="s">
        <v>97</v>
      </c>
      <c r="C519" s="221"/>
      <c r="D519" s="221"/>
      <c r="E519" s="306"/>
      <c r="F519" s="331"/>
    </row>
    <row r="520" spans="1:6" ht="12.75" hidden="1" thickBot="1">
      <c r="A520" s="281"/>
      <c r="B520" s="154" t="s">
        <v>263</v>
      </c>
      <c r="C520" s="221"/>
      <c r="D520" s="221"/>
      <c r="E520" s="910"/>
      <c r="F520" s="438"/>
    </row>
    <row r="521" spans="1:6" ht="12.75" hidden="1" thickBot="1">
      <c r="A521" s="281"/>
      <c r="B521" s="283" t="s">
        <v>252</v>
      </c>
      <c r="C521" s="221"/>
      <c r="D521" s="221"/>
      <c r="E521" s="909"/>
      <c r="F521" s="437"/>
    </row>
    <row r="522" spans="1:6" ht="12.75" hidden="1" thickBot="1">
      <c r="A522" s="281"/>
      <c r="B522" s="222" t="s">
        <v>102</v>
      </c>
      <c r="C522" s="221"/>
      <c r="D522" s="221"/>
      <c r="E522" s="909"/>
      <c r="F522" s="437"/>
    </row>
    <row r="523" spans="1:6" ht="12.75" hidden="1" thickBot="1">
      <c r="A523" s="281"/>
      <c r="B523" s="222" t="s">
        <v>259</v>
      </c>
      <c r="C523" s="1109"/>
      <c r="D523" s="1109"/>
      <c r="E523" s="909"/>
      <c r="F523" s="331"/>
    </row>
    <row r="524" spans="1:6" ht="12.75" hidden="1" thickBot="1">
      <c r="A524" s="281"/>
      <c r="B524" s="317" t="s">
        <v>70</v>
      </c>
      <c r="C524" s="1107"/>
      <c r="D524" s="1107"/>
      <c r="E524" s="911"/>
      <c r="F524" s="349"/>
    </row>
    <row r="525" spans="1:6" ht="12.75" hidden="1" thickBot="1">
      <c r="A525" s="289"/>
      <c r="B525" s="320" t="s">
        <v>113</v>
      </c>
      <c r="C525" s="1108">
        <f aca="true" t="shared" si="109" ref="C525">SUM(C519:C524)</f>
        <v>0</v>
      </c>
      <c r="D525" s="1108">
        <f aca="true" t="shared" si="110" ref="D525">SUM(D519:D524)</f>
        <v>0</v>
      </c>
      <c r="E525" s="908"/>
      <c r="F525" s="335"/>
    </row>
    <row r="526" spans="1:6" ht="12.75">
      <c r="A526" s="290">
        <v>3316</v>
      </c>
      <c r="B526" s="176" t="s">
        <v>115</v>
      </c>
      <c r="C526" s="278"/>
      <c r="D526" s="278"/>
      <c r="E526" s="306"/>
      <c r="F526" s="331"/>
    </row>
    <row r="527" spans="1:6" ht="12.75">
      <c r="A527" s="281"/>
      <c r="B527" s="282" t="s">
        <v>97</v>
      </c>
      <c r="C527" s="221"/>
      <c r="D527" s="221"/>
      <c r="E527" s="306"/>
      <c r="F527" s="331"/>
    </row>
    <row r="528" spans="1:6" ht="12.75">
      <c r="A528" s="281"/>
      <c r="B528" s="154" t="s">
        <v>263</v>
      </c>
      <c r="C528" s="221"/>
      <c r="D528" s="221"/>
      <c r="E528" s="306"/>
      <c r="F528" s="370"/>
    </row>
    <row r="529" spans="1:6" ht="12.75">
      <c r="A529" s="281"/>
      <c r="B529" s="283" t="s">
        <v>252</v>
      </c>
      <c r="C529" s="221"/>
      <c r="D529" s="221"/>
      <c r="E529" s="306"/>
      <c r="F529" s="437"/>
    </row>
    <row r="530" spans="1:6" ht="12.75">
      <c r="A530" s="281"/>
      <c r="B530" s="222" t="s">
        <v>102</v>
      </c>
      <c r="C530" s="221">
        <v>6000</v>
      </c>
      <c r="D530" s="221">
        <v>6000</v>
      </c>
      <c r="E530" s="910">
        <f t="shared" si="100"/>
        <v>1</v>
      </c>
      <c r="F530" s="331"/>
    </row>
    <row r="531" spans="1:6" ht="12.75">
      <c r="A531" s="281"/>
      <c r="B531" s="222" t="s">
        <v>259</v>
      </c>
      <c r="C531" s="1109"/>
      <c r="D531" s="1109"/>
      <c r="E531" s="909"/>
      <c r="F531" s="331"/>
    </row>
    <row r="532" spans="1:6" ht="12.75" thickBot="1">
      <c r="A532" s="281"/>
      <c r="B532" s="317" t="s">
        <v>70</v>
      </c>
      <c r="C532" s="1107"/>
      <c r="D532" s="1107"/>
      <c r="E532" s="911"/>
      <c r="F532" s="349"/>
    </row>
    <row r="533" spans="1:6" ht="12.75" thickBot="1">
      <c r="A533" s="289"/>
      <c r="B533" s="320" t="s">
        <v>113</v>
      </c>
      <c r="C533" s="1108">
        <f aca="true" t="shared" si="111" ref="C533">SUM(C527:C532)</f>
        <v>6000</v>
      </c>
      <c r="D533" s="1108">
        <f aca="true" t="shared" si="112" ref="D533">SUM(D527:D532)</f>
        <v>6000</v>
      </c>
      <c r="E533" s="908">
        <f t="shared" si="100"/>
        <v>1</v>
      </c>
      <c r="F533" s="335"/>
    </row>
    <row r="534" spans="1:6" ht="12.75">
      <c r="A534" s="290">
        <v>3317</v>
      </c>
      <c r="B534" s="795" t="s">
        <v>1089</v>
      </c>
      <c r="C534" s="278"/>
      <c r="D534" s="278"/>
      <c r="E534" s="306"/>
      <c r="F534" s="331"/>
    </row>
    <row r="535" spans="1:6" ht="12.75">
      <c r="A535" s="281"/>
      <c r="B535" s="282" t="s">
        <v>97</v>
      </c>
      <c r="C535" s="221"/>
      <c r="D535" s="221"/>
      <c r="E535" s="306"/>
      <c r="F535" s="331"/>
    </row>
    <row r="536" spans="1:6" ht="12.75">
      <c r="A536" s="281"/>
      <c r="B536" s="154" t="s">
        <v>263</v>
      </c>
      <c r="C536" s="221"/>
      <c r="D536" s="221"/>
      <c r="E536" s="306"/>
      <c r="F536" s="438"/>
    </row>
    <row r="537" spans="1:6" ht="12.75">
      <c r="A537" s="281"/>
      <c r="B537" s="283" t="s">
        <v>252</v>
      </c>
      <c r="C537" s="221">
        <v>1500</v>
      </c>
      <c r="D537" s="221">
        <v>1500</v>
      </c>
      <c r="E537" s="910">
        <f t="shared" si="100"/>
        <v>1</v>
      </c>
      <c r="F537" s="438"/>
    </row>
    <row r="538" spans="1:6" ht="12.75">
      <c r="A538" s="281"/>
      <c r="B538" s="222" t="s">
        <v>102</v>
      </c>
      <c r="C538" s="221">
        <v>48500</v>
      </c>
      <c r="D538" s="221">
        <f>48500+45</f>
        <v>48545</v>
      </c>
      <c r="E538" s="909">
        <f t="shared" si="100"/>
        <v>1.0009278350515465</v>
      </c>
      <c r="F538" s="437"/>
    </row>
    <row r="539" spans="1:6" ht="12.75">
      <c r="A539" s="281"/>
      <c r="B539" s="222" t="s">
        <v>259</v>
      </c>
      <c r="C539" s="1109"/>
      <c r="D539" s="1109"/>
      <c r="E539" s="909"/>
      <c r="F539" s="551"/>
    </row>
    <row r="540" spans="1:6" ht="12.75" thickBot="1">
      <c r="A540" s="281"/>
      <c r="B540" s="317" t="s">
        <v>70</v>
      </c>
      <c r="C540" s="1107"/>
      <c r="D540" s="1107"/>
      <c r="E540" s="911"/>
      <c r="F540" s="349"/>
    </row>
    <row r="541" spans="1:6" ht="12.75" thickBot="1">
      <c r="A541" s="289"/>
      <c r="B541" s="320" t="s">
        <v>113</v>
      </c>
      <c r="C541" s="1108">
        <f aca="true" t="shared" si="113" ref="C541">SUM(C535:C540)</f>
        <v>50000</v>
      </c>
      <c r="D541" s="1108">
        <f aca="true" t="shared" si="114" ref="D541">SUM(D535:D540)</f>
        <v>50045</v>
      </c>
      <c r="E541" s="908">
        <f aca="true" t="shared" si="115" ref="E541:E602">SUM(D541/C541)</f>
        <v>1.0009</v>
      </c>
      <c r="F541" s="335"/>
    </row>
    <row r="542" spans="1:6" ht="12.75" hidden="1" thickBot="1">
      <c r="A542" s="68">
        <v>3320</v>
      </c>
      <c r="B542" s="176" t="s">
        <v>8</v>
      </c>
      <c r="C542" s="278"/>
      <c r="D542" s="278"/>
      <c r="E542" s="306"/>
      <c r="F542" s="331"/>
    </row>
    <row r="543" spans="1:6" ht="12" customHeight="1" hidden="1" thickBot="1">
      <c r="A543" s="281"/>
      <c r="B543" s="282" t="s">
        <v>97</v>
      </c>
      <c r="C543" s="221"/>
      <c r="D543" s="221"/>
      <c r="E543" s="306"/>
      <c r="F543" s="331"/>
    </row>
    <row r="544" spans="1:6" ht="12" customHeight="1" hidden="1" thickBot="1">
      <c r="A544" s="281"/>
      <c r="B544" s="154" t="s">
        <v>263</v>
      </c>
      <c r="C544" s="221"/>
      <c r="D544" s="221"/>
      <c r="E544" s="913"/>
      <c r="F544" s="331"/>
    </row>
    <row r="545" spans="1:6" ht="12" customHeight="1" hidden="1" thickBot="1">
      <c r="A545" s="281"/>
      <c r="B545" s="283" t="s">
        <v>252</v>
      </c>
      <c r="C545" s="221"/>
      <c r="D545" s="221"/>
      <c r="E545" s="306"/>
      <c r="F545" s="437"/>
    </row>
    <row r="546" spans="1:6" ht="12" customHeight="1" hidden="1" thickBot="1">
      <c r="A546" s="281"/>
      <c r="B546" s="222" t="s">
        <v>102</v>
      </c>
      <c r="C546" s="221"/>
      <c r="D546" s="221"/>
      <c r="E546" s="306"/>
      <c r="F546" s="443"/>
    </row>
    <row r="547" spans="1:6" ht="12" customHeight="1" hidden="1" thickBot="1">
      <c r="A547" s="281"/>
      <c r="B547" s="222" t="s">
        <v>259</v>
      </c>
      <c r="C547" s="1109"/>
      <c r="D547" s="1109"/>
      <c r="E547" s="306"/>
      <c r="F547" s="437"/>
    </row>
    <row r="548" spans="1:6" ht="12" customHeight="1" hidden="1" thickBot="1">
      <c r="A548" s="281"/>
      <c r="B548" s="222" t="s">
        <v>102</v>
      </c>
      <c r="C548" s="221"/>
      <c r="D548" s="221"/>
      <c r="E548" s="306"/>
      <c r="F548" s="370"/>
    </row>
    <row r="549" spans="1:6" ht="12" customHeight="1" hidden="1" thickBot="1">
      <c r="A549" s="281"/>
      <c r="B549" s="317" t="s">
        <v>70</v>
      </c>
      <c r="C549" s="1107"/>
      <c r="D549" s="1107"/>
      <c r="E549" s="914"/>
      <c r="F549" s="349"/>
    </row>
    <row r="550" spans="1:6" ht="12" customHeight="1" hidden="1" thickBot="1">
      <c r="A550" s="289"/>
      <c r="B550" s="320" t="s">
        <v>113</v>
      </c>
      <c r="C550" s="1110">
        <f aca="true" t="shared" si="116" ref="C550">SUM(C543:C549)</f>
        <v>0</v>
      </c>
      <c r="D550" s="1110">
        <f aca="true" t="shared" si="117" ref="D550">SUM(D543:D549)</f>
        <v>0</v>
      </c>
      <c r="E550" s="908"/>
      <c r="F550" s="335"/>
    </row>
    <row r="551" spans="1:6" ht="0.75" customHeight="1" thickBot="1">
      <c r="A551" s="68">
        <v>3322</v>
      </c>
      <c r="B551" s="176" t="s">
        <v>346</v>
      </c>
      <c r="C551" s="278"/>
      <c r="D551" s="278"/>
      <c r="E551" s="306"/>
      <c r="F551" s="331"/>
    </row>
    <row r="552" spans="1:6" ht="12" customHeight="1" hidden="1" thickBot="1">
      <c r="A552" s="281"/>
      <c r="B552" s="282" t="s">
        <v>97</v>
      </c>
      <c r="C552" s="221"/>
      <c r="D552" s="221"/>
      <c r="E552" s="306"/>
      <c r="F552" s="331"/>
    </row>
    <row r="553" spans="1:6" ht="12" customHeight="1" hidden="1" thickBot="1">
      <c r="A553" s="281"/>
      <c r="B553" s="154" t="s">
        <v>263</v>
      </c>
      <c r="C553" s="221"/>
      <c r="D553" s="221"/>
      <c r="E553" s="306"/>
      <c r="F553" s="438"/>
    </row>
    <row r="554" spans="1:6" ht="12" customHeight="1" hidden="1" thickBot="1">
      <c r="A554" s="281"/>
      <c r="B554" s="283" t="s">
        <v>252</v>
      </c>
      <c r="C554" s="221"/>
      <c r="D554" s="221"/>
      <c r="E554" s="306"/>
      <c r="F554" s="514"/>
    </row>
    <row r="555" spans="1:6" ht="12" customHeight="1" hidden="1" thickBot="1">
      <c r="A555" s="281"/>
      <c r="B555" s="222" t="s">
        <v>102</v>
      </c>
      <c r="C555" s="221"/>
      <c r="D555" s="221"/>
      <c r="E555" s="306"/>
      <c r="F555" s="514"/>
    </row>
    <row r="556" spans="1:6" ht="12" customHeight="1" hidden="1" thickBot="1">
      <c r="A556" s="281"/>
      <c r="B556" s="222" t="s">
        <v>259</v>
      </c>
      <c r="C556" s="1109"/>
      <c r="D556" s="1109"/>
      <c r="E556" s="306"/>
      <c r="F556" s="370"/>
    </row>
    <row r="557" spans="1:6" ht="12" customHeight="1" hidden="1" thickBot="1">
      <c r="A557" s="281"/>
      <c r="B557" s="317" t="s">
        <v>70</v>
      </c>
      <c r="C557" s="1107"/>
      <c r="D557" s="1107"/>
      <c r="E557" s="907"/>
      <c r="F557" s="376"/>
    </row>
    <row r="558" spans="1:6" ht="12" customHeight="1" hidden="1" thickBot="1">
      <c r="A558" s="289"/>
      <c r="B558" s="320" t="s">
        <v>113</v>
      </c>
      <c r="C558" s="1110">
        <f aca="true" t="shared" si="118" ref="C558">SUM(C552:C557)</f>
        <v>0</v>
      </c>
      <c r="D558" s="1110">
        <f aca="true" t="shared" si="119" ref="D558">SUM(D552:D557)</f>
        <v>0</v>
      </c>
      <c r="E558" s="908"/>
      <c r="F558" s="335"/>
    </row>
    <row r="559" spans="1:6" ht="12" customHeight="1">
      <c r="A559" s="68">
        <v>3323</v>
      </c>
      <c r="B559" s="176" t="s">
        <v>317</v>
      </c>
      <c r="C559" s="278"/>
      <c r="D559" s="278"/>
      <c r="E559" s="306"/>
      <c r="F559" s="331"/>
    </row>
    <row r="560" spans="1:6" ht="12" customHeight="1">
      <c r="A560" s="281"/>
      <c r="B560" s="282" t="s">
        <v>97</v>
      </c>
      <c r="C560" s="221"/>
      <c r="D560" s="221"/>
      <c r="E560" s="306"/>
      <c r="F560" s="331"/>
    </row>
    <row r="561" spans="1:6" ht="12" customHeight="1">
      <c r="A561" s="281"/>
      <c r="B561" s="154" t="s">
        <v>263</v>
      </c>
      <c r="C561" s="221"/>
      <c r="D561" s="221"/>
      <c r="E561" s="306"/>
      <c r="F561" s="370"/>
    </row>
    <row r="562" spans="1:6" ht="12" customHeight="1">
      <c r="A562" s="281"/>
      <c r="B562" s="283" t="s">
        <v>252</v>
      </c>
      <c r="C562" s="221"/>
      <c r="D562" s="221"/>
      <c r="E562" s="910"/>
      <c r="F562" s="438"/>
    </row>
    <row r="563" spans="1:6" ht="12" customHeight="1">
      <c r="A563" s="281"/>
      <c r="B563" s="222" t="s">
        <v>102</v>
      </c>
      <c r="C563" s="221">
        <v>5000</v>
      </c>
      <c r="D563" s="221">
        <v>5000</v>
      </c>
      <c r="E563" s="909">
        <f t="shared" si="115"/>
        <v>1</v>
      </c>
      <c r="F563" s="375"/>
    </row>
    <row r="564" spans="1:6" ht="12" customHeight="1">
      <c r="A564" s="281"/>
      <c r="B564" s="222" t="s">
        <v>259</v>
      </c>
      <c r="C564" s="1109"/>
      <c r="D564" s="1109"/>
      <c r="E564" s="909"/>
      <c r="F564" s="370"/>
    </row>
    <row r="565" spans="1:6" ht="12" customHeight="1" thickBot="1">
      <c r="A565" s="281"/>
      <c r="B565" s="317" t="s">
        <v>70</v>
      </c>
      <c r="C565" s="1107"/>
      <c r="D565" s="1107"/>
      <c r="E565" s="911"/>
      <c r="F565" s="376"/>
    </row>
    <row r="566" spans="1:6" ht="12" customHeight="1" thickBot="1">
      <c r="A566" s="289"/>
      <c r="B566" s="320" t="s">
        <v>113</v>
      </c>
      <c r="C566" s="1108">
        <f aca="true" t="shared" si="120" ref="C566">SUM(C560:C565)</f>
        <v>5000</v>
      </c>
      <c r="D566" s="1108">
        <f aca="true" t="shared" si="121" ref="D566">SUM(D560:D565)</f>
        <v>5000</v>
      </c>
      <c r="E566" s="908">
        <f t="shared" si="115"/>
        <v>1</v>
      </c>
      <c r="F566" s="335"/>
    </row>
    <row r="567" spans="1:6" ht="12" customHeight="1">
      <c r="A567" s="68">
        <v>3325</v>
      </c>
      <c r="B567" s="176" t="s">
        <v>1090</v>
      </c>
      <c r="C567" s="278"/>
      <c r="D567" s="278"/>
      <c r="E567" s="306"/>
      <c r="F567" s="331"/>
    </row>
    <row r="568" spans="1:6" ht="12" customHeight="1">
      <c r="A568" s="281"/>
      <c r="B568" s="282" t="s">
        <v>97</v>
      </c>
      <c r="C568" s="221"/>
      <c r="D568" s="221"/>
      <c r="E568" s="910"/>
      <c r="F568" s="331"/>
    </row>
    <row r="569" spans="1:6" ht="12" customHeight="1">
      <c r="A569" s="281"/>
      <c r="B569" s="154" t="s">
        <v>263</v>
      </c>
      <c r="C569" s="221"/>
      <c r="D569" s="221"/>
      <c r="E569" s="909"/>
      <c r="F569" s="469"/>
    </row>
    <row r="570" spans="1:6" ht="12" customHeight="1">
      <c r="A570" s="281"/>
      <c r="B570" s="283" t="s">
        <v>252</v>
      </c>
      <c r="C570" s="221">
        <v>600</v>
      </c>
      <c r="D570" s="221">
        <v>600</v>
      </c>
      <c r="E570" s="909">
        <f t="shared" si="115"/>
        <v>1</v>
      </c>
      <c r="F570" s="514"/>
    </row>
    <row r="571" spans="1:6" ht="12" customHeight="1">
      <c r="A571" s="281"/>
      <c r="B571" s="222" t="s">
        <v>102</v>
      </c>
      <c r="C571" s="221">
        <v>25000</v>
      </c>
      <c r="D571" s="221">
        <f>25000+35</f>
        <v>25035</v>
      </c>
      <c r="E571" s="909">
        <f t="shared" si="115"/>
        <v>1.0014</v>
      </c>
      <c r="F571" s="553"/>
    </row>
    <row r="572" spans="1:6" ht="12" customHeight="1">
      <c r="A572" s="281"/>
      <c r="B572" s="222" t="s">
        <v>259</v>
      </c>
      <c r="C572" s="1109"/>
      <c r="D572" s="1109"/>
      <c r="E572" s="909"/>
      <c r="F572" s="442"/>
    </row>
    <row r="573" spans="1:6" ht="12" customHeight="1" thickBot="1">
      <c r="A573" s="281"/>
      <c r="B573" s="317" t="s">
        <v>70</v>
      </c>
      <c r="C573" s="1107"/>
      <c r="D573" s="1107"/>
      <c r="E573" s="911"/>
      <c r="F573" s="376"/>
    </row>
    <row r="574" spans="1:6" ht="11.25" customHeight="1" thickBot="1">
      <c r="A574" s="289"/>
      <c r="B574" s="320" t="s">
        <v>113</v>
      </c>
      <c r="C574" s="1108">
        <f aca="true" t="shared" si="122" ref="C574">SUM(C568:C573)</f>
        <v>25600</v>
      </c>
      <c r="D574" s="1108">
        <f aca="true" t="shared" si="123" ref="D574">SUM(D568:D573)</f>
        <v>25635</v>
      </c>
      <c r="E574" s="908">
        <f t="shared" si="115"/>
        <v>1.0013671875</v>
      </c>
      <c r="F574" s="335"/>
    </row>
    <row r="575" spans="1:6" ht="12" customHeight="1" hidden="1" thickBot="1">
      <c r="A575" s="68">
        <v>3326</v>
      </c>
      <c r="B575" s="176" t="s">
        <v>440</v>
      </c>
      <c r="C575" s="278"/>
      <c r="D575" s="278"/>
      <c r="E575" s="306"/>
      <c r="F575" s="331"/>
    </row>
    <row r="576" spans="1:6" ht="12" customHeight="1" hidden="1" thickBot="1">
      <c r="A576" s="281"/>
      <c r="B576" s="282" t="s">
        <v>97</v>
      </c>
      <c r="C576" s="221"/>
      <c r="D576" s="221"/>
      <c r="E576" s="306"/>
      <c r="F576" s="331"/>
    </row>
    <row r="577" spans="1:6" ht="12" customHeight="1" hidden="1" thickBot="1">
      <c r="A577" s="281"/>
      <c r="B577" s="154" t="s">
        <v>263</v>
      </c>
      <c r="C577" s="221"/>
      <c r="D577" s="221"/>
      <c r="E577" s="306"/>
      <c r="F577" s="370"/>
    </row>
    <row r="578" spans="1:6" ht="12" customHeight="1" hidden="1" thickBot="1">
      <c r="A578" s="281"/>
      <c r="B578" s="283" t="s">
        <v>252</v>
      </c>
      <c r="C578" s="221"/>
      <c r="D578" s="221"/>
      <c r="E578" s="306"/>
      <c r="F578" s="438"/>
    </row>
    <row r="579" spans="1:6" ht="12" customHeight="1" hidden="1" thickBot="1">
      <c r="A579" s="281"/>
      <c r="B579" s="222" t="s">
        <v>102</v>
      </c>
      <c r="C579" s="221"/>
      <c r="D579" s="221"/>
      <c r="E579" s="306"/>
      <c r="F579" s="375"/>
    </row>
    <row r="580" spans="1:6" ht="12" customHeight="1" hidden="1" thickBot="1">
      <c r="A580" s="281"/>
      <c r="B580" s="222" t="s">
        <v>259</v>
      </c>
      <c r="C580" s="1109"/>
      <c r="D580" s="1109"/>
      <c r="E580" s="306"/>
      <c r="F580" s="469"/>
    </row>
    <row r="581" spans="1:6" ht="12" customHeight="1" hidden="1" thickBot="1">
      <c r="A581" s="281"/>
      <c r="B581" s="317" t="s">
        <v>70</v>
      </c>
      <c r="C581" s="1107"/>
      <c r="D581" s="1107"/>
      <c r="E581" s="907"/>
      <c r="F581" s="376"/>
    </row>
    <row r="582" spans="1:6" ht="12" customHeight="1" hidden="1" thickBot="1">
      <c r="A582" s="289"/>
      <c r="B582" s="320" t="s">
        <v>113</v>
      </c>
      <c r="C582" s="1108">
        <f aca="true" t="shared" si="124" ref="C582">SUM(C576:C581)</f>
        <v>0</v>
      </c>
      <c r="D582" s="1108">
        <f aca="true" t="shared" si="125" ref="D582">SUM(D576:D581)</f>
        <v>0</v>
      </c>
      <c r="E582" s="908"/>
      <c r="F582" s="335"/>
    </row>
    <row r="583" spans="1:6" ht="0.75" customHeight="1">
      <c r="A583" s="68">
        <v>3327</v>
      </c>
      <c r="B583" s="176" t="s">
        <v>441</v>
      </c>
      <c r="C583" s="278"/>
      <c r="D583" s="278"/>
      <c r="E583" s="306"/>
      <c r="F583" s="331"/>
    </row>
    <row r="584" spans="1:6" ht="12" customHeight="1" hidden="1">
      <c r="A584" s="281"/>
      <c r="B584" s="282" t="s">
        <v>97</v>
      </c>
      <c r="C584" s="221"/>
      <c r="D584" s="221"/>
      <c r="E584" s="306"/>
      <c r="F584" s="331"/>
    </row>
    <row r="585" spans="1:6" ht="12" customHeight="1" hidden="1">
      <c r="A585" s="281"/>
      <c r="B585" s="154" t="s">
        <v>263</v>
      </c>
      <c r="C585" s="221"/>
      <c r="D585" s="221"/>
      <c r="E585" s="306"/>
      <c r="F585" s="370"/>
    </row>
    <row r="586" spans="1:6" ht="12" customHeight="1" hidden="1">
      <c r="A586" s="281"/>
      <c r="B586" s="283" t="s">
        <v>252</v>
      </c>
      <c r="C586" s="221"/>
      <c r="D586" s="221"/>
      <c r="E586" s="306"/>
      <c r="F586" s="438"/>
    </row>
    <row r="587" spans="1:6" ht="12" customHeight="1" hidden="1">
      <c r="A587" s="281"/>
      <c r="B587" s="222" t="s">
        <v>102</v>
      </c>
      <c r="C587" s="221"/>
      <c r="D587" s="221"/>
      <c r="E587" s="306"/>
      <c r="F587" s="375"/>
    </row>
    <row r="588" spans="1:6" ht="12" customHeight="1" hidden="1">
      <c r="A588" s="281"/>
      <c r="B588" s="222" t="s">
        <v>259</v>
      </c>
      <c r="C588" s="1109"/>
      <c r="D588" s="1109"/>
      <c r="E588" s="306"/>
      <c r="F588" s="469"/>
    </row>
    <row r="589" spans="1:6" ht="12" customHeight="1" hidden="1" thickBot="1">
      <c r="A589" s="281"/>
      <c r="B589" s="317" t="s">
        <v>70</v>
      </c>
      <c r="C589" s="1107"/>
      <c r="D589" s="1107"/>
      <c r="E589" s="907"/>
      <c r="F589" s="376"/>
    </row>
    <row r="590" spans="1:6" ht="12" customHeight="1" hidden="1" thickBot="1">
      <c r="A590" s="289"/>
      <c r="B590" s="320" t="s">
        <v>113</v>
      </c>
      <c r="C590" s="1108">
        <f aca="true" t="shared" si="126" ref="C590">SUM(C584:C589)</f>
        <v>0</v>
      </c>
      <c r="D590" s="1108">
        <f aca="true" t="shared" si="127" ref="D590">SUM(D584:D589)</f>
        <v>0</v>
      </c>
      <c r="E590" s="908"/>
      <c r="F590" s="335"/>
    </row>
    <row r="591" spans="1:6" ht="12" customHeight="1" hidden="1">
      <c r="A591" s="68">
        <v>3329</v>
      </c>
      <c r="B591" s="176" t="s">
        <v>502</v>
      </c>
      <c r="C591" s="278"/>
      <c r="D591" s="278"/>
      <c r="E591" s="306"/>
      <c r="F591" s="331"/>
    </row>
    <row r="592" spans="1:6" ht="12" customHeight="1" hidden="1">
      <c r="A592" s="281"/>
      <c r="B592" s="282" t="s">
        <v>97</v>
      </c>
      <c r="C592" s="221"/>
      <c r="D592" s="221"/>
      <c r="E592" s="306"/>
      <c r="F592" s="331"/>
    </row>
    <row r="593" spans="1:6" ht="12" customHeight="1" hidden="1">
      <c r="A593" s="281"/>
      <c r="B593" s="154" t="s">
        <v>263</v>
      </c>
      <c r="C593" s="221"/>
      <c r="D593" s="221"/>
      <c r="E593" s="306"/>
      <c r="F593" s="370"/>
    </row>
    <row r="594" spans="1:6" ht="12" customHeight="1" hidden="1">
      <c r="A594" s="281"/>
      <c r="B594" s="283" t="s">
        <v>252</v>
      </c>
      <c r="C594" s="221"/>
      <c r="D594" s="221"/>
      <c r="E594" s="306"/>
      <c r="F594" s="438"/>
    </row>
    <row r="595" spans="1:6" ht="12" customHeight="1" hidden="1">
      <c r="A595" s="281"/>
      <c r="B595" s="222" t="s">
        <v>102</v>
      </c>
      <c r="C595" s="221"/>
      <c r="D595" s="221"/>
      <c r="E595" s="306"/>
      <c r="F595" s="375"/>
    </row>
    <row r="596" spans="1:6" ht="12" customHeight="1" hidden="1">
      <c r="A596" s="281"/>
      <c r="B596" s="222" t="s">
        <v>259</v>
      </c>
      <c r="C596" s="1109"/>
      <c r="D596" s="1109"/>
      <c r="E596" s="306"/>
      <c r="F596" s="370"/>
    </row>
    <row r="597" spans="1:6" ht="12" customHeight="1" hidden="1" thickBot="1">
      <c r="A597" s="281"/>
      <c r="B597" s="317" t="s">
        <v>70</v>
      </c>
      <c r="C597" s="1107"/>
      <c r="D597" s="1107"/>
      <c r="E597" s="306"/>
      <c r="F597" s="376"/>
    </row>
    <row r="598" spans="1:6" ht="3.75" customHeight="1" hidden="1" thickBot="1">
      <c r="A598" s="289"/>
      <c r="B598" s="320" t="s">
        <v>113</v>
      </c>
      <c r="C598" s="1108"/>
      <c r="D598" s="1108"/>
      <c r="E598" s="306"/>
      <c r="F598" s="335"/>
    </row>
    <row r="599" spans="1:6" ht="12" customHeight="1">
      <c r="A599" s="377">
        <v>3340</v>
      </c>
      <c r="B599" s="343" t="s">
        <v>412</v>
      </c>
      <c r="C599" s="278"/>
      <c r="D599" s="278"/>
      <c r="E599" s="306"/>
      <c r="F599" s="331"/>
    </row>
    <row r="600" spans="1:6" ht="12" customHeight="1">
      <c r="A600" s="68"/>
      <c r="B600" s="282" t="s">
        <v>97</v>
      </c>
      <c r="C600" s="278"/>
      <c r="D600" s="278"/>
      <c r="E600" s="306"/>
      <c r="F600" s="331"/>
    </row>
    <row r="601" spans="1:6" ht="12" customHeight="1">
      <c r="A601" s="68"/>
      <c r="B601" s="154" t="s">
        <v>263</v>
      </c>
      <c r="C601" s="278"/>
      <c r="D601" s="278"/>
      <c r="E601" s="910"/>
      <c r="F601" s="331" t="s">
        <v>486</v>
      </c>
    </row>
    <row r="602" spans="1:6" ht="12" customHeight="1">
      <c r="A602" s="270"/>
      <c r="B602" s="283" t="s">
        <v>252</v>
      </c>
      <c r="C602" s="1109">
        <v>5000</v>
      </c>
      <c r="D602" s="1109">
        <f>5000+861</f>
        <v>5861</v>
      </c>
      <c r="E602" s="909">
        <f t="shared" si="115"/>
        <v>1.1722</v>
      </c>
      <c r="F602" s="469"/>
    </row>
    <row r="603" spans="1:6" ht="12" customHeight="1">
      <c r="A603" s="270"/>
      <c r="B603" s="222" t="s">
        <v>102</v>
      </c>
      <c r="C603" s="1109"/>
      <c r="D603" s="1109"/>
      <c r="E603" s="909"/>
      <c r="F603" s="374"/>
    </row>
    <row r="604" spans="1:6" ht="12" customHeight="1">
      <c r="A604" s="68"/>
      <c r="B604" s="222" t="s">
        <v>259</v>
      </c>
      <c r="C604" s="1109"/>
      <c r="D604" s="1109"/>
      <c r="E604" s="909"/>
      <c r="F604" s="331"/>
    </row>
    <row r="605" spans="1:6" ht="12" customHeight="1" thickBot="1">
      <c r="A605" s="68"/>
      <c r="B605" s="317" t="s">
        <v>70</v>
      </c>
      <c r="C605" s="1110"/>
      <c r="D605" s="1110"/>
      <c r="E605" s="911"/>
      <c r="F605" s="349"/>
    </row>
    <row r="606" spans="1:6" ht="12" customHeight="1" thickBot="1">
      <c r="A606" s="272"/>
      <c r="B606" s="320" t="s">
        <v>113</v>
      </c>
      <c r="C606" s="1108">
        <f aca="true" t="shared" si="128" ref="C606">SUM(C600:C605)</f>
        <v>5000</v>
      </c>
      <c r="D606" s="1108">
        <f aca="true" t="shared" si="129" ref="D606">SUM(D600:D605)</f>
        <v>5861</v>
      </c>
      <c r="E606" s="908">
        <f aca="true" t="shared" si="130" ref="E606:E668">SUM(D606/C606)</f>
        <v>1.1722</v>
      </c>
      <c r="F606" s="335"/>
    </row>
    <row r="607" spans="1:6" ht="12" customHeight="1">
      <c r="A607" s="377">
        <v>3341</v>
      </c>
      <c r="B607" s="343" t="s">
        <v>337</v>
      </c>
      <c r="C607" s="278"/>
      <c r="D607" s="278"/>
      <c r="E607" s="306"/>
      <c r="F607" s="331"/>
    </row>
    <row r="608" spans="1:6" ht="12" customHeight="1">
      <c r="A608" s="68"/>
      <c r="B608" s="282" t="s">
        <v>97</v>
      </c>
      <c r="C608" s="278"/>
      <c r="D608" s="278"/>
      <c r="E608" s="306"/>
      <c r="F608" s="331"/>
    </row>
    <row r="609" spans="1:6" ht="12" customHeight="1">
      <c r="A609" s="68"/>
      <c r="B609" s="154" t="s">
        <v>263</v>
      </c>
      <c r="C609" s="278"/>
      <c r="D609" s="278"/>
      <c r="E609" s="910"/>
      <c r="F609" s="438"/>
    </row>
    <row r="610" spans="1:6" ht="12" customHeight="1">
      <c r="A610" s="270"/>
      <c r="B610" s="283" t="s">
        <v>252</v>
      </c>
      <c r="C610" s="1109">
        <v>2500</v>
      </c>
      <c r="D610" s="1109">
        <f>2500+783</f>
        <v>3283</v>
      </c>
      <c r="E610" s="909">
        <f t="shared" si="130"/>
        <v>1.3132</v>
      </c>
      <c r="F610" s="331" t="s">
        <v>486</v>
      </c>
    </row>
    <row r="611" spans="1:6" ht="12" customHeight="1">
      <c r="A611" s="270"/>
      <c r="B611" s="222" t="s">
        <v>102</v>
      </c>
      <c r="C611" s="1109"/>
      <c r="D611" s="1109"/>
      <c r="E611" s="909"/>
      <c r="F611" s="374"/>
    </row>
    <row r="612" spans="1:6" ht="12" customHeight="1">
      <c r="A612" s="68"/>
      <c r="B612" s="222" t="s">
        <v>259</v>
      </c>
      <c r="C612" s="278"/>
      <c r="D612" s="278"/>
      <c r="E612" s="909"/>
      <c r="F612" s="437"/>
    </row>
    <row r="613" spans="1:6" ht="12" customHeight="1" thickBot="1">
      <c r="A613" s="68"/>
      <c r="B613" s="317" t="s">
        <v>70</v>
      </c>
      <c r="C613" s="1110"/>
      <c r="D613" s="1110"/>
      <c r="E613" s="911"/>
      <c r="F613" s="349"/>
    </row>
    <row r="614" spans="1:6" ht="12" customHeight="1" thickBot="1">
      <c r="A614" s="272"/>
      <c r="B614" s="320" t="s">
        <v>113</v>
      </c>
      <c r="C614" s="1108">
        <f aca="true" t="shared" si="131" ref="C614">SUM(C608:C613)</f>
        <v>2500</v>
      </c>
      <c r="D614" s="1108">
        <f aca="true" t="shared" si="132" ref="D614">SUM(D608:D613)</f>
        <v>3283</v>
      </c>
      <c r="E614" s="908">
        <f t="shared" si="130"/>
        <v>1.3132</v>
      </c>
      <c r="F614" s="335"/>
    </row>
    <row r="615" spans="1:6" ht="12" customHeight="1">
      <c r="A615" s="377">
        <v>3342</v>
      </c>
      <c r="B615" s="343" t="s">
        <v>398</v>
      </c>
      <c r="C615" s="278"/>
      <c r="D615" s="278"/>
      <c r="E615" s="306"/>
      <c r="F615" s="331"/>
    </row>
    <row r="616" spans="1:6" ht="12" customHeight="1">
      <c r="A616" s="68"/>
      <c r="B616" s="282" t="s">
        <v>97</v>
      </c>
      <c r="C616" s="278"/>
      <c r="D616" s="278"/>
      <c r="E616" s="306"/>
      <c r="F616" s="331"/>
    </row>
    <row r="617" spans="1:6" ht="12" customHeight="1">
      <c r="A617" s="68"/>
      <c r="B617" s="154" t="s">
        <v>263</v>
      </c>
      <c r="C617" s="278"/>
      <c r="D617" s="278"/>
      <c r="E617" s="910"/>
      <c r="F617" s="331"/>
    </row>
    <row r="618" spans="1:6" ht="12" customHeight="1">
      <c r="A618" s="270"/>
      <c r="B618" s="283" t="s">
        <v>252</v>
      </c>
      <c r="C618" s="1109">
        <v>880</v>
      </c>
      <c r="D618" s="1109">
        <f>880+880</f>
        <v>1760</v>
      </c>
      <c r="E618" s="909">
        <f t="shared" si="130"/>
        <v>2</v>
      </c>
      <c r="F618" s="331" t="s">
        <v>486</v>
      </c>
    </row>
    <row r="619" spans="1:6" ht="12" customHeight="1">
      <c r="A619" s="270"/>
      <c r="B619" s="222" t="s">
        <v>102</v>
      </c>
      <c r="C619" s="1109"/>
      <c r="D619" s="1109"/>
      <c r="E619" s="909"/>
      <c r="F619" s="374"/>
    </row>
    <row r="620" spans="1:6" ht="12" customHeight="1">
      <c r="A620" s="68"/>
      <c r="B620" s="222" t="s">
        <v>259</v>
      </c>
      <c r="C620" s="278"/>
      <c r="D620" s="278"/>
      <c r="E620" s="909"/>
      <c r="F620" s="331"/>
    </row>
    <row r="621" spans="1:6" ht="12" customHeight="1">
      <c r="A621" s="68"/>
      <c r="B621" s="222" t="s">
        <v>102</v>
      </c>
      <c r="C621" s="278"/>
      <c r="D621" s="278"/>
      <c r="E621" s="909"/>
      <c r="F621" s="332"/>
    </row>
    <row r="622" spans="1:6" ht="12" customHeight="1" thickBot="1">
      <c r="A622" s="68"/>
      <c r="B622" s="317" t="s">
        <v>70</v>
      </c>
      <c r="C622" s="1110"/>
      <c r="D622" s="1110"/>
      <c r="E622" s="911"/>
      <c r="F622" s="349"/>
    </row>
    <row r="623" spans="1:6" ht="12.75" thickBot="1">
      <c r="A623" s="272"/>
      <c r="B623" s="320" t="s">
        <v>113</v>
      </c>
      <c r="C623" s="1108">
        <f aca="true" t="shared" si="133" ref="C623">SUM(C616:C622)</f>
        <v>880</v>
      </c>
      <c r="D623" s="1108">
        <f aca="true" t="shared" si="134" ref="D623">SUM(D616:D622)</f>
        <v>1760</v>
      </c>
      <c r="E623" s="908">
        <f t="shared" si="130"/>
        <v>2</v>
      </c>
      <c r="F623" s="335"/>
    </row>
    <row r="624" spans="1:6" ht="12.75">
      <c r="A624" s="377">
        <v>3343</v>
      </c>
      <c r="B624" s="343" t="s">
        <v>1290</v>
      </c>
      <c r="C624" s="278"/>
      <c r="D624" s="278"/>
      <c r="E624" s="306"/>
      <c r="F624" s="331"/>
    </row>
    <row r="625" spans="1:6" ht="12.75">
      <c r="A625" s="68"/>
      <c r="B625" s="282" t="s">
        <v>97</v>
      </c>
      <c r="C625" s="278"/>
      <c r="D625" s="278"/>
      <c r="E625" s="306"/>
      <c r="F625" s="331"/>
    </row>
    <row r="626" spans="1:6" ht="12.75">
      <c r="A626" s="68"/>
      <c r="B626" s="154" t="s">
        <v>263</v>
      </c>
      <c r="C626" s="278"/>
      <c r="D626" s="278"/>
      <c r="E626" s="910"/>
      <c r="F626" s="331"/>
    </row>
    <row r="627" spans="1:6" ht="12.75">
      <c r="A627" s="270"/>
      <c r="B627" s="283" t="s">
        <v>252</v>
      </c>
      <c r="C627" s="1109">
        <v>11715</v>
      </c>
      <c r="D627" s="1109">
        <v>11715</v>
      </c>
      <c r="E627" s="909">
        <f t="shared" si="130"/>
        <v>1</v>
      </c>
      <c r="F627" s="331" t="s">
        <v>486</v>
      </c>
    </row>
    <row r="628" spans="1:6" ht="12.75">
      <c r="A628" s="270"/>
      <c r="B628" s="222" t="s">
        <v>102</v>
      </c>
      <c r="C628" s="1109"/>
      <c r="D628" s="1109"/>
      <c r="E628" s="909"/>
      <c r="F628" s="374"/>
    </row>
    <row r="629" spans="1:6" ht="12.75">
      <c r="A629" s="68"/>
      <c r="B629" s="222" t="s">
        <v>259</v>
      </c>
      <c r="C629" s="278"/>
      <c r="D629" s="278"/>
      <c r="E629" s="909"/>
      <c r="F629" s="331"/>
    </row>
    <row r="630" spans="1:6" ht="12.75">
      <c r="A630" s="68"/>
      <c r="B630" s="222" t="s">
        <v>102</v>
      </c>
      <c r="C630" s="278"/>
      <c r="D630" s="278"/>
      <c r="E630" s="909"/>
      <c r="F630" s="332"/>
    </row>
    <row r="631" spans="1:6" ht="12.75" thickBot="1">
      <c r="A631" s="68"/>
      <c r="B631" s="317" t="s">
        <v>70</v>
      </c>
      <c r="C631" s="1110"/>
      <c r="D631" s="1110"/>
      <c r="E631" s="911"/>
      <c r="F631" s="349"/>
    </row>
    <row r="632" spans="1:6" ht="12.75" thickBot="1">
      <c r="A632" s="272"/>
      <c r="B632" s="320" t="s">
        <v>113</v>
      </c>
      <c r="C632" s="1108">
        <f aca="true" t="shared" si="135" ref="C632">SUM(C625:C631)</f>
        <v>11715</v>
      </c>
      <c r="D632" s="1108">
        <f aca="true" t="shared" si="136" ref="D632">SUM(D625:D631)</f>
        <v>11715</v>
      </c>
      <c r="E632" s="908">
        <f t="shared" si="130"/>
        <v>1</v>
      </c>
      <c r="F632" s="335"/>
    </row>
    <row r="633" spans="1:6" ht="12.75">
      <c r="A633" s="68">
        <v>3344</v>
      </c>
      <c r="B633" s="280" t="s">
        <v>241</v>
      </c>
      <c r="C633" s="278"/>
      <c r="D633" s="278"/>
      <c r="E633" s="306"/>
      <c r="F633" s="331"/>
    </row>
    <row r="634" spans="1:6" ht="12" customHeight="1">
      <c r="A634" s="68"/>
      <c r="B634" s="67" t="s">
        <v>97</v>
      </c>
      <c r="C634" s="278"/>
      <c r="D634" s="278"/>
      <c r="E634" s="306"/>
      <c r="F634" s="331"/>
    </row>
    <row r="635" spans="1:6" ht="12" customHeight="1">
      <c r="A635" s="68"/>
      <c r="B635" s="154" t="s">
        <v>263</v>
      </c>
      <c r="C635" s="278"/>
      <c r="D635" s="278"/>
      <c r="E635" s="910"/>
      <c r="F635" s="331" t="s">
        <v>486</v>
      </c>
    </row>
    <row r="636" spans="1:6" ht="12" customHeight="1">
      <c r="A636" s="68"/>
      <c r="B636" s="67" t="s">
        <v>252</v>
      </c>
      <c r="C636" s="1109">
        <v>1540</v>
      </c>
      <c r="D636" s="1109">
        <f>1540+1540</f>
        <v>3080</v>
      </c>
      <c r="E636" s="909">
        <f t="shared" si="130"/>
        <v>2</v>
      </c>
      <c r="F636" s="442"/>
    </row>
    <row r="637" spans="1:6" ht="12" customHeight="1">
      <c r="A637" s="68"/>
      <c r="B637" s="154" t="s">
        <v>102</v>
      </c>
      <c r="C637" s="1109"/>
      <c r="D637" s="1109"/>
      <c r="E637" s="909"/>
      <c r="F637" s="374"/>
    </row>
    <row r="638" spans="1:6" ht="12" customHeight="1">
      <c r="A638" s="68"/>
      <c r="B638" s="222" t="s">
        <v>259</v>
      </c>
      <c r="C638" s="278"/>
      <c r="D638" s="278"/>
      <c r="E638" s="909"/>
      <c r="F638" s="331"/>
    </row>
    <row r="639" spans="1:6" ht="12" customHeight="1" thickBot="1">
      <c r="A639" s="68"/>
      <c r="B639" s="317" t="s">
        <v>70</v>
      </c>
      <c r="C639" s="1110"/>
      <c r="D639" s="1110"/>
      <c r="E639" s="911"/>
      <c r="F639" s="333"/>
    </row>
    <row r="640" spans="1:6" ht="12" customHeight="1" thickBot="1">
      <c r="A640" s="289"/>
      <c r="B640" s="320" t="s">
        <v>113</v>
      </c>
      <c r="C640" s="1110">
        <f aca="true" t="shared" si="137" ref="C640">SUM(C634:C639)</f>
        <v>1540</v>
      </c>
      <c r="D640" s="1110">
        <f aca="true" t="shared" si="138" ref="D640">SUM(D634:D639)</f>
        <v>3080</v>
      </c>
      <c r="E640" s="908">
        <f t="shared" si="130"/>
        <v>2</v>
      </c>
      <c r="F640" s="349"/>
    </row>
    <row r="641" spans="1:6" ht="12" customHeight="1">
      <c r="A641" s="68">
        <v>3345</v>
      </c>
      <c r="B641" s="288" t="s">
        <v>132</v>
      </c>
      <c r="C641" s="278"/>
      <c r="D641" s="278"/>
      <c r="E641" s="306"/>
      <c r="F641" s="330"/>
    </row>
    <row r="642" spans="1:6" ht="12" customHeight="1">
      <c r="A642" s="68"/>
      <c r="B642" s="282" t="s">
        <v>97</v>
      </c>
      <c r="C642" s="278"/>
      <c r="D642" s="278"/>
      <c r="E642" s="306"/>
      <c r="F642" s="307"/>
    </row>
    <row r="643" spans="1:6" ht="12" customHeight="1">
      <c r="A643" s="68"/>
      <c r="B643" s="154" t="s">
        <v>263</v>
      </c>
      <c r="C643" s="278"/>
      <c r="D643" s="278"/>
      <c r="E643" s="910"/>
      <c r="F643" s="307"/>
    </row>
    <row r="644" spans="1:6" ht="12" customHeight="1">
      <c r="A644" s="68"/>
      <c r="B644" s="283" t="s">
        <v>252</v>
      </c>
      <c r="C644" s="1109">
        <v>300</v>
      </c>
      <c r="D644" s="1109">
        <v>300</v>
      </c>
      <c r="E644" s="909">
        <f t="shared" si="130"/>
        <v>1</v>
      </c>
      <c r="F644" s="331" t="s">
        <v>486</v>
      </c>
    </row>
    <row r="645" spans="1:6" ht="12" customHeight="1">
      <c r="A645" s="68"/>
      <c r="B645" s="222" t="s">
        <v>102</v>
      </c>
      <c r="C645" s="1109"/>
      <c r="D645" s="1109"/>
      <c r="E645" s="909"/>
      <c r="F645" s="370"/>
    </row>
    <row r="646" spans="1:6" ht="12" customHeight="1">
      <c r="A646" s="68"/>
      <c r="B646" s="222" t="s">
        <v>259</v>
      </c>
      <c r="C646" s="278"/>
      <c r="D646" s="278"/>
      <c r="E646" s="909"/>
      <c r="F646" s="307"/>
    </row>
    <row r="647" spans="1:6" ht="12" customHeight="1" thickBot="1">
      <c r="A647" s="68"/>
      <c r="B647" s="317" t="s">
        <v>70</v>
      </c>
      <c r="C647" s="1110"/>
      <c r="D647" s="1110"/>
      <c r="E647" s="911"/>
      <c r="F647" s="349"/>
    </row>
    <row r="648" spans="1:6" ht="13.5" customHeight="1" thickBot="1">
      <c r="A648" s="289"/>
      <c r="B648" s="320" t="s">
        <v>113</v>
      </c>
      <c r="C648" s="1110">
        <f aca="true" t="shared" si="139" ref="C648">SUM(C644:C647)</f>
        <v>300</v>
      </c>
      <c r="D648" s="1110">
        <f aca="true" t="shared" si="140" ref="D648">SUM(D644:D647)</f>
        <v>300</v>
      </c>
      <c r="E648" s="908">
        <f t="shared" si="130"/>
        <v>1</v>
      </c>
      <c r="F648" s="335"/>
    </row>
    <row r="649" spans="1:6" ht="12" customHeight="1">
      <c r="A649" s="68">
        <v>3346</v>
      </c>
      <c r="B649" s="342" t="s">
        <v>99</v>
      </c>
      <c r="C649" s="278"/>
      <c r="D649" s="278"/>
      <c r="E649" s="306"/>
      <c r="F649" s="331"/>
    </row>
    <row r="650" spans="1:6" ht="12" customHeight="1">
      <c r="A650" s="281"/>
      <c r="B650" s="282" t="s">
        <v>97</v>
      </c>
      <c r="C650" s="278"/>
      <c r="D650" s="278"/>
      <c r="E650" s="306"/>
      <c r="F650" s="331"/>
    </row>
    <row r="651" spans="1:6" ht="12" customHeight="1">
      <c r="A651" s="281"/>
      <c r="B651" s="154" t="s">
        <v>263</v>
      </c>
      <c r="C651" s="278"/>
      <c r="D651" s="278"/>
      <c r="E651" s="910"/>
      <c r="F651" s="331"/>
    </row>
    <row r="652" spans="1:6" ht="12" customHeight="1">
      <c r="A652" s="281"/>
      <c r="B652" s="283" t="s">
        <v>252</v>
      </c>
      <c r="C652" s="1109">
        <v>3933</v>
      </c>
      <c r="D652" s="1109">
        <f>3933+1171</f>
        <v>5104</v>
      </c>
      <c r="E652" s="909">
        <f t="shared" si="130"/>
        <v>1.2977370963640986</v>
      </c>
      <c r="F652" s="331" t="s">
        <v>486</v>
      </c>
    </row>
    <row r="653" spans="1:6" ht="12" customHeight="1">
      <c r="A653" s="281"/>
      <c r="B653" s="222" t="s">
        <v>102</v>
      </c>
      <c r="C653" s="1109"/>
      <c r="D653" s="1109"/>
      <c r="E653" s="909"/>
      <c r="F653" s="374"/>
    </row>
    <row r="654" spans="1:6" ht="12" customHeight="1">
      <c r="A654" s="281"/>
      <c r="B654" s="222" t="s">
        <v>259</v>
      </c>
      <c r="C654" s="278"/>
      <c r="D654" s="278"/>
      <c r="E654" s="909"/>
      <c r="F654" s="331"/>
    </row>
    <row r="655" spans="1:6" ht="12" customHeight="1" thickBot="1">
      <c r="A655" s="281"/>
      <c r="B655" s="317" t="s">
        <v>70</v>
      </c>
      <c r="C655" s="1110"/>
      <c r="D655" s="1110"/>
      <c r="E655" s="911"/>
      <c r="F655" s="349"/>
    </row>
    <row r="656" spans="1:6" ht="12" customHeight="1" thickBot="1">
      <c r="A656" s="289"/>
      <c r="B656" s="320" t="s">
        <v>113</v>
      </c>
      <c r="C656" s="1108">
        <f aca="true" t="shared" si="141" ref="C656">SUM(C652:C655)</f>
        <v>3933</v>
      </c>
      <c r="D656" s="1108">
        <f aca="true" t="shared" si="142" ref="D656">SUM(D652:D655)</f>
        <v>5104</v>
      </c>
      <c r="E656" s="908">
        <f t="shared" si="130"/>
        <v>1.2977370963640986</v>
      </c>
      <c r="F656" s="335"/>
    </row>
    <row r="657" spans="1:6" ht="12" customHeight="1">
      <c r="A657" s="68">
        <v>3347</v>
      </c>
      <c r="B657" s="342" t="s">
        <v>100</v>
      </c>
      <c r="C657" s="278"/>
      <c r="D657" s="278"/>
      <c r="E657" s="306"/>
      <c r="F657" s="331"/>
    </row>
    <row r="658" spans="1:6" ht="12" customHeight="1">
      <c r="A658" s="281"/>
      <c r="B658" s="282" t="s">
        <v>97</v>
      </c>
      <c r="C658" s="278"/>
      <c r="D658" s="278"/>
      <c r="E658" s="306"/>
      <c r="F658" s="331"/>
    </row>
    <row r="659" spans="1:6" ht="12" customHeight="1">
      <c r="A659" s="281"/>
      <c r="B659" s="154" t="s">
        <v>263</v>
      </c>
      <c r="C659" s="278"/>
      <c r="D659" s="278"/>
      <c r="E659" s="910"/>
      <c r="F659" s="331"/>
    </row>
    <row r="660" spans="1:6" ht="12" customHeight="1">
      <c r="A660" s="281"/>
      <c r="B660" s="283" t="s">
        <v>252</v>
      </c>
      <c r="C660" s="1109">
        <v>2756</v>
      </c>
      <c r="D660" s="1109">
        <v>2756</v>
      </c>
      <c r="E660" s="909">
        <f t="shared" si="130"/>
        <v>1</v>
      </c>
      <c r="F660" s="331" t="s">
        <v>486</v>
      </c>
    </row>
    <row r="661" spans="1:6" ht="12" customHeight="1">
      <c r="A661" s="281"/>
      <c r="B661" s="222" t="s">
        <v>102</v>
      </c>
      <c r="C661" s="1109"/>
      <c r="D661" s="1109"/>
      <c r="E661" s="909"/>
      <c r="F661" s="374"/>
    </row>
    <row r="662" spans="1:6" ht="12" customHeight="1">
      <c r="A662" s="281"/>
      <c r="B662" s="222" t="s">
        <v>259</v>
      </c>
      <c r="C662" s="278"/>
      <c r="D662" s="278"/>
      <c r="E662" s="909"/>
      <c r="F662" s="331"/>
    </row>
    <row r="663" spans="1:6" ht="12" customHeight="1" thickBot="1">
      <c r="A663" s="281"/>
      <c r="B663" s="317" t="s">
        <v>70</v>
      </c>
      <c r="C663" s="397"/>
      <c r="D663" s="397"/>
      <c r="E663" s="911"/>
      <c r="F663" s="349"/>
    </row>
    <row r="664" spans="1:6" ht="12" customHeight="1" thickBot="1">
      <c r="A664" s="289"/>
      <c r="B664" s="320" t="s">
        <v>113</v>
      </c>
      <c r="C664" s="1108">
        <f aca="true" t="shared" si="143" ref="C664">SUM(C660:C663)</f>
        <v>2756</v>
      </c>
      <c r="D664" s="1108">
        <f aca="true" t="shared" si="144" ref="D664">SUM(D660:D663)</f>
        <v>2756</v>
      </c>
      <c r="E664" s="908">
        <f t="shared" si="130"/>
        <v>1</v>
      </c>
      <c r="F664" s="335"/>
    </row>
    <row r="665" spans="1:6" ht="12" customHeight="1">
      <c r="A665" s="68">
        <v>3348</v>
      </c>
      <c r="B665" s="342" t="s">
        <v>147</v>
      </c>
      <c r="C665" s="278"/>
      <c r="D665" s="278"/>
      <c r="E665" s="306"/>
      <c r="F665" s="331"/>
    </row>
    <row r="666" spans="1:6" ht="12" customHeight="1">
      <c r="A666" s="281"/>
      <c r="B666" s="282" t="s">
        <v>97</v>
      </c>
      <c r="C666" s="278"/>
      <c r="D666" s="278"/>
      <c r="E666" s="306"/>
      <c r="F666" s="331"/>
    </row>
    <row r="667" spans="1:6" ht="12" customHeight="1">
      <c r="A667" s="281"/>
      <c r="B667" s="154" t="s">
        <v>263</v>
      </c>
      <c r="C667" s="278"/>
      <c r="D667" s="278"/>
      <c r="E667" s="910"/>
      <c r="F667" s="331"/>
    </row>
    <row r="668" spans="1:6" ht="12" customHeight="1">
      <c r="A668" s="281"/>
      <c r="B668" s="283" t="s">
        <v>252</v>
      </c>
      <c r="C668" s="1109">
        <v>400</v>
      </c>
      <c r="D668" s="1109">
        <v>400</v>
      </c>
      <c r="E668" s="909">
        <f t="shared" si="130"/>
        <v>1</v>
      </c>
      <c r="F668" s="331" t="s">
        <v>486</v>
      </c>
    </row>
    <row r="669" spans="1:6" ht="12" customHeight="1">
      <c r="A669" s="281"/>
      <c r="B669" s="222" t="s">
        <v>102</v>
      </c>
      <c r="C669" s="1109"/>
      <c r="D669" s="1109"/>
      <c r="E669" s="909"/>
      <c r="F669" s="374"/>
    </row>
    <row r="670" spans="1:6" ht="12" customHeight="1">
      <c r="A670" s="281"/>
      <c r="B670" s="222" t="s">
        <v>259</v>
      </c>
      <c r="C670" s="278"/>
      <c r="D670" s="278"/>
      <c r="E670" s="909"/>
      <c r="F670" s="331"/>
    </row>
    <row r="671" spans="1:6" ht="12" customHeight="1" thickBot="1">
      <c r="A671" s="281"/>
      <c r="B671" s="317" t="s">
        <v>70</v>
      </c>
      <c r="C671" s="1110"/>
      <c r="D671" s="1110"/>
      <c r="E671" s="911"/>
      <c r="F671" s="349"/>
    </row>
    <row r="672" spans="1:6" ht="12" customHeight="1" thickBot="1">
      <c r="A672" s="289"/>
      <c r="B672" s="320" t="s">
        <v>113</v>
      </c>
      <c r="C672" s="1108">
        <f aca="true" t="shared" si="145" ref="C672">SUM(C668:C671)</f>
        <v>400</v>
      </c>
      <c r="D672" s="1108">
        <f aca="true" t="shared" si="146" ref="D672">SUM(D668:D671)</f>
        <v>400</v>
      </c>
      <c r="E672" s="908">
        <f aca="true" t="shared" si="147" ref="E672:E732">SUM(D672/C672)</f>
        <v>1</v>
      </c>
      <c r="F672" s="335"/>
    </row>
    <row r="673" spans="1:6" ht="12" customHeight="1">
      <c r="A673" s="68">
        <v>3349</v>
      </c>
      <c r="B673" s="342" t="s">
        <v>325</v>
      </c>
      <c r="C673" s="278"/>
      <c r="D673" s="278"/>
      <c r="E673" s="306"/>
      <c r="F673" s="331"/>
    </row>
    <row r="674" spans="1:6" ht="12" customHeight="1">
      <c r="A674" s="281"/>
      <c r="B674" s="282" t="s">
        <v>97</v>
      </c>
      <c r="C674" s="278"/>
      <c r="D674" s="278"/>
      <c r="E674" s="306"/>
      <c r="F674" s="331"/>
    </row>
    <row r="675" spans="1:6" ht="12" customHeight="1">
      <c r="A675" s="281"/>
      <c r="B675" s="154" t="s">
        <v>263</v>
      </c>
      <c r="C675" s="278"/>
      <c r="D675" s="278"/>
      <c r="E675" s="910"/>
      <c r="F675" s="331"/>
    </row>
    <row r="676" spans="1:6" ht="12" customHeight="1">
      <c r="A676" s="281"/>
      <c r="B676" s="283" t="s">
        <v>252</v>
      </c>
      <c r="C676" s="1109">
        <v>3840</v>
      </c>
      <c r="D676" s="1109">
        <f>3840+320</f>
        <v>4160</v>
      </c>
      <c r="E676" s="909">
        <f t="shared" si="147"/>
        <v>1.0833333333333333</v>
      </c>
      <c r="F676" s="331" t="s">
        <v>486</v>
      </c>
    </row>
    <row r="677" spans="1:6" ht="12" customHeight="1">
      <c r="A677" s="281"/>
      <c r="B677" s="222" t="s">
        <v>102</v>
      </c>
      <c r="C677" s="1109"/>
      <c r="D677" s="1109"/>
      <c r="E677" s="909"/>
      <c r="F677" s="374"/>
    </row>
    <row r="678" spans="1:6" ht="12" customHeight="1">
      <c r="A678" s="281"/>
      <c r="B678" s="222" t="s">
        <v>259</v>
      </c>
      <c r="C678" s="278"/>
      <c r="D678" s="278"/>
      <c r="E678" s="909"/>
      <c r="F678" s="331"/>
    </row>
    <row r="679" spans="1:6" ht="12" customHeight="1" thickBot="1">
      <c r="A679" s="281"/>
      <c r="B679" s="317" t="s">
        <v>70</v>
      </c>
      <c r="C679" s="1110"/>
      <c r="D679" s="1110"/>
      <c r="E679" s="911"/>
      <c r="F679" s="349"/>
    </row>
    <row r="680" spans="1:6" ht="12" customHeight="1" thickBot="1">
      <c r="A680" s="289"/>
      <c r="B680" s="320" t="s">
        <v>113</v>
      </c>
      <c r="C680" s="1108">
        <f aca="true" t="shared" si="148" ref="C680">SUM(C676:C679)</f>
        <v>3840</v>
      </c>
      <c r="D680" s="1108">
        <f aca="true" t="shared" si="149" ref="D680">SUM(D676:D679)</f>
        <v>4160</v>
      </c>
      <c r="E680" s="908">
        <f t="shared" si="147"/>
        <v>1.0833333333333333</v>
      </c>
      <c r="F680" s="335"/>
    </row>
    <row r="681" spans="1:6" ht="12" customHeight="1">
      <c r="A681" s="68">
        <v>3350</v>
      </c>
      <c r="B681" s="342" t="s">
        <v>472</v>
      </c>
      <c r="C681" s="278"/>
      <c r="D681" s="278"/>
      <c r="E681" s="306"/>
      <c r="F681" s="331"/>
    </row>
    <row r="682" spans="1:6" ht="12" customHeight="1">
      <c r="A682" s="281"/>
      <c r="B682" s="282" t="s">
        <v>97</v>
      </c>
      <c r="C682" s="278"/>
      <c r="D682" s="278"/>
      <c r="E682" s="306"/>
      <c r="F682" s="331"/>
    </row>
    <row r="683" spans="1:6" ht="12" customHeight="1">
      <c r="A683" s="281"/>
      <c r="B683" s="154" t="s">
        <v>263</v>
      </c>
      <c r="C683" s="278"/>
      <c r="D683" s="278"/>
      <c r="E683" s="910"/>
      <c r="F683" s="331"/>
    </row>
    <row r="684" spans="1:6" ht="12" customHeight="1">
      <c r="A684" s="281"/>
      <c r="B684" s="283" t="s">
        <v>252</v>
      </c>
      <c r="C684" s="1109">
        <v>4770</v>
      </c>
      <c r="D684" s="1109">
        <f>4770+1919</f>
        <v>6689</v>
      </c>
      <c r="E684" s="909">
        <f t="shared" si="147"/>
        <v>1.4023060796645703</v>
      </c>
      <c r="F684" s="331" t="s">
        <v>486</v>
      </c>
    </row>
    <row r="685" spans="1:6" ht="12" customHeight="1">
      <c r="A685" s="281"/>
      <c r="B685" s="222" t="s">
        <v>102</v>
      </c>
      <c r="C685" s="1109"/>
      <c r="D685" s="1109"/>
      <c r="E685" s="909"/>
      <c r="F685" s="374"/>
    </row>
    <row r="686" spans="1:6" ht="12" customHeight="1">
      <c r="A686" s="281"/>
      <c r="B686" s="222" t="s">
        <v>259</v>
      </c>
      <c r="C686" s="278"/>
      <c r="D686" s="278"/>
      <c r="E686" s="909"/>
      <c r="F686" s="331"/>
    </row>
    <row r="687" spans="1:6" ht="12" customHeight="1" thickBot="1">
      <c r="A687" s="281"/>
      <c r="B687" s="317" t="s">
        <v>70</v>
      </c>
      <c r="C687" s="1110"/>
      <c r="D687" s="1110"/>
      <c r="E687" s="911"/>
      <c r="F687" s="349"/>
    </row>
    <row r="688" spans="1:6" ht="12" customHeight="1" thickBot="1">
      <c r="A688" s="289"/>
      <c r="B688" s="320" t="s">
        <v>113</v>
      </c>
      <c r="C688" s="1108">
        <f aca="true" t="shared" si="150" ref="C688">SUM(C684:C687)</f>
        <v>4770</v>
      </c>
      <c r="D688" s="1108">
        <f aca="true" t="shared" si="151" ref="D688">SUM(D684:D687)</f>
        <v>6689</v>
      </c>
      <c r="E688" s="908">
        <f t="shared" si="147"/>
        <v>1.4023060796645703</v>
      </c>
      <c r="F688" s="335"/>
    </row>
    <row r="689" spans="1:6" ht="12.75">
      <c r="A689" s="68">
        <v>3352</v>
      </c>
      <c r="B689" s="342" t="s">
        <v>467</v>
      </c>
      <c r="C689" s="278"/>
      <c r="D689" s="278"/>
      <c r="E689" s="306"/>
      <c r="F689" s="331"/>
    </row>
    <row r="690" spans="1:6" ht="12.75">
      <c r="A690" s="281"/>
      <c r="B690" s="282" t="s">
        <v>97</v>
      </c>
      <c r="C690" s="221"/>
      <c r="D690" s="221"/>
      <c r="E690" s="306"/>
      <c r="F690" s="331"/>
    </row>
    <row r="691" spans="1:6" ht="12.75">
      <c r="A691" s="281"/>
      <c r="B691" s="154" t="s">
        <v>263</v>
      </c>
      <c r="C691" s="221"/>
      <c r="D691" s="221"/>
      <c r="E691" s="910"/>
      <c r="F691" s="331"/>
    </row>
    <row r="692" spans="1:6" ht="12.75">
      <c r="A692" s="281"/>
      <c r="B692" s="283" t="s">
        <v>252</v>
      </c>
      <c r="C692" s="1109">
        <v>24000</v>
      </c>
      <c r="D692" s="1109">
        <f>24000+1724</f>
        <v>25724</v>
      </c>
      <c r="E692" s="909">
        <f t="shared" si="147"/>
        <v>1.0718333333333334</v>
      </c>
      <c r="F692" s="331" t="s">
        <v>486</v>
      </c>
    </row>
    <row r="693" spans="1:6" ht="12.75">
      <c r="A693" s="281"/>
      <c r="B693" s="222" t="s">
        <v>102</v>
      </c>
      <c r="C693" s="1109"/>
      <c r="D693" s="1109"/>
      <c r="E693" s="909"/>
      <c r="F693" s="438"/>
    </row>
    <row r="694" spans="1:6" ht="12.75">
      <c r="A694" s="281"/>
      <c r="B694" s="222" t="s">
        <v>259</v>
      </c>
      <c r="C694" s="1109"/>
      <c r="D694" s="1109"/>
      <c r="E694" s="909"/>
      <c r="F694" s="331"/>
    </row>
    <row r="695" spans="1:6" ht="12.75">
      <c r="A695" s="281"/>
      <c r="B695" s="222" t="s">
        <v>102</v>
      </c>
      <c r="C695" s="221"/>
      <c r="D695" s="221"/>
      <c r="E695" s="909"/>
      <c r="F695" s="332"/>
    </row>
    <row r="696" spans="1:6" ht="12.75" thickBot="1">
      <c r="A696" s="281"/>
      <c r="B696" s="317" t="s">
        <v>70</v>
      </c>
      <c r="C696" s="1107"/>
      <c r="D696" s="1107"/>
      <c r="E696" s="911"/>
      <c r="F696" s="349"/>
    </row>
    <row r="697" spans="1:6" ht="12.75" thickBot="1">
      <c r="A697" s="289"/>
      <c r="B697" s="320" t="s">
        <v>113</v>
      </c>
      <c r="C697" s="1110">
        <f aca="true" t="shared" si="152" ref="C697">SUM(C690:C696)</f>
        <v>24000</v>
      </c>
      <c r="D697" s="1110">
        <f aca="true" t="shared" si="153" ref="D697">SUM(D690:D696)</f>
        <v>25724</v>
      </c>
      <c r="E697" s="908">
        <f t="shared" si="147"/>
        <v>1.0718333333333334</v>
      </c>
      <c r="F697" s="335"/>
    </row>
    <row r="698" spans="1:6" ht="12.75">
      <c r="A698" s="68">
        <v>3353</v>
      </c>
      <c r="B698" s="342" t="s">
        <v>1119</v>
      </c>
      <c r="C698" s="278"/>
      <c r="D698" s="278"/>
      <c r="E698" s="306"/>
      <c r="F698" s="331"/>
    </row>
    <row r="699" spans="1:6" ht="12.75">
      <c r="A699" s="281"/>
      <c r="B699" s="282" t="s">
        <v>97</v>
      </c>
      <c r="C699" s="221"/>
      <c r="D699" s="221"/>
      <c r="E699" s="306"/>
      <c r="F699" s="331"/>
    </row>
    <row r="700" spans="1:6" ht="12.75">
      <c r="A700" s="281"/>
      <c r="B700" s="154" t="s">
        <v>263</v>
      </c>
      <c r="C700" s="221"/>
      <c r="D700" s="221"/>
      <c r="E700" s="913"/>
      <c r="F700" s="331"/>
    </row>
    <row r="701" spans="1:6" ht="12.75">
      <c r="A701" s="281"/>
      <c r="B701" s="283" t="s">
        <v>252</v>
      </c>
      <c r="C701" s="1109">
        <v>1500</v>
      </c>
      <c r="D701" s="1109">
        <v>1500</v>
      </c>
      <c r="E701" s="909">
        <f t="shared" si="147"/>
        <v>1</v>
      </c>
      <c r="F701" s="331" t="s">
        <v>486</v>
      </c>
    </row>
    <row r="702" spans="1:6" ht="12.75">
      <c r="A702" s="281"/>
      <c r="B702" s="222" t="s">
        <v>102</v>
      </c>
      <c r="C702" s="1109"/>
      <c r="D702" s="1109"/>
      <c r="E702" s="306"/>
      <c r="F702" s="438"/>
    </row>
    <row r="703" spans="1:6" ht="12.75">
      <c r="A703" s="281"/>
      <c r="B703" s="222" t="s">
        <v>259</v>
      </c>
      <c r="C703" s="1109"/>
      <c r="D703" s="1109"/>
      <c r="E703" s="306"/>
      <c r="F703" s="437"/>
    </row>
    <row r="704" spans="1:6" ht="12.75">
      <c r="A704" s="281"/>
      <c r="B704" s="222" t="s">
        <v>102</v>
      </c>
      <c r="C704" s="221"/>
      <c r="D704" s="221"/>
      <c r="E704" s="306"/>
      <c r="F704" s="332"/>
    </row>
    <row r="705" spans="1:6" ht="12.75" thickBot="1">
      <c r="A705" s="281"/>
      <c r="B705" s="317" t="s">
        <v>70</v>
      </c>
      <c r="C705" s="1107"/>
      <c r="D705" s="1107"/>
      <c r="E705" s="914"/>
      <c r="F705" s="349"/>
    </row>
    <row r="706" spans="1:6" ht="12.75" thickBot="1">
      <c r="A706" s="289"/>
      <c r="B706" s="320" t="s">
        <v>113</v>
      </c>
      <c r="C706" s="1110">
        <f aca="true" t="shared" si="154" ref="C706">SUM(C699:C705)</f>
        <v>1500</v>
      </c>
      <c r="D706" s="1110">
        <f aca="true" t="shared" si="155" ref="D706">SUM(D699:D705)</f>
        <v>1500</v>
      </c>
      <c r="E706" s="908">
        <f t="shared" si="147"/>
        <v>1</v>
      </c>
      <c r="F706" s="335"/>
    </row>
    <row r="707" spans="1:6" ht="12" customHeight="1">
      <c r="A707" s="68">
        <v>3355</v>
      </c>
      <c r="B707" s="176" t="s">
        <v>31</v>
      </c>
      <c r="C707" s="278"/>
      <c r="D707" s="278"/>
      <c r="E707" s="306"/>
      <c r="F707" s="331"/>
    </row>
    <row r="708" spans="1:6" ht="12" customHeight="1">
      <c r="A708" s="281"/>
      <c r="B708" s="282" t="s">
        <v>97</v>
      </c>
      <c r="C708" s="1109">
        <v>2000</v>
      </c>
      <c r="D708" s="1109">
        <f>2000+317</f>
        <v>2317</v>
      </c>
      <c r="E708" s="910">
        <f t="shared" si="147"/>
        <v>1.1585</v>
      </c>
      <c r="F708" s="331"/>
    </row>
    <row r="709" spans="1:6" ht="12" customHeight="1">
      <c r="A709" s="281"/>
      <c r="B709" s="154" t="s">
        <v>263</v>
      </c>
      <c r="C709" s="1109">
        <v>900</v>
      </c>
      <c r="D709" s="1109">
        <f>900+52</f>
        <v>952</v>
      </c>
      <c r="E709" s="909">
        <f t="shared" si="147"/>
        <v>1.0577777777777777</v>
      </c>
      <c r="F709" s="608" t="s">
        <v>488</v>
      </c>
    </row>
    <row r="710" spans="1:6" ht="12" customHeight="1">
      <c r="A710" s="281"/>
      <c r="B710" s="283" t="s">
        <v>252</v>
      </c>
      <c r="C710" s="1109">
        <v>3100</v>
      </c>
      <c r="D710" s="1109">
        <f>3100+4078</f>
        <v>7178</v>
      </c>
      <c r="E710" s="909">
        <f t="shared" si="147"/>
        <v>2.315483870967742</v>
      </c>
      <c r="F710" s="437"/>
    </row>
    <row r="711" spans="1:6" ht="12" customHeight="1">
      <c r="A711" s="281"/>
      <c r="B711" s="222" t="s">
        <v>102</v>
      </c>
      <c r="C711" s="1109"/>
      <c r="D711" s="1109"/>
      <c r="E711" s="909"/>
      <c r="F711" s="331"/>
    </row>
    <row r="712" spans="1:6" ht="12" customHeight="1">
      <c r="A712" s="281"/>
      <c r="B712" s="222" t="s">
        <v>259</v>
      </c>
      <c r="C712" s="1109"/>
      <c r="D712" s="1109"/>
      <c r="E712" s="909"/>
      <c r="F712" s="331"/>
    </row>
    <row r="713" spans="1:6" ht="12" customHeight="1" thickBot="1">
      <c r="A713" s="281"/>
      <c r="B713" s="317" t="s">
        <v>70</v>
      </c>
      <c r="C713" s="1111"/>
      <c r="D713" s="1111"/>
      <c r="E713" s="911"/>
      <c r="F713" s="349"/>
    </row>
    <row r="714" spans="1:6" ht="12" customHeight="1" thickBot="1">
      <c r="A714" s="289"/>
      <c r="B714" s="320" t="s">
        <v>113</v>
      </c>
      <c r="C714" s="1108">
        <f aca="true" t="shared" si="156" ref="C714">SUM(C708:C713)</f>
        <v>6000</v>
      </c>
      <c r="D714" s="1108">
        <f aca="true" t="shared" si="157" ref="D714">SUM(D708:D713)</f>
        <v>10447</v>
      </c>
      <c r="E714" s="908">
        <f t="shared" si="147"/>
        <v>1.7411666666666668</v>
      </c>
      <c r="F714" s="335"/>
    </row>
    <row r="715" spans="1:6" ht="12" customHeight="1">
      <c r="A715" s="68">
        <v>3356</v>
      </c>
      <c r="B715" s="176" t="s">
        <v>17</v>
      </c>
      <c r="C715" s="278"/>
      <c r="D715" s="278"/>
      <c r="E715" s="306"/>
      <c r="F715" s="331"/>
    </row>
    <row r="716" spans="1:6" ht="12" customHeight="1">
      <c r="A716" s="281"/>
      <c r="B716" s="282" t="s">
        <v>97</v>
      </c>
      <c r="C716" s="1109"/>
      <c r="D716" s="1109"/>
      <c r="E716" s="306"/>
      <c r="F716" s="331"/>
    </row>
    <row r="717" spans="1:6" ht="12" customHeight="1">
      <c r="A717" s="281"/>
      <c r="B717" s="154" t="s">
        <v>263</v>
      </c>
      <c r="C717" s="1109"/>
      <c r="D717" s="1109"/>
      <c r="E717" s="306"/>
      <c r="F717" s="331"/>
    </row>
    <row r="718" spans="1:6" ht="12" customHeight="1">
      <c r="A718" s="281"/>
      <c r="B718" s="283" t="s">
        <v>252</v>
      </c>
      <c r="C718" s="1109"/>
      <c r="D718" s="1109"/>
      <c r="E718" s="910"/>
      <c r="F718" s="437"/>
    </row>
    <row r="719" spans="1:6" ht="12" customHeight="1">
      <c r="A719" s="281"/>
      <c r="B719" s="222" t="s">
        <v>102</v>
      </c>
      <c r="C719" s="1109"/>
      <c r="D719" s="1109"/>
      <c r="E719" s="909"/>
      <c r="F719" s="331"/>
    </row>
    <row r="720" spans="1:6" ht="12" customHeight="1">
      <c r="A720" s="281"/>
      <c r="B720" s="222" t="s">
        <v>259</v>
      </c>
      <c r="C720" s="1109">
        <v>5000</v>
      </c>
      <c r="D720" s="1109">
        <f>5000+3399</f>
        <v>8399</v>
      </c>
      <c r="E720" s="909">
        <f t="shared" si="147"/>
        <v>1.6798</v>
      </c>
      <c r="F720" s="331"/>
    </row>
    <row r="721" spans="1:6" ht="12" customHeight="1" thickBot="1">
      <c r="A721" s="281"/>
      <c r="B721" s="317" t="s">
        <v>70</v>
      </c>
      <c r="C721" s="1110"/>
      <c r="D721" s="1110"/>
      <c r="E721" s="911"/>
      <c r="F721" s="349"/>
    </row>
    <row r="722" spans="1:6" ht="12" customHeight="1" thickBot="1">
      <c r="A722" s="289"/>
      <c r="B722" s="320" t="s">
        <v>113</v>
      </c>
      <c r="C722" s="1108">
        <f aca="true" t="shared" si="158" ref="C722">SUM(C716:C721)</f>
        <v>5000</v>
      </c>
      <c r="D722" s="1108">
        <f aca="true" t="shared" si="159" ref="D722">SUM(D716:D721)</f>
        <v>8399</v>
      </c>
      <c r="E722" s="908">
        <f t="shared" si="147"/>
        <v>1.6798</v>
      </c>
      <c r="F722" s="335"/>
    </row>
    <row r="723" spans="1:6" ht="12" customHeight="1">
      <c r="A723" s="68">
        <v>3357</v>
      </c>
      <c r="B723" s="176" t="s">
        <v>32</v>
      </c>
      <c r="C723" s="278"/>
      <c r="D723" s="278"/>
      <c r="E723" s="306"/>
      <c r="F723" s="331"/>
    </row>
    <row r="724" spans="1:6" ht="12" customHeight="1">
      <c r="A724" s="281"/>
      <c r="B724" s="282" t="s">
        <v>97</v>
      </c>
      <c r="C724" s="1109">
        <v>600</v>
      </c>
      <c r="D724" s="1109">
        <v>600</v>
      </c>
      <c r="E724" s="910">
        <f t="shared" si="147"/>
        <v>1</v>
      </c>
      <c r="F724" s="331"/>
    </row>
    <row r="725" spans="1:6" ht="12" customHeight="1">
      <c r="A725" s="281"/>
      <c r="B725" s="154" t="s">
        <v>263</v>
      </c>
      <c r="C725" s="1109">
        <v>300</v>
      </c>
      <c r="D725" s="1109">
        <v>300</v>
      </c>
      <c r="E725" s="909">
        <f t="shared" si="147"/>
        <v>1</v>
      </c>
      <c r="F725" s="331"/>
    </row>
    <row r="726" spans="1:6" ht="12" customHeight="1">
      <c r="A726" s="281"/>
      <c r="B726" s="283" t="s">
        <v>252</v>
      </c>
      <c r="C726" s="1109">
        <v>2100</v>
      </c>
      <c r="D726" s="1109">
        <f>2100+270</f>
        <v>2370</v>
      </c>
      <c r="E726" s="909">
        <f t="shared" si="147"/>
        <v>1.1285714285714286</v>
      </c>
      <c r="F726" s="608" t="s">
        <v>488</v>
      </c>
    </row>
    <row r="727" spans="1:6" ht="12" customHeight="1">
      <c r="A727" s="281"/>
      <c r="B727" s="222" t="s">
        <v>102</v>
      </c>
      <c r="C727" s="1109"/>
      <c r="D727" s="1109"/>
      <c r="E727" s="909"/>
      <c r="F727" s="331"/>
    </row>
    <row r="728" spans="1:6" ht="12" customHeight="1">
      <c r="A728" s="281"/>
      <c r="B728" s="222" t="s">
        <v>259</v>
      </c>
      <c r="C728" s="1109"/>
      <c r="D728" s="1109"/>
      <c r="E728" s="909"/>
      <c r="F728" s="331"/>
    </row>
    <row r="729" spans="1:6" ht="12" customHeight="1" thickBot="1">
      <c r="A729" s="281"/>
      <c r="B729" s="317" t="s">
        <v>70</v>
      </c>
      <c r="C729" s="1111"/>
      <c r="D729" s="1111"/>
      <c r="E729" s="911"/>
      <c r="F729" s="349"/>
    </row>
    <row r="730" spans="1:6" ht="12.75" thickBot="1">
      <c r="A730" s="289"/>
      <c r="B730" s="320" t="s">
        <v>113</v>
      </c>
      <c r="C730" s="1108">
        <f aca="true" t="shared" si="160" ref="C730">SUM(C724:C729)</f>
        <v>3000</v>
      </c>
      <c r="D730" s="1108">
        <f aca="true" t="shared" si="161" ref="D730">SUM(D724:D729)</f>
        <v>3270</v>
      </c>
      <c r="E730" s="908">
        <f t="shared" si="147"/>
        <v>1.09</v>
      </c>
      <c r="F730" s="335"/>
    </row>
    <row r="731" spans="1:6" ht="0.75" customHeight="1" thickBot="1">
      <c r="A731" s="68">
        <v>3362</v>
      </c>
      <c r="B731" s="176" t="s">
        <v>411</v>
      </c>
      <c r="C731" s="278"/>
      <c r="D731" s="278"/>
      <c r="E731" s="306" t="e">
        <f t="shared" si="147"/>
        <v>#DIV/0!</v>
      </c>
      <c r="F731" s="331"/>
    </row>
    <row r="732" spans="1:6" ht="12" customHeight="1" hidden="1" thickBot="1">
      <c r="A732" s="281"/>
      <c r="B732" s="481" t="s">
        <v>97</v>
      </c>
      <c r="C732" s="1109"/>
      <c r="D732" s="1109"/>
      <c r="E732" s="306" t="e">
        <f t="shared" si="147"/>
        <v>#DIV/0!</v>
      </c>
      <c r="F732" s="1126" t="s">
        <v>463</v>
      </c>
    </row>
    <row r="733" spans="1:6" ht="12" customHeight="1" hidden="1" thickBot="1">
      <c r="A733" s="281"/>
      <c r="B733" s="154" t="s">
        <v>263</v>
      </c>
      <c r="C733" s="1109"/>
      <c r="D733" s="1109"/>
      <c r="E733" s="306" t="e">
        <f aca="true" t="shared" si="162" ref="E733:E804">SUM(D733/C733)</f>
        <v>#DIV/0!</v>
      </c>
      <c r="F733" s="331" t="s">
        <v>455</v>
      </c>
    </row>
    <row r="734" spans="1:6" ht="12" customHeight="1" hidden="1" thickBot="1">
      <c r="A734" s="281"/>
      <c r="B734" s="283" t="s">
        <v>252</v>
      </c>
      <c r="C734" s="1109"/>
      <c r="D734" s="1109"/>
      <c r="E734" s="306" t="e">
        <f t="shared" si="162"/>
        <v>#DIV/0!</v>
      </c>
      <c r="F734" s="438"/>
    </row>
    <row r="735" spans="1:6" ht="12" customHeight="1" hidden="1" thickBot="1">
      <c r="A735" s="281"/>
      <c r="B735" s="222" t="s">
        <v>102</v>
      </c>
      <c r="C735" s="1109"/>
      <c r="D735" s="1109"/>
      <c r="E735" s="306" t="e">
        <f t="shared" si="162"/>
        <v>#DIV/0!</v>
      </c>
      <c r="F735" s="608" t="s">
        <v>488</v>
      </c>
    </row>
    <row r="736" spans="1:6" ht="12" customHeight="1" hidden="1" thickBot="1">
      <c r="A736" s="281"/>
      <c r="B736" s="222" t="s">
        <v>259</v>
      </c>
      <c r="C736" s="1109"/>
      <c r="D736" s="1109"/>
      <c r="E736" s="306" t="e">
        <f t="shared" si="162"/>
        <v>#DIV/0!</v>
      </c>
      <c r="F736" s="331"/>
    </row>
    <row r="737" spans="1:6" ht="12" customHeight="1" hidden="1" thickBot="1">
      <c r="A737" s="281"/>
      <c r="B737" s="317" t="s">
        <v>240</v>
      </c>
      <c r="C737" s="1111"/>
      <c r="D737" s="1111"/>
      <c r="E737" s="306" t="e">
        <f t="shared" si="162"/>
        <v>#DIV/0!</v>
      </c>
      <c r="F737" s="349"/>
    </row>
    <row r="738" spans="1:6" ht="12" customHeight="1" hidden="1" thickBot="1">
      <c r="A738" s="289"/>
      <c r="B738" s="320" t="s">
        <v>113</v>
      </c>
      <c r="C738" s="1108">
        <f aca="true" t="shared" si="163" ref="C738">SUM(C732:C737)</f>
        <v>0</v>
      </c>
      <c r="D738" s="1108">
        <f aca="true" t="shared" si="164" ref="D738">SUM(D732:D737)</f>
        <v>0</v>
      </c>
      <c r="E738" s="306" t="e">
        <f t="shared" si="162"/>
        <v>#DIV/0!</v>
      </c>
      <c r="F738" s="335"/>
    </row>
    <row r="739" spans="1:6" ht="12" customHeight="1" thickBot="1">
      <c r="A739" s="344">
        <v>3400</v>
      </c>
      <c r="B739" s="355" t="s">
        <v>75</v>
      </c>
      <c r="C739" s="1108">
        <f>SUM(C740+C784)</f>
        <v>118500</v>
      </c>
      <c r="D739" s="1108">
        <f>SUM(D740+D784)</f>
        <v>251341</v>
      </c>
      <c r="E739" s="907">
        <f t="shared" si="162"/>
        <v>2.1210210970464134</v>
      </c>
      <c r="F739" s="335"/>
    </row>
    <row r="740" spans="1:6" ht="12" customHeight="1" thickBot="1">
      <c r="A740" s="68">
        <v>3410</v>
      </c>
      <c r="B740" s="355" t="s">
        <v>76</v>
      </c>
      <c r="C740" s="1108">
        <f>SUM(C758+C766+C775+C783)</f>
        <v>42000</v>
      </c>
      <c r="D740" s="1108">
        <f>SUM(D749+D758+D766+D775+D783)</f>
        <v>110441</v>
      </c>
      <c r="E740" s="908">
        <f t="shared" si="162"/>
        <v>2.629547619047619</v>
      </c>
      <c r="F740" s="335"/>
    </row>
    <row r="741" spans="1:6" ht="12" customHeight="1">
      <c r="A741" s="68">
        <v>3411</v>
      </c>
      <c r="B741" s="292" t="s">
        <v>1357</v>
      </c>
      <c r="C741" s="278"/>
      <c r="D741" s="278"/>
      <c r="E741" s="306"/>
      <c r="F741" s="330"/>
    </row>
    <row r="742" spans="1:6" ht="12" customHeight="1">
      <c r="A742" s="68"/>
      <c r="B742" s="282" t="s">
        <v>97</v>
      </c>
      <c r="C742" s="221"/>
      <c r="D742" s="221"/>
      <c r="E742" s="910"/>
      <c r="F742" s="331"/>
    </row>
    <row r="743" spans="1:6" ht="12" customHeight="1">
      <c r="A743" s="68"/>
      <c r="B743" s="154" t="s">
        <v>263</v>
      </c>
      <c r="C743" s="221"/>
      <c r="D743" s="221"/>
      <c r="E743" s="909"/>
      <c r="F743" s="438"/>
    </row>
    <row r="744" spans="1:6" ht="12" customHeight="1">
      <c r="A744" s="68"/>
      <c r="B744" s="283" t="s">
        <v>252</v>
      </c>
      <c r="C744" s="1109"/>
      <c r="D744" s="1109"/>
      <c r="E744" s="909"/>
      <c r="F744" s="608" t="s">
        <v>488</v>
      </c>
    </row>
    <row r="745" spans="1:6" ht="12" customHeight="1">
      <c r="A745" s="68"/>
      <c r="B745" s="222" t="s">
        <v>102</v>
      </c>
      <c r="C745" s="1109"/>
      <c r="D745" s="1109"/>
      <c r="E745" s="909"/>
      <c r="F745" s="331"/>
    </row>
    <row r="746" spans="1:6" ht="12" customHeight="1">
      <c r="A746" s="68"/>
      <c r="B746" s="222" t="s">
        <v>259</v>
      </c>
      <c r="C746" s="221"/>
      <c r="D746" s="221">
        <v>25000</v>
      </c>
      <c r="E746" s="909">
        <v>1</v>
      </c>
      <c r="F746" s="332"/>
    </row>
    <row r="747" spans="1:6" ht="12" customHeight="1">
      <c r="A747" s="68"/>
      <c r="B747" s="317" t="s">
        <v>222</v>
      </c>
      <c r="C747" s="221"/>
      <c r="D747" s="221"/>
      <c r="E747" s="909"/>
      <c r="F747" s="307"/>
    </row>
    <row r="748" spans="1:6" ht="12" customHeight="1" thickBot="1">
      <c r="A748" s="68"/>
      <c r="B748" s="509" t="s">
        <v>240</v>
      </c>
      <c r="C748" s="1127"/>
      <c r="D748" s="1127"/>
      <c r="E748" s="911"/>
      <c r="F748" s="349"/>
    </row>
    <row r="749" spans="1:6" ht="12" customHeight="1" thickBot="1">
      <c r="A749" s="289"/>
      <c r="B749" s="320" t="s">
        <v>113</v>
      </c>
      <c r="C749" s="1110"/>
      <c r="D749" s="1110">
        <f>SUM(D742:D748)</f>
        <v>25000</v>
      </c>
      <c r="E749" s="908">
        <v>1</v>
      </c>
      <c r="F749" s="908"/>
    </row>
    <row r="750" spans="1:6" s="301" customFormat="1" ht="12" customHeight="1">
      <c r="A750" s="68">
        <v>3412</v>
      </c>
      <c r="B750" s="176" t="s">
        <v>338</v>
      </c>
      <c r="C750" s="278"/>
      <c r="D750" s="278"/>
      <c r="E750" s="306"/>
      <c r="F750" s="330"/>
    </row>
    <row r="751" spans="1:6" ht="12" customHeight="1">
      <c r="A751" s="281"/>
      <c r="B751" s="282" t="s">
        <v>97</v>
      </c>
      <c r="C751" s="221">
        <v>11500</v>
      </c>
      <c r="D751" s="221">
        <v>11500</v>
      </c>
      <c r="E751" s="910">
        <f t="shared" si="162"/>
        <v>1</v>
      </c>
      <c r="F751" s="331"/>
    </row>
    <row r="752" spans="1:6" ht="12" customHeight="1">
      <c r="A752" s="281"/>
      <c r="B752" s="154" t="s">
        <v>263</v>
      </c>
      <c r="C752" s="221">
        <v>2000</v>
      </c>
      <c r="D752" s="221">
        <v>2000</v>
      </c>
      <c r="E752" s="909">
        <f t="shared" si="162"/>
        <v>1</v>
      </c>
      <c r="F752" s="438"/>
    </row>
    <row r="753" spans="1:6" ht="12" customHeight="1">
      <c r="A753" s="281"/>
      <c r="B753" s="283" t="s">
        <v>252</v>
      </c>
      <c r="C753" s="1109">
        <v>6500</v>
      </c>
      <c r="D753" s="1109">
        <f>6500+3909</f>
        <v>10409</v>
      </c>
      <c r="E753" s="909">
        <f t="shared" si="162"/>
        <v>1.6013846153846154</v>
      </c>
      <c r="F753" s="608" t="s">
        <v>488</v>
      </c>
    </row>
    <row r="754" spans="1:6" ht="12" customHeight="1">
      <c r="A754" s="281"/>
      <c r="B754" s="222" t="s">
        <v>102</v>
      </c>
      <c r="C754" s="1109"/>
      <c r="D754" s="1109"/>
      <c r="E754" s="909"/>
      <c r="F754" s="331"/>
    </row>
    <row r="755" spans="1:6" ht="12.75">
      <c r="A755" s="281"/>
      <c r="B755" s="222" t="s">
        <v>259</v>
      </c>
      <c r="C755" s="221"/>
      <c r="D755" s="221">
        <v>29483</v>
      </c>
      <c r="E755" s="909">
        <v>1</v>
      </c>
      <c r="F755" s="332"/>
    </row>
    <row r="756" spans="1:6" ht="12.75">
      <c r="A756" s="281"/>
      <c r="B756" s="317" t="s">
        <v>222</v>
      </c>
      <c r="C756" s="221"/>
      <c r="D756" s="221">
        <v>549</v>
      </c>
      <c r="E756" s="909">
        <v>1</v>
      </c>
      <c r="F756" s="307"/>
    </row>
    <row r="757" spans="1:6" ht="12.75" thickBot="1">
      <c r="A757" s="281"/>
      <c r="B757" s="509" t="s">
        <v>240</v>
      </c>
      <c r="C757" s="1127"/>
      <c r="D757" s="1127"/>
      <c r="E757" s="911"/>
      <c r="F757" s="349"/>
    </row>
    <row r="758" spans="1:6" ht="12" customHeight="1" thickBot="1">
      <c r="A758" s="289"/>
      <c r="B758" s="320" t="s">
        <v>113</v>
      </c>
      <c r="C758" s="1110">
        <f>SUM(C751:C757)</f>
        <v>20000</v>
      </c>
      <c r="D758" s="1110">
        <f>SUM(D751:D757)</f>
        <v>53941</v>
      </c>
      <c r="E758" s="908">
        <f t="shared" si="162"/>
        <v>2.69705</v>
      </c>
      <c r="F758" s="371"/>
    </row>
    <row r="759" spans="1:6" ht="12" customHeight="1">
      <c r="A759" s="68">
        <v>3413</v>
      </c>
      <c r="B759" s="342" t="s">
        <v>117</v>
      </c>
      <c r="C759" s="278"/>
      <c r="D759" s="278"/>
      <c r="E759" s="306"/>
      <c r="F759" s="303"/>
    </row>
    <row r="760" spans="1:6" ht="12" customHeight="1">
      <c r="A760" s="281"/>
      <c r="B760" s="282" t="s">
        <v>97</v>
      </c>
      <c r="C760" s="221">
        <v>600</v>
      </c>
      <c r="D760" s="221">
        <v>600</v>
      </c>
      <c r="E760" s="910">
        <f t="shared" si="162"/>
        <v>1</v>
      </c>
      <c r="F760" s="331"/>
    </row>
    <row r="761" spans="1:6" ht="12" customHeight="1">
      <c r="A761" s="281"/>
      <c r="B761" s="154" t="s">
        <v>263</v>
      </c>
      <c r="C761" s="221">
        <v>400</v>
      </c>
      <c r="D761" s="221">
        <v>400</v>
      </c>
      <c r="E761" s="909">
        <f t="shared" si="162"/>
        <v>1</v>
      </c>
      <c r="F761" s="608" t="s">
        <v>488</v>
      </c>
    </row>
    <row r="762" spans="1:6" ht="12" customHeight="1">
      <c r="A762" s="281"/>
      <c r="B762" s="283" t="s">
        <v>252</v>
      </c>
      <c r="C762" s="1109">
        <v>1000</v>
      </c>
      <c r="D762" s="1109">
        <v>1000</v>
      </c>
      <c r="E762" s="909">
        <f t="shared" si="162"/>
        <v>1</v>
      </c>
      <c r="F762" s="438"/>
    </row>
    <row r="763" spans="1:6" ht="12" customHeight="1">
      <c r="A763" s="281"/>
      <c r="B763" s="222" t="s">
        <v>102</v>
      </c>
      <c r="C763" s="1109"/>
      <c r="D763" s="1109"/>
      <c r="E763" s="909"/>
      <c r="F763" s="331"/>
    </row>
    <row r="764" spans="1:6" ht="12" customHeight="1">
      <c r="A764" s="281"/>
      <c r="B764" s="222" t="s">
        <v>259</v>
      </c>
      <c r="C764" s="221"/>
      <c r="D764" s="221">
        <v>2000</v>
      </c>
      <c r="E764" s="909">
        <v>1</v>
      </c>
      <c r="F764" s="331"/>
    </row>
    <row r="765" spans="1:6" ht="12" customHeight="1" thickBot="1">
      <c r="A765" s="281"/>
      <c r="B765" s="317" t="s">
        <v>70</v>
      </c>
      <c r="C765" s="1107"/>
      <c r="D765" s="1107"/>
      <c r="E765" s="911"/>
      <c r="F765" s="349"/>
    </row>
    <row r="766" spans="1:6" ht="12" customHeight="1" thickBot="1">
      <c r="A766" s="289"/>
      <c r="B766" s="320" t="s">
        <v>113</v>
      </c>
      <c r="C766" s="1110">
        <f aca="true" t="shared" si="165" ref="C766">SUM(C760:C765)</f>
        <v>2000</v>
      </c>
      <c r="D766" s="1110">
        <f aca="true" t="shared" si="166" ref="D766">SUM(D760:D765)</f>
        <v>4000</v>
      </c>
      <c r="E766" s="908">
        <f t="shared" si="162"/>
        <v>2</v>
      </c>
      <c r="F766" s="371"/>
    </row>
    <row r="767" spans="1:6" ht="12" customHeight="1" hidden="1" thickBot="1">
      <c r="A767" s="68">
        <v>3414</v>
      </c>
      <c r="B767" s="342" t="s">
        <v>65</v>
      </c>
      <c r="C767" s="278"/>
      <c r="D767" s="278"/>
      <c r="E767" s="306" t="e">
        <f t="shared" si="162"/>
        <v>#DIV/0!</v>
      </c>
      <c r="F767" s="303"/>
    </row>
    <row r="768" spans="1:6" ht="12" customHeight="1" hidden="1" thickBot="1">
      <c r="A768" s="281"/>
      <c r="B768" s="282" t="s">
        <v>97</v>
      </c>
      <c r="C768" s="221"/>
      <c r="D768" s="221"/>
      <c r="E768" s="306" t="e">
        <f t="shared" si="162"/>
        <v>#DIV/0!</v>
      </c>
      <c r="F768" s="330" t="s">
        <v>462</v>
      </c>
    </row>
    <row r="769" spans="1:6" ht="12" customHeight="1" hidden="1" thickBot="1">
      <c r="A769" s="281"/>
      <c r="B769" s="154" t="s">
        <v>263</v>
      </c>
      <c r="C769" s="221"/>
      <c r="D769" s="221"/>
      <c r="E769" s="306" t="e">
        <f t="shared" si="162"/>
        <v>#DIV/0!</v>
      </c>
      <c r="F769" s="560" t="s">
        <v>461</v>
      </c>
    </row>
    <row r="770" spans="1:6" ht="12" customHeight="1" hidden="1" thickBot="1">
      <c r="A770" s="281"/>
      <c r="B770" s="283" t="s">
        <v>252</v>
      </c>
      <c r="C770" s="1109"/>
      <c r="D770" s="1109"/>
      <c r="E770" s="306" t="e">
        <f t="shared" si="162"/>
        <v>#DIV/0!</v>
      </c>
      <c r="F770" s="438"/>
    </row>
    <row r="771" spans="1:6" ht="12" customHeight="1" hidden="1" thickBot="1">
      <c r="A771" s="281"/>
      <c r="B771" s="222" t="s">
        <v>102</v>
      </c>
      <c r="C771" s="1109"/>
      <c r="D771" s="1109"/>
      <c r="E771" s="306" t="e">
        <f t="shared" si="162"/>
        <v>#DIV/0!</v>
      </c>
      <c r="F771" s="331"/>
    </row>
    <row r="772" spans="1:6" ht="12" customHeight="1" hidden="1" thickBot="1">
      <c r="A772" s="281"/>
      <c r="B772" s="222" t="s">
        <v>259</v>
      </c>
      <c r="C772" s="221"/>
      <c r="D772" s="221"/>
      <c r="E772" s="306" t="e">
        <f t="shared" si="162"/>
        <v>#DIV/0!</v>
      </c>
      <c r="F772" s="331"/>
    </row>
    <row r="773" spans="1:6" ht="12" customHeight="1" hidden="1" thickBot="1">
      <c r="A773" s="281"/>
      <c r="B773" s="222" t="s">
        <v>220</v>
      </c>
      <c r="C773" s="221"/>
      <c r="D773" s="221"/>
      <c r="E773" s="306" t="e">
        <f t="shared" si="162"/>
        <v>#DIV/0!</v>
      </c>
      <c r="F773" s="332"/>
    </row>
    <row r="774" spans="1:6" ht="12" customHeight="1" hidden="1" thickBot="1">
      <c r="A774" s="281"/>
      <c r="B774" s="317" t="s">
        <v>240</v>
      </c>
      <c r="C774" s="1081"/>
      <c r="D774" s="1081"/>
      <c r="E774" s="907" t="e">
        <f t="shared" si="162"/>
        <v>#DIV/0!</v>
      </c>
      <c r="F774" s="349"/>
    </row>
    <row r="775" spans="1:6" ht="12" customHeight="1" hidden="1" thickBot="1">
      <c r="A775" s="289"/>
      <c r="B775" s="320" t="s">
        <v>113</v>
      </c>
      <c r="C775" s="1108"/>
      <c r="D775" s="1108"/>
      <c r="E775" s="908" t="e">
        <f t="shared" si="162"/>
        <v>#DIV/0!</v>
      </c>
      <c r="F775" s="371"/>
    </row>
    <row r="776" spans="1:6" ht="12" customHeight="1">
      <c r="A776" s="68">
        <v>3416</v>
      </c>
      <c r="B776" s="342" t="s">
        <v>146</v>
      </c>
      <c r="C776" s="278"/>
      <c r="D776" s="278"/>
      <c r="E776" s="306"/>
      <c r="F776" s="303" t="s">
        <v>462</v>
      </c>
    </row>
    <row r="777" spans="1:6" ht="12" customHeight="1">
      <c r="A777" s="281"/>
      <c r="B777" s="282" t="s">
        <v>97</v>
      </c>
      <c r="C777" s="221"/>
      <c r="D777" s="221"/>
      <c r="E777" s="306"/>
      <c r="F777" s="560" t="s">
        <v>461</v>
      </c>
    </row>
    <row r="778" spans="1:6" ht="12" customHeight="1">
      <c r="A778" s="281"/>
      <c r="B778" s="154" t="s">
        <v>263</v>
      </c>
      <c r="C778" s="221"/>
      <c r="D778" s="221"/>
      <c r="E778" s="910"/>
      <c r="F778" s="331"/>
    </row>
    <row r="779" spans="1:6" ht="12" customHeight="1">
      <c r="A779" s="281"/>
      <c r="B779" s="283" t="s">
        <v>252</v>
      </c>
      <c r="C779" s="221"/>
      <c r="D779" s="221"/>
      <c r="E779" s="909"/>
      <c r="F779" s="438"/>
    </row>
    <row r="780" spans="1:6" ht="12" customHeight="1">
      <c r="A780" s="281"/>
      <c r="B780" s="222" t="s">
        <v>102</v>
      </c>
      <c r="C780" s="221"/>
      <c r="D780" s="221"/>
      <c r="E780" s="909"/>
      <c r="F780" s="438"/>
    </row>
    <row r="781" spans="1:6" ht="12" customHeight="1">
      <c r="A781" s="281"/>
      <c r="B781" s="222" t="s">
        <v>259</v>
      </c>
      <c r="C781" s="221">
        <v>20000</v>
      </c>
      <c r="D781" s="221">
        <f>20000+7500</f>
        <v>27500</v>
      </c>
      <c r="E781" s="909">
        <f t="shared" si="162"/>
        <v>1.375</v>
      </c>
      <c r="F781" s="437"/>
    </row>
    <row r="782" spans="1:6" ht="12" customHeight="1" thickBot="1">
      <c r="A782" s="281"/>
      <c r="B782" s="317" t="s">
        <v>70</v>
      </c>
      <c r="C782" s="1081"/>
      <c r="D782" s="1081"/>
      <c r="E782" s="911"/>
      <c r="F782" s="439"/>
    </row>
    <row r="783" spans="1:6" ht="12" customHeight="1" thickBot="1">
      <c r="A783" s="289"/>
      <c r="B783" s="320" t="s">
        <v>113</v>
      </c>
      <c r="C783" s="1108">
        <f aca="true" t="shared" si="167" ref="C783">SUM(C777:C782)</f>
        <v>20000</v>
      </c>
      <c r="D783" s="1108">
        <f aca="true" t="shared" si="168" ref="D783">SUM(D777:D782)</f>
        <v>27500</v>
      </c>
      <c r="E783" s="908">
        <f t="shared" si="162"/>
        <v>1.375</v>
      </c>
      <c r="F783" s="371"/>
    </row>
    <row r="784" spans="1:6" ht="12" customHeight="1">
      <c r="A784" s="68">
        <v>3420</v>
      </c>
      <c r="B784" s="292" t="s">
        <v>131</v>
      </c>
      <c r="C784" s="278">
        <f>SUM(C800+C808+C848+C824+C832+C856+C864+C872+C792+C816)</f>
        <v>76500</v>
      </c>
      <c r="D784" s="278">
        <f>SUM(D800+D808+D840+D848+D824+D832+D856+D864+D872+D792+D816)</f>
        <v>140900</v>
      </c>
      <c r="E784" s="306">
        <f t="shared" si="162"/>
        <v>1.841830065359477</v>
      </c>
      <c r="F784" s="303"/>
    </row>
    <row r="785" spans="1:6" ht="12" customHeight="1">
      <c r="A785" s="68">
        <v>3421</v>
      </c>
      <c r="B785" s="342" t="s">
        <v>349</v>
      </c>
      <c r="C785" s="278"/>
      <c r="D785" s="278"/>
      <c r="E785" s="306"/>
      <c r="F785" s="330"/>
    </row>
    <row r="786" spans="1:6" ht="12" customHeight="1">
      <c r="A786" s="281"/>
      <c r="B786" s="282" t="s">
        <v>97</v>
      </c>
      <c r="C786" s="221">
        <v>1700</v>
      </c>
      <c r="D786" s="221">
        <f>1700+5417</f>
        <v>7117</v>
      </c>
      <c r="E786" s="910">
        <f t="shared" si="162"/>
        <v>4.186470588235294</v>
      </c>
      <c r="F786" s="437"/>
    </row>
    <row r="787" spans="1:6" ht="12" customHeight="1">
      <c r="A787" s="281"/>
      <c r="B787" s="154" t="s">
        <v>263</v>
      </c>
      <c r="C787" s="221">
        <v>800</v>
      </c>
      <c r="D787" s="221">
        <f>800+846</f>
        <v>1646</v>
      </c>
      <c r="E787" s="909">
        <f t="shared" si="162"/>
        <v>2.0575</v>
      </c>
      <c r="F787" s="560" t="s">
        <v>490</v>
      </c>
    </row>
    <row r="788" spans="1:6" ht="12" customHeight="1">
      <c r="A788" s="281"/>
      <c r="B788" s="283" t="s">
        <v>252</v>
      </c>
      <c r="C788" s="221">
        <v>5500</v>
      </c>
      <c r="D788" s="221">
        <f>5500+9371+6000</f>
        <v>20871</v>
      </c>
      <c r="E788" s="909">
        <f t="shared" si="162"/>
        <v>3.7947272727272727</v>
      </c>
      <c r="F788" s="438"/>
    </row>
    <row r="789" spans="1:6" ht="12" customHeight="1">
      <c r="A789" s="281"/>
      <c r="B789" s="222" t="s">
        <v>102</v>
      </c>
      <c r="C789" s="221"/>
      <c r="D789" s="221"/>
      <c r="E789" s="909"/>
      <c r="F789" s="337"/>
    </row>
    <row r="790" spans="1:6" ht="12" customHeight="1">
      <c r="A790" s="281"/>
      <c r="B790" s="222" t="s">
        <v>259</v>
      </c>
      <c r="C790" s="221"/>
      <c r="D790" s="221"/>
      <c r="E790" s="909"/>
      <c r="F790" s="307"/>
    </row>
    <row r="791" spans="1:6" ht="12" customHeight="1" thickBot="1">
      <c r="A791" s="281"/>
      <c r="B791" s="317" t="s">
        <v>222</v>
      </c>
      <c r="C791" s="1107">
        <v>12000</v>
      </c>
      <c r="D791" s="1107">
        <v>12000</v>
      </c>
      <c r="E791" s="911">
        <f t="shared" si="162"/>
        <v>1</v>
      </c>
      <c r="F791" s="349"/>
    </row>
    <row r="792" spans="1:6" ht="12" customHeight="1" thickBot="1">
      <c r="A792" s="289"/>
      <c r="B792" s="320" t="s">
        <v>113</v>
      </c>
      <c r="C792" s="1108">
        <f aca="true" t="shared" si="169" ref="C792">SUM(C786:C791)</f>
        <v>20000</v>
      </c>
      <c r="D792" s="1108">
        <f aca="true" t="shared" si="170" ref="D792">SUM(D786:D791)</f>
        <v>41634</v>
      </c>
      <c r="E792" s="908">
        <f t="shared" si="162"/>
        <v>2.0817</v>
      </c>
      <c r="F792" s="335"/>
    </row>
    <row r="793" spans="1:6" ht="12" customHeight="1">
      <c r="A793" s="68">
        <v>3422</v>
      </c>
      <c r="B793" s="342" t="s">
        <v>1293</v>
      </c>
      <c r="C793" s="278"/>
      <c r="D793" s="278"/>
      <c r="E793" s="306"/>
      <c r="F793" s="436" t="s">
        <v>1288</v>
      </c>
    </row>
    <row r="794" spans="1:6" ht="12" customHeight="1">
      <c r="A794" s="281"/>
      <c r="B794" s="282" t="s">
        <v>97</v>
      </c>
      <c r="C794" s="221">
        <v>4000</v>
      </c>
      <c r="D794" s="221">
        <f>4000+1074</f>
        <v>5074</v>
      </c>
      <c r="E794" s="910">
        <f t="shared" si="162"/>
        <v>1.2685</v>
      </c>
      <c r="F794" s="560"/>
    </row>
    <row r="795" spans="1:6" ht="12" customHeight="1">
      <c r="A795" s="281"/>
      <c r="B795" s="154" t="s">
        <v>263</v>
      </c>
      <c r="C795" s="221">
        <v>2900</v>
      </c>
      <c r="D795" s="221">
        <f>2900+607</f>
        <v>3507</v>
      </c>
      <c r="E795" s="909">
        <f t="shared" si="162"/>
        <v>1.2093103448275861</v>
      </c>
      <c r="F795" s="436"/>
    </row>
    <row r="796" spans="1:6" ht="12" customHeight="1">
      <c r="A796" s="281"/>
      <c r="B796" s="283" t="s">
        <v>252</v>
      </c>
      <c r="C796" s="221">
        <v>8800</v>
      </c>
      <c r="D796" s="221">
        <f>8800+21655</f>
        <v>30455</v>
      </c>
      <c r="E796" s="909">
        <f t="shared" si="162"/>
        <v>3.4607954545454547</v>
      </c>
      <c r="F796" s="437"/>
    </row>
    <row r="797" spans="1:6" ht="12" customHeight="1">
      <c r="A797" s="281"/>
      <c r="B797" s="222" t="s">
        <v>102</v>
      </c>
      <c r="C797" s="221"/>
      <c r="D797" s="221"/>
      <c r="E797" s="909"/>
      <c r="F797" s="1128"/>
    </row>
    <row r="798" spans="1:6" ht="12" customHeight="1">
      <c r="A798" s="281"/>
      <c r="B798" s="222" t="s">
        <v>259</v>
      </c>
      <c r="C798" s="221"/>
      <c r="D798" s="221"/>
      <c r="E798" s="909"/>
      <c r="F798" s="438"/>
    </row>
    <row r="799" spans="1:6" ht="12" customHeight="1" thickBot="1">
      <c r="A799" s="281"/>
      <c r="B799" s="317" t="s">
        <v>16</v>
      </c>
      <c r="C799" s="1107"/>
      <c r="D799" s="1107"/>
      <c r="E799" s="911"/>
      <c r="F799" s="349"/>
    </row>
    <row r="800" spans="1:6" ht="12" customHeight="1" thickBot="1">
      <c r="A800" s="289"/>
      <c r="B800" s="320" t="s">
        <v>113</v>
      </c>
      <c r="C800" s="1108">
        <f aca="true" t="shared" si="171" ref="C800">SUM(C794:C799)</f>
        <v>15700</v>
      </c>
      <c r="D800" s="1108">
        <f aca="true" t="shared" si="172" ref="D800">SUM(D794:D799)</f>
        <v>39036</v>
      </c>
      <c r="E800" s="908">
        <f t="shared" si="162"/>
        <v>2.4863694267515926</v>
      </c>
      <c r="F800" s="335"/>
    </row>
    <row r="801" spans="1:6" ht="12" customHeight="1">
      <c r="A801" s="68">
        <v>3423</v>
      </c>
      <c r="B801" s="342" t="s">
        <v>118</v>
      </c>
      <c r="C801" s="278"/>
      <c r="D801" s="278"/>
      <c r="E801" s="306"/>
      <c r="F801" s="331"/>
    </row>
    <row r="802" spans="1:6" ht="12" customHeight="1">
      <c r="A802" s="281"/>
      <c r="B802" s="282" t="s">
        <v>97</v>
      </c>
      <c r="C802" s="221">
        <v>1000</v>
      </c>
      <c r="D802" s="221">
        <f>1000+32</f>
        <v>1032</v>
      </c>
      <c r="E802" s="909">
        <f t="shared" si="162"/>
        <v>1.032</v>
      </c>
      <c r="F802" s="331"/>
    </row>
    <row r="803" spans="1:6" ht="12" customHeight="1">
      <c r="A803" s="281"/>
      <c r="B803" s="154" t="s">
        <v>263</v>
      </c>
      <c r="C803" s="221">
        <v>155</v>
      </c>
      <c r="D803" s="221">
        <f>155+157</f>
        <v>312</v>
      </c>
      <c r="E803" s="909">
        <f t="shared" si="162"/>
        <v>2.0129032258064514</v>
      </c>
      <c r="F803" s="437"/>
    </row>
    <row r="804" spans="1:6" ht="12" customHeight="1">
      <c r="A804" s="281"/>
      <c r="B804" s="283" t="s">
        <v>252</v>
      </c>
      <c r="C804" s="221">
        <v>2345</v>
      </c>
      <c r="D804" s="221">
        <f>2345+2+7000</f>
        <v>9347</v>
      </c>
      <c r="E804" s="909">
        <f t="shared" si="162"/>
        <v>3.9859275053304906</v>
      </c>
      <c r="F804" s="346"/>
    </row>
    <row r="805" spans="1:6" ht="12" customHeight="1">
      <c r="A805" s="281"/>
      <c r="B805" s="222" t="s">
        <v>102</v>
      </c>
      <c r="C805" s="221"/>
      <c r="D805" s="221"/>
      <c r="E805" s="909"/>
      <c r="F805" s="331"/>
    </row>
    <row r="806" spans="1:6" ht="12" customHeight="1">
      <c r="A806" s="281"/>
      <c r="B806" s="222" t="s">
        <v>259</v>
      </c>
      <c r="C806" s="221">
        <v>3500</v>
      </c>
      <c r="D806" s="221">
        <f>3500+300</f>
        <v>3800</v>
      </c>
      <c r="E806" s="909">
        <f aca="true" t="shared" si="173" ref="E806:E884">SUM(D806/C806)</f>
        <v>1.0857142857142856</v>
      </c>
      <c r="F806" s="331"/>
    </row>
    <row r="807" spans="1:6" ht="12" customHeight="1" thickBot="1">
      <c r="A807" s="281"/>
      <c r="B807" s="317" t="s">
        <v>240</v>
      </c>
      <c r="C807" s="1107"/>
      <c r="D807" s="1107"/>
      <c r="E807" s="912"/>
      <c r="F807" s="349"/>
    </row>
    <row r="808" spans="1:6" ht="12.75" customHeight="1" thickBot="1">
      <c r="A808" s="289"/>
      <c r="B808" s="320" t="s">
        <v>113</v>
      </c>
      <c r="C808" s="1108">
        <f aca="true" t="shared" si="174" ref="C808">SUM(C802:C807)</f>
        <v>7000</v>
      </c>
      <c r="D808" s="1108">
        <f aca="true" t="shared" si="175" ref="D808">SUM(D802:D807)</f>
        <v>14491</v>
      </c>
      <c r="E808" s="914">
        <f t="shared" si="173"/>
        <v>2.0701428571428573</v>
      </c>
      <c r="F808" s="335"/>
    </row>
    <row r="809" spans="1:6" ht="12.75" customHeight="1">
      <c r="A809" s="68">
        <v>3424</v>
      </c>
      <c r="B809" s="342" t="s">
        <v>1292</v>
      </c>
      <c r="C809" s="278"/>
      <c r="D809" s="278"/>
      <c r="E809" s="306"/>
      <c r="F809" s="436" t="s">
        <v>1288</v>
      </c>
    </row>
    <row r="810" spans="1:6" ht="12.75" customHeight="1">
      <c r="A810" s="281"/>
      <c r="B810" s="282" t="s">
        <v>97</v>
      </c>
      <c r="C810" s="221">
        <v>12000</v>
      </c>
      <c r="D810" s="221">
        <v>12000</v>
      </c>
      <c r="E810" s="910">
        <f t="shared" si="173"/>
        <v>1</v>
      </c>
      <c r="F810" s="560"/>
    </row>
    <row r="811" spans="1:6" ht="12.75" customHeight="1">
      <c r="A811" s="281"/>
      <c r="B811" s="154" t="s">
        <v>263</v>
      </c>
      <c r="C811" s="221">
        <v>2060</v>
      </c>
      <c r="D811" s="221">
        <v>2060</v>
      </c>
      <c r="E811" s="909">
        <f t="shared" si="173"/>
        <v>1</v>
      </c>
      <c r="F811" s="436"/>
    </row>
    <row r="812" spans="1:6" ht="12.75" customHeight="1">
      <c r="A812" s="281"/>
      <c r="B812" s="283" t="s">
        <v>252</v>
      </c>
      <c r="C812" s="221">
        <v>1240</v>
      </c>
      <c r="D812" s="221">
        <v>1240</v>
      </c>
      <c r="E812" s="909">
        <f t="shared" si="173"/>
        <v>1</v>
      </c>
      <c r="F812" s="437"/>
    </row>
    <row r="813" spans="1:6" ht="12.75" customHeight="1">
      <c r="A813" s="281"/>
      <c r="B813" s="222" t="s">
        <v>102</v>
      </c>
      <c r="C813" s="221"/>
      <c r="D813" s="221"/>
      <c r="E813" s="909"/>
      <c r="F813" s="1128"/>
    </row>
    <row r="814" spans="1:6" ht="12.75" customHeight="1">
      <c r="A814" s="281"/>
      <c r="B814" s="222" t="s">
        <v>259</v>
      </c>
      <c r="C814" s="221"/>
      <c r="D814" s="221"/>
      <c r="E814" s="909"/>
      <c r="F814" s="438"/>
    </row>
    <row r="815" spans="1:6" ht="12.75" customHeight="1" thickBot="1">
      <c r="A815" s="281"/>
      <c r="B815" s="317" t="s">
        <v>16</v>
      </c>
      <c r="C815" s="1107"/>
      <c r="D815" s="1107"/>
      <c r="E815" s="911"/>
      <c r="F815" s="349"/>
    </row>
    <row r="816" spans="1:6" ht="12.75" customHeight="1" thickBot="1">
      <c r="A816" s="289"/>
      <c r="B816" s="320" t="s">
        <v>113</v>
      </c>
      <c r="C816" s="1108">
        <f aca="true" t="shared" si="176" ref="C816">SUM(C810:C815)</f>
        <v>15300</v>
      </c>
      <c r="D816" s="1108">
        <f aca="true" t="shared" si="177" ref="D816">SUM(D810:D815)</f>
        <v>15300</v>
      </c>
      <c r="E816" s="908">
        <f t="shared" si="173"/>
        <v>1</v>
      </c>
      <c r="F816" s="335"/>
    </row>
    <row r="817" spans="1:6" ht="12.75" customHeight="1">
      <c r="A817" s="329">
        <v>3425</v>
      </c>
      <c r="B817" s="309" t="s">
        <v>1257</v>
      </c>
      <c r="C817" s="1101"/>
      <c r="D817" s="1101"/>
      <c r="E817" s="306"/>
      <c r="F817" s="352"/>
    </row>
    <row r="818" spans="1:6" ht="12.75" customHeight="1">
      <c r="A818" s="325"/>
      <c r="B818" s="312" t="s">
        <v>97</v>
      </c>
      <c r="C818" s="1102"/>
      <c r="D818" s="1102"/>
      <c r="E818" s="306"/>
      <c r="F818" s="352"/>
    </row>
    <row r="819" spans="1:6" ht="12.75" customHeight="1">
      <c r="A819" s="325"/>
      <c r="B819" s="314" t="s">
        <v>263</v>
      </c>
      <c r="C819" s="1102"/>
      <c r="D819" s="1102"/>
      <c r="E819" s="306"/>
      <c r="F819" s="437"/>
    </row>
    <row r="820" spans="1:6" ht="12.75" customHeight="1">
      <c r="A820" s="325"/>
      <c r="B820" s="315" t="s">
        <v>252</v>
      </c>
      <c r="C820" s="1102"/>
      <c r="D820" s="1102">
        <v>4939</v>
      </c>
      <c r="E820" s="909">
        <v>1</v>
      </c>
      <c r="F820" s="438"/>
    </row>
    <row r="821" spans="1:6" ht="12.75" customHeight="1">
      <c r="A821" s="325"/>
      <c r="B821" s="316" t="s">
        <v>102</v>
      </c>
      <c r="C821" s="1102"/>
      <c r="D821" s="1102"/>
      <c r="E821" s="306"/>
      <c r="F821" s="437"/>
    </row>
    <row r="822" spans="1:6" ht="12.75" customHeight="1">
      <c r="A822" s="325"/>
      <c r="B822" s="316" t="s">
        <v>259</v>
      </c>
      <c r="C822" s="1102"/>
      <c r="D822" s="1102"/>
      <c r="E822" s="306"/>
      <c r="F822" s="352"/>
    </row>
    <row r="823" spans="1:6" ht="12.75" customHeight="1" thickBot="1">
      <c r="A823" s="325"/>
      <c r="B823" s="317" t="s">
        <v>70</v>
      </c>
      <c r="C823" s="1129"/>
      <c r="D823" s="1129"/>
      <c r="E823" s="907"/>
      <c r="F823" s="378"/>
    </row>
    <row r="824" spans="1:6" ht="12.75" customHeight="1" thickBot="1">
      <c r="A824" s="327"/>
      <c r="B824" s="320" t="s">
        <v>113</v>
      </c>
      <c r="C824" s="1104"/>
      <c r="D824" s="1104">
        <f>SUM(D818:D823)</f>
        <v>4939</v>
      </c>
      <c r="E824" s="908">
        <v>1</v>
      </c>
      <c r="F824" s="379"/>
    </row>
    <row r="825" spans="1:7" s="981" customFormat="1" ht="12.75" customHeight="1">
      <c r="A825" s="329">
        <v>3426</v>
      </c>
      <c r="B825" s="309" t="s">
        <v>1365</v>
      </c>
      <c r="C825" s="1101"/>
      <c r="D825" s="1101"/>
      <c r="E825" s="306"/>
      <c r="F825" s="352"/>
      <c r="G825" s="264"/>
    </row>
    <row r="826" spans="1:7" s="981" customFormat="1" ht="12.75" customHeight="1">
      <c r="A826" s="325"/>
      <c r="B826" s="312" t="s">
        <v>97</v>
      </c>
      <c r="C826" s="1102"/>
      <c r="D826" s="1102"/>
      <c r="E826" s="306"/>
      <c r="F826" s="437"/>
      <c r="G826" s="264"/>
    </row>
    <row r="827" spans="1:7" s="981" customFormat="1" ht="12.75" customHeight="1">
      <c r="A827" s="325"/>
      <c r="B827" s="314" t="s">
        <v>263</v>
      </c>
      <c r="C827" s="1102"/>
      <c r="D827" s="1102"/>
      <c r="E827" s="306"/>
      <c r="F827" s="437"/>
      <c r="G827" s="264"/>
    </row>
    <row r="828" spans="1:7" s="981" customFormat="1" ht="12.75" customHeight="1">
      <c r="A828" s="325"/>
      <c r="B828" s="315" t="s">
        <v>252</v>
      </c>
      <c r="C828" s="1102"/>
      <c r="D828" s="1102">
        <v>3000</v>
      </c>
      <c r="E828" s="909">
        <v>1</v>
      </c>
      <c r="F828" s="608" t="s">
        <v>489</v>
      </c>
      <c r="G828" s="264"/>
    </row>
    <row r="829" spans="1:7" s="981" customFormat="1" ht="12.75" customHeight="1">
      <c r="A829" s="325"/>
      <c r="B829" s="316" t="s">
        <v>102</v>
      </c>
      <c r="C829" s="1102"/>
      <c r="D829" s="1102"/>
      <c r="E829" s="306"/>
      <c r="F829" s="331"/>
      <c r="G829" s="264"/>
    </row>
    <row r="830" spans="1:7" s="981" customFormat="1" ht="12.75" customHeight="1">
      <c r="A830" s="325"/>
      <c r="B830" s="316" t="s">
        <v>259</v>
      </c>
      <c r="C830" s="1102"/>
      <c r="D830" s="1102"/>
      <c r="E830" s="306"/>
      <c r="F830" s="352"/>
      <c r="G830" s="264"/>
    </row>
    <row r="831" spans="1:7" s="981" customFormat="1" ht="12.75" customHeight="1" thickBot="1">
      <c r="A831" s="325"/>
      <c r="B831" s="317" t="s">
        <v>70</v>
      </c>
      <c r="C831" s="1129"/>
      <c r="D831" s="1129"/>
      <c r="E831" s="907"/>
      <c r="F831" s="1130"/>
      <c r="G831" s="264"/>
    </row>
    <row r="832" spans="1:7" s="981" customFormat="1" ht="12.75" customHeight="1" thickBot="1">
      <c r="A832" s="327"/>
      <c r="B832" s="320" t="s">
        <v>113</v>
      </c>
      <c r="C832" s="1104">
        <f aca="true" t="shared" si="178" ref="C832">SUM(C826:C831)</f>
        <v>0</v>
      </c>
      <c r="D832" s="1104">
        <f aca="true" t="shared" si="179" ref="D832">SUM(D826:D831)</f>
        <v>3000</v>
      </c>
      <c r="E832" s="908">
        <v>1</v>
      </c>
      <c r="F832" s="379"/>
      <c r="G832" s="264"/>
    </row>
    <row r="833" spans="1:6" ht="12.75" customHeight="1">
      <c r="A833" s="329">
        <v>3427</v>
      </c>
      <c r="B833" s="982" t="s">
        <v>1358</v>
      </c>
      <c r="C833" s="1131"/>
      <c r="D833" s="1131"/>
      <c r="E833" s="983"/>
      <c r="F833" s="984"/>
    </row>
    <row r="834" spans="1:6" ht="12.75" customHeight="1">
      <c r="A834" s="281"/>
      <c r="B834" s="222" t="s">
        <v>97</v>
      </c>
      <c r="C834" s="221"/>
      <c r="D834" s="221"/>
      <c r="E834" s="909"/>
      <c r="F834" s="331"/>
    </row>
    <row r="835" spans="1:6" ht="12.75" customHeight="1">
      <c r="A835" s="281"/>
      <c r="B835" s="154" t="s">
        <v>263</v>
      </c>
      <c r="C835" s="221"/>
      <c r="D835" s="221"/>
      <c r="E835" s="910"/>
      <c r="F835" s="331"/>
    </row>
    <row r="836" spans="1:6" ht="12.75" customHeight="1">
      <c r="A836" s="281"/>
      <c r="B836" s="283" t="s">
        <v>252</v>
      </c>
      <c r="C836" s="221"/>
      <c r="D836" s="221">
        <v>3000</v>
      </c>
      <c r="E836" s="909">
        <v>1</v>
      </c>
      <c r="F836" s="608" t="s">
        <v>489</v>
      </c>
    </row>
    <row r="837" spans="1:6" ht="12.75" customHeight="1">
      <c r="A837" s="281"/>
      <c r="B837" s="222" t="s">
        <v>102</v>
      </c>
      <c r="C837" s="221"/>
      <c r="D837" s="221"/>
      <c r="E837" s="909"/>
      <c r="F837" s="437"/>
    </row>
    <row r="838" spans="1:6" ht="12.75" customHeight="1">
      <c r="A838" s="281"/>
      <c r="B838" s="222" t="s">
        <v>259</v>
      </c>
      <c r="C838" s="221"/>
      <c r="D838" s="221"/>
      <c r="E838" s="909"/>
      <c r="F838" s="331"/>
    </row>
    <row r="839" spans="1:6" ht="12.75" customHeight="1" thickBot="1">
      <c r="A839" s="281"/>
      <c r="B839" s="317" t="s">
        <v>70</v>
      </c>
      <c r="C839" s="1081"/>
      <c r="D839" s="1081"/>
      <c r="E839" s="911"/>
      <c r="F839" s="349"/>
    </row>
    <row r="840" spans="1:6" ht="12.75" customHeight="1" thickBot="1">
      <c r="A840" s="289"/>
      <c r="B840" s="320" t="s">
        <v>113</v>
      </c>
      <c r="C840" s="1108">
        <f aca="true" t="shared" si="180" ref="C840:D840">SUM(C834:C839)</f>
        <v>0</v>
      </c>
      <c r="D840" s="1108">
        <f t="shared" si="180"/>
        <v>3000</v>
      </c>
      <c r="E840" s="908">
        <v>1</v>
      </c>
      <c r="F840" s="335"/>
    </row>
    <row r="841" spans="1:6" ht="12.75" customHeight="1">
      <c r="A841" s="68">
        <v>3428</v>
      </c>
      <c r="B841" s="342" t="s">
        <v>7</v>
      </c>
      <c r="C841" s="278"/>
      <c r="D841" s="278"/>
      <c r="E841" s="306"/>
      <c r="F841" s="331"/>
    </row>
    <row r="842" spans="1:6" ht="12.75" customHeight="1">
      <c r="A842" s="281"/>
      <c r="B842" s="282" t="s">
        <v>97</v>
      </c>
      <c r="C842" s="221"/>
      <c r="D842" s="221"/>
      <c r="E842" s="306"/>
      <c r="F842" s="331"/>
    </row>
    <row r="843" spans="1:6" ht="12.75" customHeight="1">
      <c r="A843" s="281"/>
      <c r="B843" s="154" t="s">
        <v>263</v>
      </c>
      <c r="C843" s="221"/>
      <c r="D843" s="221"/>
      <c r="E843" s="910"/>
      <c r="F843" s="331"/>
    </row>
    <row r="844" spans="1:6" ht="12.75" customHeight="1">
      <c r="A844" s="281"/>
      <c r="B844" s="283" t="s">
        <v>252</v>
      </c>
      <c r="C844" s="221">
        <v>3000</v>
      </c>
      <c r="D844" s="221">
        <v>3000</v>
      </c>
      <c r="E844" s="909">
        <f t="shared" si="173"/>
        <v>1</v>
      </c>
      <c r="F844" s="608" t="s">
        <v>489</v>
      </c>
    </row>
    <row r="845" spans="1:6" ht="12.75" customHeight="1">
      <c r="A845" s="281"/>
      <c r="B845" s="222" t="s">
        <v>102</v>
      </c>
      <c r="C845" s="221"/>
      <c r="D845" s="221"/>
      <c r="E845" s="909"/>
      <c r="F845" s="437"/>
    </row>
    <row r="846" spans="1:6" ht="12.75" customHeight="1">
      <c r="A846" s="281"/>
      <c r="B846" s="222" t="s">
        <v>259</v>
      </c>
      <c r="C846" s="221"/>
      <c r="D846" s="221"/>
      <c r="E846" s="909"/>
      <c r="F846" s="331"/>
    </row>
    <row r="847" spans="1:6" ht="12.75" customHeight="1" thickBot="1">
      <c r="A847" s="281"/>
      <c r="B847" s="317" t="s">
        <v>70</v>
      </c>
      <c r="C847" s="1081"/>
      <c r="D847" s="1081"/>
      <c r="E847" s="911"/>
      <c r="F847" s="349"/>
    </row>
    <row r="848" spans="1:6" ht="12.75" customHeight="1" thickBot="1">
      <c r="A848" s="289"/>
      <c r="B848" s="320" t="s">
        <v>113</v>
      </c>
      <c r="C848" s="1108">
        <f aca="true" t="shared" si="181" ref="C848">SUM(C842:C847)</f>
        <v>3000</v>
      </c>
      <c r="D848" s="1108">
        <f aca="true" t="shared" si="182" ref="D848">SUM(D842:D847)</f>
        <v>3000</v>
      </c>
      <c r="E848" s="908">
        <f t="shared" si="173"/>
        <v>1</v>
      </c>
      <c r="F848" s="335"/>
    </row>
    <row r="849" spans="1:6" ht="12.75" customHeight="1">
      <c r="A849" s="329">
        <v>3429</v>
      </c>
      <c r="B849" s="309" t="s">
        <v>23</v>
      </c>
      <c r="C849" s="1101"/>
      <c r="D849" s="1101"/>
      <c r="E849" s="306"/>
      <c r="F849" s="352"/>
    </row>
    <row r="850" spans="1:6" ht="12.75" customHeight="1">
      <c r="A850" s="325"/>
      <c r="B850" s="312" t="s">
        <v>97</v>
      </c>
      <c r="C850" s="1102"/>
      <c r="D850" s="1102"/>
      <c r="E850" s="306"/>
      <c r="F850" s="352"/>
    </row>
    <row r="851" spans="1:6" ht="12.75" customHeight="1">
      <c r="A851" s="325"/>
      <c r="B851" s="314" t="s">
        <v>263</v>
      </c>
      <c r="C851" s="1102"/>
      <c r="D851" s="1102"/>
      <c r="E851" s="910"/>
      <c r="F851" s="352"/>
    </row>
    <row r="852" spans="1:6" ht="12.75" customHeight="1">
      <c r="A852" s="325"/>
      <c r="B852" s="315" t="s">
        <v>252</v>
      </c>
      <c r="C852" s="1102">
        <v>2500</v>
      </c>
      <c r="D852" s="1102">
        <v>2500</v>
      </c>
      <c r="E852" s="909">
        <f t="shared" si="173"/>
        <v>1</v>
      </c>
      <c r="F852" s="608" t="s">
        <v>489</v>
      </c>
    </row>
    <row r="853" spans="1:6" ht="12.75" customHeight="1">
      <c r="A853" s="325"/>
      <c r="B853" s="316" t="s">
        <v>102</v>
      </c>
      <c r="C853" s="1102"/>
      <c r="D853" s="1102"/>
      <c r="E853" s="909"/>
      <c r="F853" s="331"/>
    </row>
    <row r="854" spans="1:6" ht="12.75" customHeight="1">
      <c r="A854" s="325"/>
      <c r="B854" s="316" t="s">
        <v>259</v>
      </c>
      <c r="C854" s="1102"/>
      <c r="D854" s="1102"/>
      <c r="E854" s="909"/>
      <c r="F854" s="352"/>
    </row>
    <row r="855" spans="1:6" ht="12.75" customHeight="1" thickBot="1">
      <c r="A855" s="325"/>
      <c r="B855" s="317" t="s">
        <v>70</v>
      </c>
      <c r="C855" s="1129"/>
      <c r="D855" s="1129"/>
      <c r="E855" s="911"/>
      <c r="F855" s="378"/>
    </row>
    <row r="856" spans="1:6" ht="12.75" customHeight="1" thickBot="1">
      <c r="A856" s="327"/>
      <c r="B856" s="320" t="s">
        <v>113</v>
      </c>
      <c r="C856" s="1104">
        <f aca="true" t="shared" si="183" ref="C856">SUM(C850:C855)</f>
        <v>2500</v>
      </c>
      <c r="D856" s="1104">
        <f aca="true" t="shared" si="184" ref="D856">SUM(D850:D855)</f>
        <v>2500</v>
      </c>
      <c r="E856" s="908">
        <f t="shared" si="173"/>
        <v>1</v>
      </c>
      <c r="F856" s="379"/>
    </row>
    <row r="857" spans="1:6" ht="12.75" customHeight="1">
      <c r="A857" s="329">
        <v>3431</v>
      </c>
      <c r="B857" s="309" t="s">
        <v>144</v>
      </c>
      <c r="C857" s="1101"/>
      <c r="D857" s="1101"/>
      <c r="E857" s="306"/>
      <c r="F857" s="352"/>
    </row>
    <row r="858" spans="1:6" ht="12.75" customHeight="1">
      <c r="A858" s="325"/>
      <c r="B858" s="312" t="s">
        <v>97</v>
      </c>
      <c r="C858" s="1102"/>
      <c r="D858" s="1102"/>
      <c r="E858" s="306"/>
      <c r="F858" s="352"/>
    </row>
    <row r="859" spans="1:6" ht="12.75" customHeight="1">
      <c r="A859" s="325"/>
      <c r="B859" s="314" t="s">
        <v>263</v>
      </c>
      <c r="C859" s="1102"/>
      <c r="D859" s="1102"/>
      <c r="E859" s="910"/>
      <c r="F859" s="352"/>
    </row>
    <row r="860" spans="1:6" ht="12.75" customHeight="1">
      <c r="A860" s="325"/>
      <c r="B860" s="315" t="s">
        <v>252</v>
      </c>
      <c r="C860" s="1102">
        <v>8000</v>
      </c>
      <c r="D860" s="1102">
        <f>8000+1000</f>
        <v>9000</v>
      </c>
      <c r="E860" s="909">
        <f t="shared" si="173"/>
        <v>1.125</v>
      </c>
      <c r="F860" s="608" t="s">
        <v>489</v>
      </c>
    </row>
    <row r="861" spans="1:6" ht="12.75" customHeight="1">
      <c r="A861" s="325"/>
      <c r="B861" s="316" t="s">
        <v>102</v>
      </c>
      <c r="C861" s="1102"/>
      <c r="D861" s="1102"/>
      <c r="E861" s="909"/>
      <c r="F861" s="352"/>
    </row>
    <row r="862" spans="1:6" ht="12.75" customHeight="1">
      <c r="A862" s="325"/>
      <c r="B862" s="316" t="s">
        <v>259</v>
      </c>
      <c r="C862" s="1102"/>
      <c r="D862" s="1102"/>
      <c r="E862" s="909"/>
      <c r="F862" s="352"/>
    </row>
    <row r="863" spans="1:6" ht="12.75" customHeight="1" thickBot="1">
      <c r="A863" s="325"/>
      <c r="B863" s="317" t="s">
        <v>70</v>
      </c>
      <c r="C863" s="1129"/>
      <c r="D863" s="1129"/>
      <c r="E863" s="911"/>
      <c r="F863" s="378"/>
    </row>
    <row r="864" spans="1:6" ht="12.75" customHeight="1" thickBot="1">
      <c r="A864" s="327"/>
      <c r="B864" s="320" t="s">
        <v>113</v>
      </c>
      <c r="C864" s="1104">
        <f aca="true" t="shared" si="185" ref="C864">SUM(C858:C863)</f>
        <v>8000</v>
      </c>
      <c r="D864" s="1104">
        <f aca="true" t="shared" si="186" ref="D864">SUM(D858:D863)</f>
        <v>9000</v>
      </c>
      <c r="E864" s="908">
        <f t="shared" si="173"/>
        <v>1.125</v>
      </c>
      <c r="F864" s="379"/>
    </row>
    <row r="865" spans="1:6" ht="12.75" customHeight="1">
      <c r="A865" s="329">
        <v>3432</v>
      </c>
      <c r="B865" s="309" t="s">
        <v>330</v>
      </c>
      <c r="C865" s="1101"/>
      <c r="D865" s="1101"/>
      <c r="E865" s="306"/>
      <c r="F865" s="352"/>
    </row>
    <row r="866" spans="1:6" ht="12.75" customHeight="1">
      <c r="A866" s="325"/>
      <c r="B866" s="312" t="s">
        <v>97</v>
      </c>
      <c r="C866" s="1102"/>
      <c r="D866" s="1102"/>
      <c r="E866" s="306"/>
      <c r="F866" s="352"/>
    </row>
    <row r="867" spans="1:6" ht="12.75" customHeight="1">
      <c r="A867" s="325"/>
      <c r="B867" s="314" t="s">
        <v>263</v>
      </c>
      <c r="C867" s="1102"/>
      <c r="D867" s="1102"/>
      <c r="E867" s="306"/>
      <c r="F867" s="438"/>
    </row>
    <row r="868" spans="1:6" ht="12.75" customHeight="1">
      <c r="A868" s="325"/>
      <c r="B868" s="315" t="s">
        <v>252</v>
      </c>
      <c r="C868" s="1102">
        <v>5000</v>
      </c>
      <c r="D868" s="1102">
        <v>5000</v>
      </c>
      <c r="E868" s="910">
        <f t="shared" si="173"/>
        <v>1</v>
      </c>
      <c r="F868" s="608" t="s">
        <v>489</v>
      </c>
    </row>
    <row r="869" spans="1:6" ht="12.75" customHeight="1">
      <c r="A869" s="325"/>
      <c r="B869" s="316" t="s">
        <v>102</v>
      </c>
      <c r="C869" s="1102"/>
      <c r="D869" s="1102"/>
      <c r="E869" s="909"/>
      <c r="F869" s="331"/>
    </row>
    <row r="870" spans="1:6" ht="12.75" customHeight="1">
      <c r="A870" s="325"/>
      <c r="B870" s="316" t="s">
        <v>259</v>
      </c>
      <c r="C870" s="1102"/>
      <c r="D870" s="1102"/>
      <c r="E870" s="909"/>
      <c r="F870" s="352"/>
    </row>
    <row r="871" spans="1:6" ht="12.75" customHeight="1" thickBot="1">
      <c r="A871" s="325"/>
      <c r="B871" s="317" t="s">
        <v>70</v>
      </c>
      <c r="C871" s="1129"/>
      <c r="D871" s="1129"/>
      <c r="E871" s="911"/>
      <c r="F871" s="378"/>
    </row>
    <row r="872" spans="1:6" ht="12.75" customHeight="1" thickBot="1">
      <c r="A872" s="327"/>
      <c r="B872" s="320" t="s">
        <v>113</v>
      </c>
      <c r="C872" s="1104">
        <f aca="true" t="shared" si="187" ref="C872">SUM(C866:C871)</f>
        <v>5000</v>
      </c>
      <c r="D872" s="1104">
        <f aca="true" t="shared" si="188" ref="D872">SUM(D866:D871)</f>
        <v>5000</v>
      </c>
      <c r="E872" s="908">
        <f t="shared" si="173"/>
        <v>1</v>
      </c>
      <c r="F872" s="379"/>
    </row>
    <row r="873" spans="1:6" ht="12.75" customHeight="1">
      <c r="A873" s="329">
        <v>3433</v>
      </c>
      <c r="B873" s="309" t="s">
        <v>1378</v>
      </c>
      <c r="C873" s="1101"/>
      <c r="D873" s="1101"/>
      <c r="E873" s="306"/>
      <c r="F873" s="352"/>
    </row>
    <row r="874" spans="1:6" ht="12.75" customHeight="1">
      <c r="A874" s="325"/>
      <c r="B874" s="312" t="s">
        <v>97</v>
      </c>
      <c r="C874" s="1102"/>
      <c r="D874" s="1102"/>
      <c r="E874" s="306"/>
      <c r="F874" s="352"/>
    </row>
    <row r="875" spans="1:6" ht="12.75" customHeight="1">
      <c r="A875" s="325"/>
      <c r="B875" s="314" t="s">
        <v>263</v>
      </c>
      <c r="C875" s="1102"/>
      <c r="D875" s="1102"/>
      <c r="E875" s="306"/>
      <c r="F875" s="438"/>
    </row>
    <row r="876" spans="1:6" ht="12.75" customHeight="1">
      <c r="A876" s="325"/>
      <c r="B876" s="315" t="s">
        <v>252</v>
      </c>
      <c r="C876" s="1102"/>
      <c r="D876" s="1102">
        <v>15000</v>
      </c>
      <c r="E876" s="910">
        <v>1</v>
      </c>
      <c r="F876" s="608"/>
    </row>
    <row r="877" spans="1:6" ht="12.75" customHeight="1">
      <c r="A877" s="325"/>
      <c r="B877" s="316" t="s">
        <v>102</v>
      </c>
      <c r="C877" s="1102"/>
      <c r="D877" s="1102"/>
      <c r="E877" s="909"/>
      <c r="F877" s="331"/>
    </row>
    <row r="878" spans="1:6" ht="12.75" customHeight="1">
      <c r="A878" s="325"/>
      <c r="B878" s="316" t="s">
        <v>259</v>
      </c>
      <c r="C878" s="1102"/>
      <c r="D878" s="1102"/>
      <c r="E878" s="909"/>
      <c r="F878" s="352"/>
    </row>
    <row r="879" spans="1:6" ht="12.75" customHeight="1" thickBot="1">
      <c r="A879" s="325"/>
      <c r="B879" s="317" t="s">
        <v>70</v>
      </c>
      <c r="C879" s="1129"/>
      <c r="D879" s="1129"/>
      <c r="E879" s="911"/>
      <c r="F879" s="378"/>
    </row>
    <row r="880" spans="1:6" ht="12.75" customHeight="1" thickBot="1">
      <c r="A880" s="327"/>
      <c r="B880" s="320" t="s">
        <v>113</v>
      </c>
      <c r="C880" s="1104">
        <f aca="true" t="shared" si="189" ref="C880:D880">SUM(C874:C879)</f>
        <v>0</v>
      </c>
      <c r="D880" s="1104">
        <f t="shared" si="189"/>
        <v>15000</v>
      </c>
      <c r="E880" s="908">
        <v>1</v>
      </c>
      <c r="F880" s="379"/>
    </row>
    <row r="881" spans="1:6" ht="12.75" customHeight="1">
      <c r="A881" s="329">
        <v>3451</v>
      </c>
      <c r="B881" s="309" t="s">
        <v>112</v>
      </c>
      <c r="C881" s="1101"/>
      <c r="D881" s="1101"/>
      <c r="E881" s="306"/>
      <c r="F881" s="362"/>
    </row>
    <row r="882" spans="1:6" ht="12.75" customHeight="1">
      <c r="A882" s="325"/>
      <c r="B882" s="312" t="s">
        <v>97</v>
      </c>
      <c r="C882" s="1102"/>
      <c r="D882" s="1102"/>
      <c r="E882" s="306"/>
      <c r="F882" s="352"/>
    </row>
    <row r="883" spans="1:6" ht="12.75" customHeight="1">
      <c r="A883" s="325"/>
      <c r="B883" s="314" t="s">
        <v>263</v>
      </c>
      <c r="C883" s="1102"/>
      <c r="D883" s="1102"/>
      <c r="E883" s="910"/>
      <c r="F883" s="351"/>
    </row>
    <row r="884" spans="1:6" ht="12.75" customHeight="1">
      <c r="A884" s="325"/>
      <c r="B884" s="315" t="s">
        <v>252</v>
      </c>
      <c r="C884" s="1102">
        <v>1500</v>
      </c>
      <c r="D884" s="1102">
        <f>1500+86</f>
        <v>1586</v>
      </c>
      <c r="E884" s="909">
        <f t="shared" si="173"/>
        <v>1.0573333333333332</v>
      </c>
      <c r="F884" s="444"/>
    </row>
    <row r="885" spans="1:6" ht="12.75" customHeight="1">
      <c r="A885" s="325"/>
      <c r="B885" s="316" t="s">
        <v>102</v>
      </c>
      <c r="C885" s="1102"/>
      <c r="D885" s="1102"/>
      <c r="E885" s="909"/>
      <c r="F885" s="444"/>
    </row>
    <row r="886" spans="1:6" ht="12.75" customHeight="1">
      <c r="A886" s="325"/>
      <c r="B886" s="316" t="s">
        <v>259</v>
      </c>
      <c r="C886" s="1102"/>
      <c r="D886" s="1102"/>
      <c r="E886" s="909"/>
      <c r="F886" s="352"/>
    </row>
    <row r="887" spans="1:6" ht="12.75" customHeight="1" thickBot="1">
      <c r="A887" s="325"/>
      <c r="B887" s="317" t="s">
        <v>70</v>
      </c>
      <c r="C887" s="1129"/>
      <c r="D887" s="1129"/>
      <c r="E887" s="911"/>
      <c r="F887" s="378"/>
    </row>
    <row r="888" spans="1:6" ht="12.75" customHeight="1" thickBot="1">
      <c r="A888" s="327"/>
      <c r="B888" s="320" t="s">
        <v>113</v>
      </c>
      <c r="C888" s="1104">
        <f aca="true" t="shared" si="190" ref="C888">SUM(C882:C887)</f>
        <v>1500</v>
      </c>
      <c r="D888" s="1104">
        <f aca="true" t="shared" si="191" ref="D888">SUM(D882:D887)</f>
        <v>1586</v>
      </c>
      <c r="E888" s="908">
        <f aca="true" t="shared" si="192" ref="E888:E910">SUM(D888/C888)</f>
        <v>1.0573333333333332</v>
      </c>
      <c r="F888" s="379"/>
    </row>
    <row r="889" spans="1:6" ht="12.75" customHeight="1">
      <c r="A889" s="329">
        <v>3452</v>
      </c>
      <c r="B889" s="309" t="s">
        <v>450</v>
      </c>
      <c r="C889" s="1101"/>
      <c r="D889" s="1101"/>
      <c r="E889" s="306"/>
      <c r="F889" s="352"/>
    </row>
    <row r="890" spans="1:6" ht="12.75" customHeight="1">
      <c r="A890" s="325"/>
      <c r="B890" s="312" t="s">
        <v>97</v>
      </c>
      <c r="C890" s="1102"/>
      <c r="D890" s="1102"/>
      <c r="E890" s="306"/>
      <c r="F890" s="352"/>
    </row>
    <row r="891" spans="1:6" ht="12.75" customHeight="1">
      <c r="A891" s="325"/>
      <c r="B891" s="314" t="s">
        <v>263</v>
      </c>
      <c r="C891" s="1102"/>
      <c r="D891" s="1102"/>
      <c r="E891" s="910"/>
      <c r="F891" s="351"/>
    </row>
    <row r="892" spans="1:6" ht="11.1" customHeight="1">
      <c r="A892" s="325"/>
      <c r="B892" s="315" t="s">
        <v>252</v>
      </c>
      <c r="C892" s="1102">
        <v>700</v>
      </c>
      <c r="D892" s="1102">
        <v>700</v>
      </c>
      <c r="E892" s="909">
        <f t="shared" si="192"/>
        <v>1</v>
      </c>
      <c r="F892" s="351"/>
    </row>
    <row r="893" spans="1:6" ht="10.5" customHeight="1">
      <c r="A893" s="325"/>
      <c r="B893" s="316" t="s">
        <v>102</v>
      </c>
      <c r="C893" s="1102"/>
      <c r="D893" s="1102"/>
      <c r="E893" s="909"/>
      <c r="F893" s="352"/>
    </row>
    <row r="894" spans="1:6" ht="10.5" customHeight="1">
      <c r="A894" s="325"/>
      <c r="B894" s="316" t="s">
        <v>259</v>
      </c>
      <c r="C894" s="1102"/>
      <c r="D894" s="1102"/>
      <c r="E894" s="909"/>
      <c r="F894" s="380"/>
    </row>
    <row r="895" spans="1:6" ht="12.75" customHeight="1" thickBot="1">
      <c r="A895" s="325"/>
      <c r="B895" s="317" t="s">
        <v>222</v>
      </c>
      <c r="C895" s="1112"/>
      <c r="D895" s="1112"/>
      <c r="E895" s="911"/>
      <c r="F895" s="378"/>
    </row>
    <row r="896" spans="1:6" ht="12.75" customHeight="1" thickBot="1">
      <c r="A896" s="327"/>
      <c r="B896" s="320" t="s">
        <v>113</v>
      </c>
      <c r="C896" s="1104">
        <f aca="true" t="shared" si="193" ref="C896">SUM(C890:C895)</f>
        <v>700</v>
      </c>
      <c r="D896" s="1104">
        <f aca="true" t="shared" si="194" ref="D896">SUM(D890:D895)</f>
        <v>700</v>
      </c>
      <c r="E896" s="908">
        <f t="shared" si="192"/>
        <v>1</v>
      </c>
      <c r="F896" s="379"/>
    </row>
    <row r="897" spans="1:6" ht="12" customHeight="1">
      <c r="A897" s="270">
        <v>3600</v>
      </c>
      <c r="B897" s="342" t="s">
        <v>41</v>
      </c>
      <c r="C897" s="278"/>
      <c r="D897" s="278"/>
      <c r="E897" s="306"/>
      <c r="F897" s="330"/>
    </row>
    <row r="898" spans="1:6" ht="12" customHeight="1">
      <c r="A898" s="270"/>
      <c r="B898" s="293" t="s">
        <v>56</v>
      </c>
      <c r="C898" s="278"/>
      <c r="D898" s="278"/>
      <c r="E898" s="306"/>
      <c r="F898" s="330"/>
    </row>
    <row r="899" spans="1:6" ht="12" customHeight="1">
      <c r="A899" s="215"/>
      <c r="B899" s="282" t="s">
        <v>97</v>
      </c>
      <c r="C899" s="221">
        <f>SUM(C64+C72+C89+C99+C115+C142+C150+C158+C166+C175+C183+C192+C200+C208+C235+C246+C254+C262+C270+C290+C298+C306+C316+C328+C337+C345+C379+C407+C415+C487+C495+C503+C543+C552+C560+C600+C608+C616+C634+C642+C650+C658+C666+C690+C708+C716+C724+C751+C760+C768+C777+C794+C802+C818+C826+C842+C850+C858+C866+C882+C890+C216+C732+C786+C388+C397+C370+C810)</f>
        <v>216187</v>
      </c>
      <c r="D899" s="221">
        <f>SUM(D64+D72+D89+D99+D115+D142+D150+D158+D166+D175+D183+D192+D200+D208+D235+D246+D254+D262+D270+D290+D298+D306+D316+D328+D337+D345+D379+D407+D415+D487+D495+D503+D543+D552+D560+D600+D608+D616+D634+D642+D650+D658+D666+D690+D708+D716+D724+D751+D760+D768+D777+D794+D802+D818+D826+D842+D850+D858+D866+D882+D890+D216+D732+D786+D388+D397+D370+D810)</f>
        <v>225792</v>
      </c>
      <c r="E899" s="910">
        <f t="shared" si="192"/>
        <v>1.0444291284859866</v>
      </c>
      <c r="F899" s="307"/>
    </row>
    <row r="900" spans="1:6" ht="12" customHeight="1">
      <c r="A900" s="215"/>
      <c r="B900" s="222" t="s">
        <v>92</v>
      </c>
      <c r="C900" s="221">
        <f>SUM(C65+C73+C90+C100+C116+C143+C151+C159+C167+C176+C184+C193+C201+C209+C236+C247+C255+C263+C271+C291+C299+C307+C317+C329+C338+C346+C380+C408+C416+C488+C496+C504+C544+C553+C561+C601+C609+C617+C635+C643+C651+C659+C667+C691+C709+C717+C725+C752+C761+C769+C778+C795+C803+C819+C827+C843+C851+C859+C867+C883+C891+C217+C733+C787+C389+C398)+C371+C811</f>
        <v>32839</v>
      </c>
      <c r="D900" s="221">
        <f>SUM(D65+D73+D90+D100+D116+D143+D151+D159+D167+D176+D184+D193+D201+D209+D236+D247+D255+D263+D271+D291+D299+D307+D317+D329+D338+D346+D380+D408+D416+D488+D496+D504+D544+D553+D561+D601+D609+D617+D635+D643+D651+D659+D667+D691+D709+D717+D725+D752+D761+D769+D778+D795+D803+D819+D827+D843+D851+D859+D867+D883+D891+D217+D733+D787+D389+D398)+D371+D811</f>
        <v>35382</v>
      </c>
      <c r="E900" s="909">
        <f t="shared" si="192"/>
        <v>1.0774384116446907</v>
      </c>
      <c r="F900" s="307"/>
    </row>
    <row r="901" spans="1:6" ht="12" customHeight="1">
      <c r="A901" s="215"/>
      <c r="B901" s="222" t="s">
        <v>261</v>
      </c>
      <c r="C901" s="221">
        <f>SUM(C66+C74+C91+C101+C117+C144+C152+C160+C168+C177+C185+C194+C202+C210+C237+C248+C256+C264+C272+C292+C300+C308+C318+C330+C339+C347+C381+C409+C417+C489+C497+C505+C545+C554+C562+C602+C610+C618+C636+C644+C652+C660+C668+C692+C710+C718+C726+C753+C762+C770+C779+C796+C804+C820+C828+C844+C852+C860+C868+C884+C892+C676+C734+C521+C513+C537+C218+C463+C127+C788+C109+C21+C135+C227+C29+C570+C684+C372+C445+C282+C38+C47+C357)+C425+C701+C390+C399+C56+C627+C812</f>
        <v>3572708</v>
      </c>
      <c r="D901" s="221">
        <f>SUM(D66+D74+D91+D101+D117+D144+D152+D160+D168+D177+D185+D194+D202+D210+D237+D248+D256+D264+D272+D292+D300+D308+D318+D330+D339+D347+D381+D409+D417+D489+D497+D505+D545+D554+D562+D602+D610+D618+D636+D644+D652+D660+D668+D692+D710+D718+D726+D753+D762+D770+D779+D796+D804+D820+D828+D844+D852+D860+D868+D884+D892+D676+D734+D521+D513+D537+D218+D463+D127+D788+D109+D21+D135+D227+D29+D570+D684+D372+D445+D282+D38+D47+D357)+D425+D701+D390+D399+D56+D627+D812+D13+D436+D744+D836+D876</f>
        <v>4117203</v>
      </c>
      <c r="E901" s="909">
        <f t="shared" si="192"/>
        <v>1.1524040027900404</v>
      </c>
      <c r="F901" s="307"/>
    </row>
    <row r="902" spans="1:6" ht="12" customHeight="1">
      <c r="A902" s="215"/>
      <c r="B902" s="154" t="s">
        <v>102</v>
      </c>
      <c r="C902" s="221">
        <f>SUM(C67+C75+C92+C102+C118+C145+C153+C161+C169+C178+C186+C195+C203+C211+C238+C249+C257+C265+C273+C293+C301+C309+C320+C331+C340+C348+C382+C410+C418+C490+C498+C506+C546+C555+C563+C603+C611+C619+C637+C645+C653+C661+C669+C693+C711+C719+C727+C754+C763+C771+C780+C797+C805+C821+C829+C845+C853+C861+C869+C885+C893+C455+C464+C473+C522+C514+C530+C538+C571+C579+C587+C482)</f>
        <v>200000</v>
      </c>
      <c r="D902" s="221">
        <f>SUM(D67+D75+D92+D102+D118+D145+D153+D161+D169+D178+D186+D195+D203+D211+D238+D249+D257+D265+D273+D293+D301+D309+D320+D331+D340+D348+D382+D410+D418+D490+D498+D506+D546+D555+D563+D603+D611+D619+D637+D645+D653+D661+D669+D693+D711+D719+D727+D754+D763+D771+D780+D797+D805+D821+D829+D845+D853+D861+D869+D885+D893+D455+D464+D473+D522+D514+D530+D538+D571+D579+D587+D482)</f>
        <v>203069</v>
      </c>
      <c r="E902" s="909">
        <f t="shared" si="192"/>
        <v>1.015345</v>
      </c>
      <c r="F902" s="307"/>
    </row>
    <row r="903" spans="1:6" ht="12" customHeight="1" thickBot="1">
      <c r="A903" s="215"/>
      <c r="B903" s="381" t="s">
        <v>259</v>
      </c>
      <c r="C903" s="1107">
        <f>SUM(C68+C76+C93+C103+C119+C146+C154+C162+C170+C179+C187+C196+C204+C212+C239+C250+C258+C266+C274+C294+C302+C310+C321+C332+C341+C383+C411+C419+C474+C491+C499+C507+C547+C556+C564+C604+C612+C620+C638+C646+C654+C662+C670+C694+C712+C720+C728+C755+C764+C772+C781+C798+C806+C822+C830+C846+C854+C862+C870+C886+C894+C220+C736+C790)</f>
        <v>49700</v>
      </c>
      <c r="D903" s="1107">
        <f>SUM(D68+D76+D93+D103+D119+D146+D154+D162+D170+D179+D187+D196+D204+D212+D239+D250+D258+D266+D274+D294+D302+D310+D321+D332+D341+D383+D411+D419+D474+D491+D499+D507+D547+D556+D564+D604+D612+D620+D638+D646+D654+D662+D670+D694+D712+D720+D728+D755+D764+D772+D781+D798+D806+D822+D830+D846+D854+D862+D870+D886+D894+D220+D736+D790)+D838+D746</f>
        <v>125083</v>
      </c>
      <c r="E903" s="911">
        <f t="shared" si="192"/>
        <v>2.5167605633802816</v>
      </c>
      <c r="F903" s="333"/>
    </row>
    <row r="904" spans="1:6" ht="12" customHeight="1" thickBot="1">
      <c r="A904" s="215"/>
      <c r="B904" s="382" t="s">
        <v>47</v>
      </c>
      <c r="C904" s="1132">
        <f aca="true" t="shared" si="195" ref="C904">SUM(C899:C903)</f>
        <v>4071434</v>
      </c>
      <c r="D904" s="1132">
        <f aca="true" t="shared" si="196" ref="D904">SUM(D899:D903)</f>
        <v>4706529</v>
      </c>
      <c r="E904" s="908">
        <f t="shared" si="192"/>
        <v>1.155988037629985</v>
      </c>
      <c r="F904" s="335"/>
    </row>
    <row r="905" spans="1:6" ht="12" customHeight="1">
      <c r="A905" s="215"/>
      <c r="B905" s="383" t="s">
        <v>57</v>
      </c>
      <c r="C905" s="221"/>
      <c r="D905" s="221"/>
      <c r="E905" s="306"/>
      <c r="F905" s="330"/>
    </row>
    <row r="906" spans="1:6" ht="12" customHeight="1">
      <c r="A906" s="215"/>
      <c r="B906" s="222" t="s">
        <v>217</v>
      </c>
      <c r="C906" s="221">
        <f>SUM(C895+C69+C251+C276+C756+C350+C799+C130+C221+C713+C188+C729+C120+C311+C773+C791+C33+C384+C112+C286)</f>
        <v>37000</v>
      </c>
      <c r="D906" s="221">
        <f>SUM(D895+D69+D251+D276+D756+D350+D799+D130+D221+D713+D188+D729+D120+D311+D773+D791+D33+D384+D112+D286)+D51</f>
        <v>70200</v>
      </c>
      <c r="E906" s="909">
        <f t="shared" si="192"/>
        <v>1.8972972972972972</v>
      </c>
      <c r="F906" s="307"/>
    </row>
    <row r="907" spans="1:6" ht="12" customHeight="1">
      <c r="A907" s="215"/>
      <c r="B907" s="222" t="s">
        <v>218</v>
      </c>
      <c r="C907" s="221">
        <f>SUM(C121)</f>
        <v>0</v>
      </c>
      <c r="D907" s="221">
        <f>SUM(D121)</f>
        <v>0</v>
      </c>
      <c r="E907" s="909"/>
      <c r="F907" s="307"/>
    </row>
    <row r="908" spans="1:6" ht="12" customHeight="1" thickBot="1">
      <c r="A908" s="215"/>
      <c r="B908" s="381" t="s">
        <v>287</v>
      </c>
      <c r="C908" s="1107">
        <f>SUM(C104+C259+C197+C412+C737+C277+C807+C189+C385+C774+C222+C312+C122)+C213+C757+C287</f>
        <v>150200</v>
      </c>
      <c r="D908" s="1107">
        <f>SUM(D104+D259+D197+D412+D737+D277+D807+D189+D385+D774+D222+D312+D122)+D213+D757+D287</f>
        <v>413755</v>
      </c>
      <c r="E908" s="909">
        <f t="shared" si="192"/>
        <v>2.754693741677763</v>
      </c>
      <c r="F908" s="333"/>
    </row>
    <row r="909" spans="1:6" ht="12" customHeight="1" thickBot="1">
      <c r="A909" s="215"/>
      <c r="B909" s="382" t="s">
        <v>53</v>
      </c>
      <c r="C909" s="1132">
        <f aca="true" t="shared" si="197" ref="C909">SUM(C906:C908)</f>
        <v>187200</v>
      </c>
      <c r="D909" s="1132">
        <f aca="true" t="shared" si="198" ref="D909">SUM(D906:D908)</f>
        <v>483955</v>
      </c>
      <c r="E909" s="907">
        <f t="shared" si="192"/>
        <v>2.585229700854701</v>
      </c>
      <c r="F909" s="335"/>
    </row>
    <row r="910" spans="1:6" ht="11.1" customHeight="1" thickBot="1">
      <c r="A910" s="272"/>
      <c r="B910" s="285" t="s">
        <v>225</v>
      </c>
      <c r="C910" s="1133">
        <f>SUM(C909+C904)</f>
        <v>4258634</v>
      </c>
      <c r="D910" s="1133">
        <f>SUM(D909+D904)</f>
        <v>5190484</v>
      </c>
      <c r="E910" s="908">
        <f t="shared" si="192"/>
        <v>1.2188142958516746</v>
      </c>
      <c r="F910" s="335"/>
    </row>
  </sheetData>
  <mergeCells count="5">
    <mergeCell ref="A1:F1"/>
    <mergeCell ref="A2:F2"/>
    <mergeCell ref="E5:E7"/>
    <mergeCell ref="C5:C7"/>
    <mergeCell ref="D5:D7"/>
  </mergeCells>
  <printOptions horizontalCentered="1"/>
  <pageMargins left="0.5905511811023623" right="0" top="0.5905511811023623" bottom="0" header="0.1968503937007874" footer="0"/>
  <pageSetup firstPageNumber="22" useFirstPageNumber="1" horizontalDpi="600" verticalDpi="600" orientation="landscape" paperSize="9" scale="57" r:id="rId1"/>
  <headerFooter alignWithMargins="0">
    <oddFooter>&amp;C&amp;P. oldal</oddFooter>
  </headerFooter>
  <rowBreaks count="12" manualBreakCount="12">
    <brk id="61" max="16383" man="1"/>
    <brk id="131" max="16383" man="1"/>
    <brk id="190" max="16383" man="1"/>
    <brk id="252" max="16383" man="1"/>
    <brk id="313" max="16383" man="1"/>
    <brk id="377" max="16383" man="1"/>
    <brk id="459" max="16383" man="1"/>
    <brk id="533" max="16383" man="1"/>
    <brk id="648" max="16383" man="1"/>
    <brk id="706" max="16383" man="1"/>
    <brk id="783" max="16383" man="1"/>
    <brk id="8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Zeros="0" zoomScale="95" zoomScaleNormal="95" workbookViewId="0" topLeftCell="A4">
      <selection activeCell="E32" sqref="E32"/>
    </sheetView>
  </sheetViews>
  <sheetFormatPr defaultColWidth="9.125" defaultRowHeight="12.75" customHeight="1"/>
  <cols>
    <col min="1" max="1" width="6.875" style="8" customWidth="1"/>
    <col min="2" max="2" width="51.00390625" style="8" customWidth="1"/>
    <col min="3" max="4" width="13.75390625" style="9" customWidth="1"/>
    <col min="5" max="5" width="10.625" style="9" customWidth="1"/>
    <col min="6" max="6" width="52.875" style="8" customWidth="1"/>
    <col min="7" max="16384" width="9.125" style="8" customWidth="1"/>
  </cols>
  <sheetData>
    <row r="1" spans="1:6" ht="12.95" customHeight="1">
      <c r="A1" s="1263" t="s">
        <v>262</v>
      </c>
      <c r="B1" s="1262"/>
      <c r="C1" s="1262"/>
      <c r="D1" s="1262"/>
      <c r="E1" s="1262"/>
      <c r="F1" s="1262"/>
    </row>
    <row r="2" spans="1:6" ht="12.95" customHeight="1">
      <c r="A2" s="1261" t="s">
        <v>1190</v>
      </c>
      <c r="B2" s="1262"/>
      <c r="C2" s="1262"/>
      <c r="D2" s="1262"/>
      <c r="E2" s="1262"/>
      <c r="F2" s="1262"/>
    </row>
    <row r="3" spans="3:6" ht="12.6" customHeight="1">
      <c r="C3" s="62"/>
      <c r="D3" s="62"/>
      <c r="E3" s="62"/>
      <c r="F3" s="71" t="s">
        <v>154</v>
      </c>
    </row>
    <row r="4" spans="1:6" ht="12.95" customHeight="1">
      <c r="A4" s="44"/>
      <c r="B4" s="45"/>
      <c r="C4" s="1214" t="s">
        <v>1320</v>
      </c>
      <c r="D4" s="1214" t="s">
        <v>1327</v>
      </c>
      <c r="E4" s="1214" t="s">
        <v>1182</v>
      </c>
      <c r="F4" s="80" t="s">
        <v>478</v>
      </c>
    </row>
    <row r="5" spans="1:6" ht="12.75">
      <c r="A5" s="46" t="s">
        <v>247</v>
      </c>
      <c r="B5" s="79" t="s">
        <v>121</v>
      </c>
      <c r="C5" s="1259"/>
      <c r="D5" s="1259"/>
      <c r="E5" s="1257"/>
      <c r="F5" s="47" t="s">
        <v>122</v>
      </c>
    </row>
    <row r="6" spans="1:6" ht="13.5" thickBot="1">
      <c r="A6" s="48"/>
      <c r="B6" s="49"/>
      <c r="C6" s="1260"/>
      <c r="D6" s="1260"/>
      <c r="E6" s="1258"/>
      <c r="F6" s="50"/>
    </row>
    <row r="7" spans="1:6" ht="15" customHeight="1">
      <c r="A7" s="164" t="s">
        <v>139</v>
      </c>
      <c r="B7" s="165" t="s">
        <v>140</v>
      </c>
      <c r="C7" s="166" t="s">
        <v>141</v>
      </c>
      <c r="D7" s="166" t="s">
        <v>522</v>
      </c>
      <c r="E7" s="166" t="s">
        <v>523</v>
      </c>
      <c r="F7" s="166" t="s">
        <v>539</v>
      </c>
    </row>
    <row r="8" spans="1:6" ht="12.75" customHeight="1">
      <c r="A8" s="95"/>
      <c r="B8" s="77" t="s">
        <v>232</v>
      </c>
      <c r="C8" s="873"/>
      <c r="D8" s="873"/>
      <c r="E8" s="873"/>
      <c r="F8" s="467"/>
    </row>
    <row r="9" spans="1:6" ht="12.75" customHeight="1" thickBot="1">
      <c r="A9" s="39">
        <v>3911</v>
      </c>
      <c r="B9" s="32" t="s">
        <v>159</v>
      </c>
      <c r="C9" s="916">
        <v>1800</v>
      </c>
      <c r="D9" s="916">
        <f>1800+673</f>
        <v>2473</v>
      </c>
      <c r="E9" s="884">
        <f>SUM(D9/C9)</f>
        <v>1.373888888888889</v>
      </c>
      <c r="F9" s="917"/>
    </row>
    <row r="10" spans="1:6" ht="12.75" customHeight="1" thickBot="1">
      <c r="A10" s="58">
        <v>3910</v>
      </c>
      <c r="B10" s="33" t="s">
        <v>150</v>
      </c>
      <c r="C10" s="806">
        <f>SUM(C9:C9)</f>
        <v>1800</v>
      </c>
      <c r="D10" s="806">
        <f>SUM(D9:D9)</f>
        <v>2473</v>
      </c>
      <c r="E10" s="885">
        <f aca="true" t="shared" si="0" ref="E10:E67">SUM(D10/C10)</f>
        <v>1.373888888888889</v>
      </c>
      <c r="F10" s="451"/>
    </row>
    <row r="11" spans="1:6" s="12" customFormat="1" ht="12.75" customHeight="1">
      <c r="A11" s="10"/>
      <c r="B11" s="35" t="s">
        <v>231</v>
      </c>
      <c r="C11" s="874"/>
      <c r="D11" s="874"/>
      <c r="E11" s="883"/>
      <c r="F11" s="452"/>
    </row>
    <row r="12" spans="1:6" s="12" customFormat="1" ht="12.75" customHeight="1">
      <c r="A12" s="39">
        <v>3924</v>
      </c>
      <c r="B12" s="32" t="s">
        <v>475</v>
      </c>
      <c r="C12" s="875">
        <v>9000</v>
      </c>
      <c r="D12" s="875">
        <v>9000</v>
      </c>
      <c r="E12" s="883">
        <f t="shared" si="0"/>
        <v>1</v>
      </c>
      <c r="F12" s="454"/>
    </row>
    <row r="13" spans="1:6" s="12" customFormat="1" ht="12.75" customHeight="1">
      <c r="A13" s="39">
        <v>3925</v>
      </c>
      <c r="B13" s="32" t="s">
        <v>20</v>
      </c>
      <c r="C13" s="875">
        <v>121000</v>
      </c>
      <c r="D13" s="875">
        <f>121000+4000</f>
        <v>125000</v>
      </c>
      <c r="E13" s="883">
        <f t="shared" si="0"/>
        <v>1.0330578512396693</v>
      </c>
      <c r="F13" s="607" t="s">
        <v>492</v>
      </c>
    </row>
    <row r="14" spans="1:6" s="12" customFormat="1" ht="12.75" customHeight="1">
      <c r="A14" s="39">
        <v>3926</v>
      </c>
      <c r="B14" s="32" t="s">
        <v>1260</v>
      </c>
      <c r="C14" s="875">
        <v>2000</v>
      </c>
      <c r="D14" s="875">
        <v>2000</v>
      </c>
      <c r="E14" s="883">
        <f t="shared" si="0"/>
        <v>1</v>
      </c>
      <c r="F14" s="607"/>
    </row>
    <row r="15" spans="1:6" s="12" customFormat="1" ht="12.75" customHeight="1">
      <c r="A15" s="39">
        <v>3927</v>
      </c>
      <c r="B15" s="32" t="s">
        <v>476</v>
      </c>
      <c r="C15" s="875">
        <v>3000</v>
      </c>
      <c r="D15" s="875">
        <v>3000</v>
      </c>
      <c r="E15" s="883">
        <f t="shared" si="0"/>
        <v>1</v>
      </c>
      <c r="F15" s="458" t="s">
        <v>464</v>
      </c>
    </row>
    <row r="16" spans="1:6" s="12" customFormat="1" ht="12.75" customHeight="1">
      <c r="A16" s="39">
        <v>3928</v>
      </c>
      <c r="B16" s="32" t="s">
        <v>130</v>
      </c>
      <c r="C16" s="641">
        <f>SUM(C21+C17)</f>
        <v>113000</v>
      </c>
      <c r="D16" s="641">
        <f>SUM(D21+D17)</f>
        <v>182932</v>
      </c>
      <c r="E16" s="883">
        <f t="shared" si="0"/>
        <v>1.6188672566371682</v>
      </c>
      <c r="F16" s="454" t="s">
        <v>464</v>
      </c>
    </row>
    <row r="17" spans="1:6" s="12" customFormat="1" ht="12.75" customHeight="1">
      <c r="A17" s="39"/>
      <c r="B17" s="160" t="s">
        <v>62</v>
      </c>
      <c r="C17" s="615">
        <f>SUM(C18:C20)</f>
        <v>13000</v>
      </c>
      <c r="D17" s="615">
        <f>SUM(D18:D20)</f>
        <v>13862</v>
      </c>
      <c r="E17" s="883">
        <f t="shared" si="0"/>
        <v>1.0663076923076924</v>
      </c>
      <c r="F17" s="643"/>
    </row>
    <row r="18" spans="1:6" s="12" customFormat="1" ht="12.75" customHeight="1">
      <c r="A18" s="39"/>
      <c r="B18" s="160" t="s">
        <v>405</v>
      </c>
      <c r="C18" s="878">
        <v>8000</v>
      </c>
      <c r="D18" s="878">
        <f>8000+862</f>
        <v>8862</v>
      </c>
      <c r="E18" s="883">
        <f t="shared" si="0"/>
        <v>1.10775</v>
      </c>
      <c r="F18" s="918"/>
    </row>
    <row r="19" spans="1:6" s="12" customFormat="1" ht="12.75" customHeight="1">
      <c r="A19" s="39"/>
      <c r="B19" s="160" t="s">
        <v>406</v>
      </c>
      <c r="C19" s="876"/>
      <c r="D19" s="876"/>
      <c r="E19" s="883"/>
      <c r="F19" s="455"/>
    </row>
    <row r="20" spans="1:6" s="12" customFormat="1" ht="12.75" customHeight="1">
      <c r="A20" s="39"/>
      <c r="B20" s="160" t="s">
        <v>407</v>
      </c>
      <c r="C20" s="876">
        <v>5000</v>
      </c>
      <c r="D20" s="876">
        <v>5000</v>
      </c>
      <c r="E20" s="883">
        <f t="shared" si="0"/>
        <v>1</v>
      </c>
      <c r="F20" s="455"/>
    </row>
    <row r="21" spans="1:6" s="12" customFormat="1" ht="12.75" customHeight="1" thickBot="1">
      <c r="A21" s="39"/>
      <c r="B21" s="160" t="s">
        <v>340</v>
      </c>
      <c r="C21" s="877">
        <v>100000</v>
      </c>
      <c r="D21" s="877">
        <f>100000+69070</f>
        <v>169070</v>
      </c>
      <c r="E21" s="884">
        <f t="shared" si="0"/>
        <v>1.6907</v>
      </c>
      <c r="F21" s="818"/>
    </row>
    <row r="22" spans="1:6" s="12" customFormat="1" ht="12.75" customHeight="1" thickBot="1">
      <c r="A22" s="58">
        <v>3920</v>
      </c>
      <c r="B22" s="33" t="s">
        <v>150</v>
      </c>
      <c r="C22" s="985">
        <f>SUM(C12:C16)</f>
        <v>248000</v>
      </c>
      <c r="D22" s="806">
        <f>SUM(D12:D16)</f>
        <v>321932</v>
      </c>
      <c r="E22" s="885">
        <f t="shared" si="0"/>
        <v>1.2981129032258065</v>
      </c>
      <c r="F22" s="456"/>
    </row>
    <row r="23" spans="1:6" s="12" customFormat="1" ht="12.75" customHeight="1">
      <c r="A23" s="10"/>
      <c r="B23" s="35" t="s">
        <v>108</v>
      </c>
      <c r="C23" s="874"/>
      <c r="D23" s="874"/>
      <c r="E23" s="883"/>
      <c r="F23" s="452"/>
    </row>
    <row r="24" spans="1:6" s="12" customFormat="1" ht="12.75" customHeight="1">
      <c r="A24" s="60">
        <v>3931</v>
      </c>
      <c r="B24" s="78" t="s">
        <v>133</v>
      </c>
      <c r="C24" s="878">
        <v>2000</v>
      </c>
      <c r="D24" s="878">
        <f>2000+1500</f>
        <v>3500</v>
      </c>
      <c r="E24" s="883">
        <f t="shared" si="0"/>
        <v>1.75</v>
      </c>
      <c r="F24" s="454" t="s">
        <v>489</v>
      </c>
    </row>
    <row r="25" spans="1:6" s="12" customFormat="1" ht="12.75" customHeight="1" thickBot="1">
      <c r="A25" s="60">
        <v>3932</v>
      </c>
      <c r="B25" s="78" t="s">
        <v>471</v>
      </c>
      <c r="C25" s="878">
        <v>12500</v>
      </c>
      <c r="D25" s="878">
        <v>12500</v>
      </c>
      <c r="E25" s="884">
        <f t="shared" si="0"/>
        <v>1</v>
      </c>
      <c r="F25" s="454" t="s">
        <v>489</v>
      </c>
    </row>
    <row r="26" spans="1:6" s="12" customFormat="1" ht="12.75" customHeight="1" thickBot="1">
      <c r="A26" s="58">
        <v>3930</v>
      </c>
      <c r="B26" s="33" t="s">
        <v>150</v>
      </c>
      <c r="C26" s="986">
        <f>SUM(C24:C25)</f>
        <v>14500</v>
      </c>
      <c r="D26" s="640">
        <f>SUM(D24:D25)</f>
        <v>16000</v>
      </c>
      <c r="E26" s="885">
        <f t="shared" si="0"/>
        <v>1.103448275862069</v>
      </c>
      <c r="F26" s="459"/>
    </row>
    <row r="27" spans="1:6" ht="12.75" customHeight="1">
      <c r="A27" s="10"/>
      <c r="B27" s="35" t="s">
        <v>43</v>
      </c>
      <c r="C27" s="879"/>
      <c r="D27" s="879"/>
      <c r="E27" s="883"/>
      <c r="F27" s="460"/>
    </row>
    <row r="28" spans="1:7" ht="12.75" customHeight="1">
      <c r="A28" s="39">
        <v>3941</v>
      </c>
      <c r="B28" s="32" t="s">
        <v>399</v>
      </c>
      <c r="C28" s="875">
        <v>587000</v>
      </c>
      <c r="D28" s="875">
        <v>587000</v>
      </c>
      <c r="E28" s="883">
        <f t="shared" si="0"/>
        <v>1</v>
      </c>
      <c r="F28" s="607" t="s">
        <v>493</v>
      </c>
      <c r="G28" s="919"/>
    </row>
    <row r="29" spans="1:6" ht="12.75" customHeight="1">
      <c r="A29" s="39">
        <v>3943</v>
      </c>
      <c r="B29" s="32" t="s">
        <v>6</v>
      </c>
      <c r="C29" s="875">
        <f>SUM(C30:C33)</f>
        <v>1000</v>
      </c>
      <c r="D29" s="641">
        <f>SUM(D30:D33)</f>
        <v>1500</v>
      </c>
      <c r="E29" s="883">
        <f t="shared" si="0"/>
        <v>1.5</v>
      </c>
      <c r="F29" s="454" t="s">
        <v>465</v>
      </c>
    </row>
    <row r="30" spans="1:6" ht="12.75" customHeight="1">
      <c r="A30" s="39"/>
      <c r="B30" s="160" t="s">
        <v>341</v>
      </c>
      <c r="C30" s="876">
        <v>350</v>
      </c>
      <c r="D30" s="876">
        <v>350</v>
      </c>
      <c r="E30" s="883">
        <f t="shared" si="0"/>
        <v>1</v>
      </c>
      <c r="F30" s="454"/>
    </row>
    <row r="31" spans="1:6" ht="12.75" customHeight="1">
      <c r="A31" s="39"/>
      <c r="B31" s="160" t="s">
        <v>342</v>
      </c>
      <c r="C31" s="876">
        <v>150</v>
      </c>
      <c r="D31" s="876">
        <f>150+67</f>
        <v>217</v>
      </c>
      <c r="E31" s="883">
        <f t="shared" si="0"/>
        <v>1.4466666666666668</v>
      </c>
      <c r="F31" s="454"/>
    </row>
    <row r="32" spans="1:6" ht="12.75" customHeight="1">
      <c r="A32" s="39"/>
      <c r="B32" s="160" t="s">
        <v>83</v>
      </c>
      <c r="C32" s="876"/>
      <c r="D32" s="876"/>
      <c r="E32" s="883"/>
      <c r="F32" s="454"/>
    </row>
    <row r="33" spans="1:6" ht="12.75" customHeight="1" thickBot="1">
      <c r="A33" s="39"/>
      <c r="B33" s="160" t="s">
        <v>340</v>
      </c>
      <c r="C33" s="876">
        <v>500</v>
      </c>
      <c r="D33" s="876">
        <f>500+433</f>
        <v>933</v>
      </c>
      <c r="E33" s="884">
        <f t="shared" si="0"/>
        <v>1.866</v>
      </c>
      <c r="F33" s="454"/>
    </row>
    <row r="34" spans="1:6" s="12" customFormat="1" ht="12.75" customHeight="1" thickBot="1">
      <c r="A34" s="58">
        <v>3940</v>
      </c>
      <c r="B34" s="33" t="s">
        <v>148</v>
      </c>
      <c r="C34" s="986">
        <f>SUM(C28:C29)</f>
        <v>588000</v>
      </c>
      <c r="D34" s="640">
        <f>SUM(D28:D29)</f>
        <v>588500</v>
      </c>
      <c r="E34" s="886">
        <f t="shared" si="0"/>
        <v>1.0008503401360545</v>
      </c>
      <c r="F34" s="461"/>
    </row>
    <row r="35" spans="1:6" s="12" customFormat="1" ht="12.75" customHeight="1">
      <c r="A35" s="168"/>
      <c r="B35" s="169" t="s">
        <v>42</v>
      </c>
      <c r="C35" s="880"/>
      <c r="D35" s="880"/>
      <c r="E35" s="883"/>
      <c r="F35" s="462"/>
    </row>
    <row r="36" spans="1:6" s="12" customFormat="1" ht="12.75" customHeight="1">
      <c r="A36" s="59">
        <v>3961</v>
      </c>
      <c r="B36" s="75" t="s">
        <v>344</v>
      </c>
      <c r="C36" s="881">
        <v>217170</v>
      </c>
      <c r="D36" s="881">
        <v>217170</v>
      </c>
      <c r="E36" s="883">
        <f t="shared" si="0"/>
        <v>1</v>
      </c>
      <c r="F36" s="494"/>
    </row>
    <row r="37" spans="1:6" s="12" customFormat="1" ht="12.75" customHeight="1">
      <c r="A37" s="59">
        <v>3972</v>
      </c>
      <c r="B37" s="75" t="s">
        <v>1109</v>
      </c>
      <c r="C37" s="881">
        <v>30000</v>
      </c>
      <c r="D37" s="881">
        <f>30000+2583</f>
        <v>32583</v>
      </c>
      <c r="E37" s="883">
        <f t="shared" si="0"/>
        <v>1.0861</v>
      </c>
      <c r="F37" s="453" t="s">
        <v>1156</v>
      </c>
    </row>
    <row r="38" spans="1:6" s="12" customFormat="1" ht="12.75" customHeight="1">
      <c r="A38" s="59">
        <v>3973</v>
      </c>
      <c r="B38" s="75" t="s">
        <v>1143</v>
      </c>
      <c r="C38" s="881">
        <v>5100</v>
      </c>
      <c r="D38" s="881">
        <f>D39+D40+D41</f>
        <v>7546</v>
      </c>
      <c r="E38" s="883">
        <f t="shared" si="0"/>
        <v>1.4796078431372548</v>
      </c>
      <c r="F38" s="929"/>
    </row>
    <row r="39" spans="1:6" s="12" customFormat="1" ht="12.75" customHeight="1">
      <c r="A39" s="59"/>
      <c r="B39" s="160" t="s">
        <v>341</v>
      </c>
      <c r="C39" s="881"/>
      <c r="D39" s="957">
        <v>2118</v>
      </c>
      <c r="E39" s="883">
        <v>1</v>
      </c>
      <c r="F39" s="929"/>
    </row>
    <row r="40" spans="1:6" s="12" customFormat="1" ht="12.75" customHeight="1">
      <c r="A40" s="59"/>
      <c r="B40" s="160" t="s">
        <v>342</v>
      </c>
      <c r="C40" s="881"/>
      <c r="D40" s="957">
        <v>328</v>
      </c>
      <c r="E40" s="883">
        <v>1</v>
      </c>
      <c r="F40" s="929"/>
    </row>
    <row r="41" spans="1:6" s="12" customFormat="1" ht="12.75" customHeight="1">
      <c r="A41" s="59"/>
      <c r="B41" s="160" t="s">
        <v>83</v>
      </c>
      <c r="C41" s="881"/>
      <c r="D41" s="957">
        <v>5100</v>
      </c>
      <c r="E41" s="883">
        <v>1</v>
      </c>
      <c r="F41" s="929"/>
    </row>
    <row r="42" spans="1:6" s="12" customFormat="1" ht="12.75" customHeight="1">
      <c r="A42" s="59">
        <v>3974</v>
      </c>
      <c r="B42" s="75" t="s">
        <v>1144</v>
      </c>
      <c r="C42" s="881">
        <v>10000</v>
      </c>
      <c r="D42" s="881">
        <v>10000</v>
      </c>
      <c r="E42" s="883">
        <f t="shared" si="0"/>
        <v>1</v>
      </c>
      <c r="F42" s="453"/>
    </row>
    <row r="43" spans="1:6" s="12" customFormat="1" ht="12.75" customHeight="1" thickBot="1">
      <c r="A43" s="59">
        <v>3975</v>
      </c>
      <c r="B43" s="75" t="s">
        <v>1261</v>
      </c>
      <c r="C43" s="881">
        <v>10000</v>
      </c>
      <c r="D43" s="881">
        <v>10000</v>
      </c>
      <c r="E43" s="884">
        <f t="shared" si="0"/>
        <v>1</v>
      </c>
      <c r="F43" s="453"/>
    </row>
    <row r="44" spans="1:6" s="12" customFormat="1" ht="12.75" customHeight="1" thickBot="1">
      <c r="A44" s="170">
        <v>3970</v>
      </c>
      <c r="B44" s="171" t="s">
        <v>129</v>
      </c>
      <c r="C44" s="987">
        <f>SUM(C36:C43)</f>
        <v>272270</v>
      </c>
      <c r="D44" s="642">
        <f>D36+D37+D38+D42+D43</f>
        <v>277299</v>
      </c>
      <c r="E44" s="886">
        <f t="shared" si="0"/>
        <v>1.0184706357659676</v>
      </c>
      <c r="F44" s="461"/>
    </row>
    <row r="45" spans="1:6" s="12" customFormat="1" ht="12.75" customHeight="1">
      <c r="A45" s="172"/>
      <c r="B45" s="173" t="s">
        <v>230</v>
      </c>
      <c r="C45" s="880"/>
      <c r="D45" s="880"/>
      <c r="E45" s="883"/>
      <c r="F45" s="452"/>
    </row>
    <row r="46" spans="1:6" s="12" customFormat="1" ht="12.75" customHeight="1">
      <c r="A46" s="59">
        <v>3988</v>
      </c>
      <c r="B46" s="75" t="s">
        <v>15</v>
      </c>
      <c r="C46" s="881">
        <v>800</v>
      </c>
      <c r="D46" s="519">
        <v>800</v>
      </c>
      <c r="E46" s="883">
        <f t="shared" si="0"/>
        <v>1</v>
      </c>
      <c r="F46" s="463"/>
    </row>
    <row r="47" spans="1:6" s="12" customFormat="1" ht="12.75" customHeight="1">
      <c r="A47" s="59">
        <v>3989</v>
      </c>
      <c r="B47" s="75" t="s">
        <v>316</v>
      </c>
      <c r="C47" s="881">
        <v>3000</v>
      </c>
      <c r="D47" s="519">
        <v>3000</v>
      </c>
      <c r="E47" s="883">
        <f t="shared" si="0"/>
        <v>1</v>
      </c>
      <c r="F47" s="453" t="s">
        <v>466</v>
      </c>
    </row>
    <row r="48" spans="1:6" s="12" customFormat="1" ht="12.75" customHeight="1">
      <c r="A48" s="60">
        <v>3990</v>
      </c>
      <c r="B48" s="78" t="s">
        <v>274</v>
      </c>
      <c r="C48" s="878">
        <v>1000</v>
      </c>
      <c r="D48" s="518">
        <v>1000</v>
      </c>
      <c r="E48" s="883">
        <f t="shared" si="0"/>
        <v>1</v>
      </c>
      <c r="F48" s="463"/>
    </row>
    <row r="49" spans="1:6" s="12" customFormat="1" ht="12.75" customHeight="1">
      <c r="A49" s="60">
        <v>3991</v>
      </c>
      <c r="B49" s="78" t="s">
        <v>313</v>
      </c>
      <c r="C49" s="518">
        <v>4820</v>
      </c>
      <c r="D49" s="518">
        <v>4820</v>
      </c>
      <c r="E49" s="883">
        <f t="shared" si="0"/>
        <v>1</v>
      </c>
      <c r="F49" s="463"/>
    </row>
    <row r="50" spans="1:6" s="12" customFormat="1" ht="12.75" customHeight="1">
      <c r="A50" s="60">
        <v>3992</v>
      </c>
      <c r="B50" s="78" t="s">
        <v>275</v>
      </c>
      <c r="C50" s="518">
        <v>1400</v>
      </c>
      <c r="D50" s="518">
        <v>1400</v>
      </c>
      <c r="E50" s="883">
        <f t="shared" si="0"/>
        <v>1</v>
      </c>
      <c r="F50" s="463"/>
    </row>
    <row r="51" spans="1:6" s="12" customFormat="1" ht="12.75" customHeight="1">
      <c r="A51" s="60">
        <v>3993</v>
      </c>
      <c r="B51" s="78" t="s">
        <v>276</v>
      </c>
      <c r="C51" s="518">
        <v>900</v>
      </c>
      <c r="D51" s="518">
        <v>900</v>
      </c>
      <c r="E51" s="883">
        <f t="shared" si="0"/>
        <v>1</v>
      </c>
      <c r="F51" s="463"/>
    </row>
    <row r="52" spans="1:6" s="12" customFormat="1" ht="12.75" customHeight="1">
      <c r="A52" s="60">
        <v>3994</v>
      </c>
      <c r="B52" s="78" t="s">
        <v>85</v>
      </c>
      <c r="C52" s="518">
        <v>900</v>
      </c>
      <c r="D52" s="518">
        <v>900</v>
      </c>
      <c r="E52" s="883">
        <f t="shared" si="0"/>
        <v>1</v>
      </c>
      <c r="F52" s="515"/>
    </row>
    <row r="53" spans="1:6" s="12" customFormat="1" ht="12.75" customHeight="1">
      <c r="A53" s="60">
        <v>3995</v>
      </c>
      <c r="B53" s="78" t="s">
        <v>86</v>
      </c>
      <c r="C53" s="518">
        <v>900</v>
      </c>
      <c r="D53" s="518">
        <v>900</v>
      </c>
      <c r="E53" s="883">
        <f t="shared" si="0"/>
        <v>1</v>
      </c>
      <c r="F53" s="515"/>
    </row>
    <row r="54" spans="1:6" s="12" customFormat="1" ht="12.75" customHeight="1">
      <c r="A54" s="60">
        <v>3997</v>
      </c>
      <c r="B54" s="78" t="s">
        <v>87</v>
      </c>
      <c r="C54" s="518">
        <v>900</v>
      </c>
      <c r="D54" s="518">
        <v>900</v>
      </c>
      <c r="E54" s="883">
        <f t="shared" si="0"/>
        <v>1</v>
      </c>
      <c r="F54" s="463"/>
    </row>
    <row r="55" spans="1:6" s="12" customFormat="1" ht="12.75" customHeight="1">
      <c r="A55" s="60">
        <v>3998</v>
      </c>
      <c r="B55" s="78" t="s">
        <v>88</v>
      </c>
      <c r="C55" s="518">
        <v>900</v>
      </c>
      <c r="D55" s="518">
        <v>900</v>
      </c>
      <c r="E55" s="883">
        <f t="shared" si="0"/>
        <v>1</v>
      </c>
      <c r="F55" s="463"/>
    </row>
    <row r="56" spans="1:6" s="12" customFormat="1" ht="12.75" customHeight="1" thickBot="1">
      <c r="A56" s="92">
        <v>3999</v>
      </c>
      <c r="B56" s="78" t="s">
        <v>89</v>
      </c>
      <c r="C56" s="518">
        <v>1000</v>
      </c>
      <c r="D56" s="518">
        <v>1000</v>
      </c>
      <c r="E56" s="884">
        <f t="shared" si="0"/>
        <v>1</v>
      </c>
      <c r="F56" s="463"/>
    </row>
    <row r="57" spans="1:6" s="12" customFormat="1" ht="12.75" customHeight="1" thickBot="1">
      <c r="A57" s="58"/>
      <c r="B57" s="33" t="s">
        <v>129</v>
      </c>
      <c r="C57" s="640">
        <f>SUM(C46:C56)</f>
        <v>16520</v>
      </c>
      <c r="D57" s="640">
        <f>SUM(D46:D56)</f>
        <v>16520</v>
      </c>
      <c r="E57" s="886">
        <f t="shared" si="0"/>
        <v>1</v>
      </c>
      <c r="F57" s="461"/>
    </row>
    <row r="58" spans="1:6" s="12" customFormat="1" ht="12.75" customHeight="1" thickBot="1">
      <c r="A58" s="58">
        <v>3900</v>
      </c>
      <c r="B58" s="33" t="s">
        <v>123</v>
      </c>
      <c r="C58" s="640">
        <f>C34+C22+C10+C26+C44+C57</f>
        <v>1141090</v>
      </c>
      <c r="D58" s="640">
        <f>D34+D22+D10+D26+D44+D57</f>
        <v>1222724</v>
      </c>
      <c r="E58" s="885">
        <f t="shared" si="0"/>
        <v>1.071540369296024</v>
      </c>
      <c r="F58" s="461"/>
    </row>
    <row r="59" spans="1:6" s="12" customFormat="1" ht="12.75" customHeight="1">
      <c r="A59" s="43"/>
      <c r="B59" s="75" t="s">
        <v>145</v>
      </c>
      <c r="C59" s="518">
        <f aca="true" t="shared" si="1" ref="C59">SUM(C30)</f>
        <v>350</v>
      </c>
      <c r="D59" s="518">
        <f>SUM(D30)+D39</f>
        <v>2468</v>
      </c>
      <c r="E59" s="883">
        <f t="shared" si="0"/>
        <v>7.051428571428572</v>
      </c>
      <c r="F59" s="457"/>
    </row>
    <row r="60" spans="1:6" s="12" customFormat="1" ht="12.75" customHeight="1">
      <c r="A60" s="43"/>
      <c r="B60" s="23" t="s">
        <v>92</v>
      </c>
      <c r="C60" s="518">
        <f aca="true" t="shared" si="2" ref="C60">SUM(C31)</f>
        <v>150</v>
      </c>
      <c r="D60" s="518">
        <f>SUM(D31)+D40</f>
        <v>545</v>
      </c>
      <c r="E60" s="883">
        <f t="shared" si="0"/>
        <v>3.6333333333333333</v>
      </c>
      <c r="F60" s="457"/>
    </row>
    <row r="61" spans="1:6" s="12" customFormat="1" ht="12.75" customHeight="1">
      <c r="A61" s="43"/>
      <c r="B61" s="75" t="s">
        <v>261</v>
      </c>
      <c r="C61" s="518">
        <f>SUM(C18)</f>
        <v>8000</v>
      </c>
      <c r="D61" s="518">
        <f>SUM(D18)</f>
        <v>8862</v>
      </c>
      <c r="E61" s="883">
        <f t="shared" si="0"/>
        <v>1.10775</v>
      </c>
      <c r="F61" s="457"/>
    </row>
    <row r="62" spans="1:6" s="12" customFormat="1" ht="12.75" customHeight="1">
      <c r="A62" s="42"/>
      <c r="B62" s="23" t="s">
        <v>259</v>
      </c>
      <c r="C62" s="641">
        <f>SUM(C10+C22+C26+C34+C44+C57)-C66-C59-C60-C61-C65</f>
        <v>1020290</v>
      </c>
      <c r="D62" s="641">
        <f>SUM(D10+D22+D26+D34+D44+D57)-D66-D59-D60-D61-D65</f>
        <v>1028373</v>
      </c>
      <c r="E62" s="883">
        <f t="shared" si="0"/>
        <v>1.0079222573974067</v>
      </c>
      <c r="F62" s="457"/>
    </row>
    <row r="63" spans="1:6" s="12" customFormat="1" ht="12.75" customHeight="1">
      <c r="A63" s="42"/>
      <c r="B63" s="636" t="s">
        <v>517</v>
      </c>
      <c r="C63" s="615">
        <v>77790</v>
      </c>
      <c r="D63" s="615">
        <v>77790</v>
      </c>
      <c r="E63" s="883">
        <f t="shared" si="0"/>
        <v>1</v>
      </c>
      <c r="F63" s="457"/>
    </row>
    <row r="64" spans="1:6" s="12" customFormat="1" ht="12.75" customHeight="1">
      <c r="A64" s="42"/>
      <c r="B64" s="636" t="s">
        <v>518</v>
      </c>
      <c r="C64" s="615">
        <f>SUM(C13+C15+C24+C25+C28+C36+C37+C38+C42)</f>
        <v>987770</v>
      </c>
      <c r="D64" s="615">
        <f>SUM(D13+D15+D24+D25+D28+D36+D37+D38+D42)</f>
        <v>998299</v>
      </c>
      <c r="E64" s="883">
        <f t="shared" si="0"/>
        <v>1.010659364021989</v>
      </c>
      <c r="F64" s="457"/>
    </row>
    <row r="65" spans="1:6" s="12" customFormat="1" ht="12.75" customHeight="1">
      <c r="A65" s="42"/>
      <c r="B65" s="23" t="s">
        <v>16</v>
      </c>
      <c r="C65" s="641">
        <f>SUM(C20)</f>
        <v>5000</v>
      </c>
      <c r="D65" s="641">
        <f>SUM(D20)</f>
        <v>5000</v>
      </c>
      <c r="E65" s="883">
        <f t="shared" si="0"/>
        <v>1</v>
      </c>
      <c r="F65" s="457"/>
    </row>
    <row r="66" spans="1:6" s="12" customFormat="1" ht="12.75" customHeight="1">
      <c r="A66" s="42"/>
      <c r="B66" s="82" t="s">
        <v>516</v>
      </c>
      <c r="C66" s="641">
        <f>SUM(C9+C21+C33+C15+C14)</f>
        <v>107300</v>
      </c>
      <c r="D66" s="641">
        <f>SUM(D9+D21+D33+D15+D14)</f>
        <v>177476</v>
      </c>
      <c r="E66" s="887">
        <f t="shared" si="0"/>
        <v>1.6540167753960857</v>
      </c>
      <c r="F66" s="464"/>
    </row>
    <row r="67" spans="1:6" s="12" customFormat="1" ht="12.75" customHeight="1">
      <c r="A67" s="180"/>
      <c r="B67" s="181" t="s">
        <v>423</v>
      </c>
      <c r="C67" s="535">
        <f>SUM(C10+C22+C26+C34+C44+C57)</f>
        <v>1141090</v>
      </c>
      <c r="D67" s="535">
        <f>SUM(D10+D22+D26+D34+D44+D57)</f>
        <v>1222724</v>
      </c>
      <c r="E67" s="888">
        <f t="shared" si="0"/>
        <v>1.071540369296024</v>
      </c>
      <c r="F67" s="464"/>
    </row>
    <row r="68" spans="1:6" ht="12.95" customHeight="1">
      <c r="A68" s="37"/>
      <c r="B68" s="38"/>
      <c r="C68" s="17"/>
      <c r="D68" s="17"/>
      <c r="E68" s="17"/>
      <c r="F68" s="38"/>
    </row>
    <row r="69" ht="12.95" customHeight="1">
      <c r="A69" s="51"/>
    </row>
  </sheetData>
  <mergeCells count="5">
    <mergeCell ref="A2:F2"/>
    <mergeCell ref="A1:F1"/>
    <mergeCell ref="C4:C6"/>
    <mergeCell ref="E4:E6"/>
    <mergeCell ref="D4:D6"/>
  </mergeCells>
  <printOptions horizontalCentered="1"/>
  <pageMargins left="0" right="0" top="0" bottom="0" header="0.5905511811023623" footer="0"/>
  <pageSetup firstPageNumber="35" useFirstPageNumber="1" horizontalDpi="300" verticalDpi="300" orientation="landscape" paperSize="9" scale="65" r:id="rId1"/>
  <headerFooter alignWithMargins="0"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showZeros="0" view="pageBreakPreview" zoomScale="60" workbookViewId="0" topLeftCell="A64">
      <selection activeCell="C78" sqref="C78"/>
    </sheetView>
  </sheetViews>
  <sheetFormatPr defaultColWidth="9.125" defaultRowHeight="12.75" customHeight="1"/>
  <cols>
    <col min="1" max="1" width="5.875" style="265" customWidth="1"/>
    <col min="2" max="2" width="66.125" style="264" customWidth="1"/>
    <col min="3" max="4" width="13.25390625" style="1100" customWidth="1"/>
    <col min="5" max="5" width="9.625" style="1100" customWidth="1"/>
    <col min="6" max="6" width="52.125" style="264" customWidth="1"/>
    <col min="7" max="9" width="9.125" style="264" customWidth="1"/>
    <col min="10" max="16384" width="9.125" style="38" customWidth="1"/>
  </cols>
  <sheetData>
    <row r="1" spans="1:9" s="15" customFormat="1" ht="12.95" customHeight="1">
      <c r="A1" s="1264" t="s">
        <v>124</v>
      </c>
      <c r="B1" s="1256"/>
      <c r="C1" s="1256"/>
      <c r="D1" s="1256"/>
      <c r="E1" s="1256"/>
      <c r="F1" s="1256"/>
      <c r="G1" s="1085"/>
      <c r="H1" s="1085"/>
      <c r="I1" s="1085"/>
    </row>
    <row r="2" spans="1:9" s="15" customFormat="1" ht="12.95" customHeight="1">
      <c r="A2" s="1255" t="s">
        <v>1191</v>
      </c>
      <c r="B2" s="1256"/>
      <c r="C2" s="1256"/>
      <c r="D2" s="1256"/>
      <c r="E2" s="1256"/>
      <c r="F2" s="1256"/>
      <c r="G2" s="1085"/>
      <c r="H2" s="1085"/>
      <c r="I2" s="1085"/>
    </row>
    <row r="3" spans="3:6" ht="10.5" customHeight="1">
      <c r="C3" s="385"/>
      <c r="D3" s="385"/>
      <c r="E3" s="385"/>
      <c r="F3" s="386" t="s">
        <v>154</v>
      </c>
    </row>
    <row r="4" spans="1:6" ht="12.95" customHeight="1">
      <c r="A4" s="377"/>
      <c r="B4" s="387"/>
      <c r="C4" s="1214" t="s">
        <v>1320</v>
      </c>
      <c r="D4" s="1214" t="s">
        <v>1327</v>
      </c>
      <c r="E4" s="1214" t="s">
        <v>1188</v>
      </c>
      <c r="F4" s="388"/>
    </row>
    <row r="5" spans="1:6" ht="12" customHeight="1">
      <c r="A5" s="270" t="s">
        <v>247</v>
      </c>
      <c r="B5" s="389" t="s">
        <v>121</v>
      </c>
      <c r="C5" s="1259"/>
      <c r="D5" s="1259"/>
      <c r="E5" s="1265"/>
      <c r="F5" s="302" t="s">
        <v>533</v>
      </c>
    </row>
    <row r="6" spans="1:6" ht="12.75" customHeight="1" thickBot="1">
      <c r="A6" s="390"/>
      <c r="B6" s="391"/>
      <c r="C6" s="1260"/>
      <c r="D6" s="1260"/>
      <c r="E6" s="1266"/>
      <c r="F6" s="289" t="s">
        <v>122</v>
      </c>
    </row>
    <row r="7" spans="1:6" ht="12.95" customHeight="1">
      <c r="A7" s="392" t="s">
        <v>139</v>
      </c>
      <c r="B7" s="275" t="s">
        <v>140</v>
      </c>
      <c r="C7" s="393" t="s">
        <v>141</v>
      </c>
      <c r="D7" s="393" t="s">
        <v>522</v>
      </c>
      <c r="E7" s="393" t="s">
        <v>523</v>
      </c>
      <c r="F7" s="393" t="s">
        <v>539</v>
      </c>
    </row>
    <row r="8" spans="1:6" ht="16.5" customHeight="1">
      <c r="A8" s="347"/>
      <c r="B8" s="394" t="s">
        <v>236</v>
      </c>
      <c r="C8" s="307"/>
      <c r="D8" s="307"/>
      <c r="E8" s="307"/>
      <c r="F8" s="395"/>
    </row>
    <row r="9" spans="1:6" ht="12">
      <c r="A9" s="270"/>
      <c r="B9" s="396" t="s">
        <v>226</v>
      </c>
      <c r="C9" s="397"/>
      <c r="D9" s="397"/>
      <c r="E9" s="397"/>
      <c r="F9" s="284"/>
    </row>
    <row r="10" spans="1:6" ht="12">
      <c r="A10" s="410">
        <v>4012</v>
      </c>
      <c r="B10" s="484" t="s">
        <v>426</v>
      </c>
      <c r="C10" s="1086">
        <v>19982</v>
      </c>
      <c r="D10" s="1086">
        <v>19982</v>
      </c>
      <c r="E10" s="218">
        <f>D10/C10</f>
        <v>1</v>
      </c>
      <c r="F10" s="281" t="s">
        <v>484</v>
      </c>
    </row>
    <row r="11" spans="1:6" ht="12">
      <c r="A11" s="410">
        <v>4013</v>
      </c>
      <c r="B11" s="484" t="s">
        <v>1263</v>
      </c>
      <c r="C11" s="1086">
        <v>65000</v>
      </c>
      <c r="D11" s="1086">
        <v>65000</v>
      </c>
      <c r="E11" s="218">
        <f aca="true" t="shared" si="0" ref="E11:E79">D11/C11</f>
        <v>1</v>
      </c>
      <c r="F11" s="281"/>
    </row>
    <row r="12" spans="1:6" ht="12">
      <c r="A12" s="398">
        <v>4014</v>
      </c>
      <c r="B12" s="216" t="s">
        <v>425</v>
      </c>
      <c r="C12" s="1086">
        <v>90000</v>
      </c>
      <c r="D12" s="1086">
        <f>90000+100000</f>
        <v>190000</v>
      </c>
      <c r="E12" s="218">
        <f t="shared" si="0"/>
        <v>2.111111111111111</v>
      </c>
      <c r="F12" s="505" t="s">
        <v>495</v>
      </c>
    </row>
    <row r="13" spans="1:6" ht="12">
      <c r="A13" s="398">
        <v>4015</v>
      </c>
      <c r="B13" s="216" t="s">
        <v>1265</v>
      </c>
      <c r="C13" s="1086">
        <v>80000</v>
      </c>
      <c r="D13" s="1086">
        <v>80000</v>
      </c>
      <c r="E13" s="218">
        <f t="shared" si="0"/>
        <v>1</v>
      </c>
      <c r="F13" s="505"/>
    </row>
    <row r="14" spans="1:6" ht="12">
      <c r="A14" s="398">
        <v>4017</v>
      </c>
      <c r="B14" s="216" t="s">
        <v>1097</v>
      </c>
      <c r="C14" s="1086">
        <v>2000</v>
      </c>
      <c r="D14" s="1086">
        <v>2000</v>
      </c>
      <c r="E14" s="218">
        <f t="shared" si="0"/>
        <v>1</v>
      </c>
      <c r="F14" s="609"/>
    </row>
    <row r="15" spans="1:6" ht="12">
      <c r="A15" s="398">
        <v>4018</v>
      </c>
      <c r="B15" s="216" t="s">
        <v>1084</v>
      </c>
      <c r="C15" s="1086">
        <v>60000</v>
      </c>
      <c r="D15" s="1086">
        <f>60000+35263</f>
        <v>95263</v>
      </c>
      <c r="E15" s="218">
        <f t="shared" si="0"/>
        <v>1.5877166666666667</v>
      </c>
      <c r="F15" s="609"/>
    </row>
    <row r="16" spans="1:6" ht="12">
      <c r="A16" s="398">
        <v>4020</v>
      </c>
      <c r="B16" s="216" t="s">
        <v>1132</v>
      </c>
      <c r="C16" s="1086">
        <v>20000</v>
      </c>
      <c r="D16" s="1086">
        <f>20000+5461</f>
        <v>25461</v>
      </c>
      <c r="E16" s="218">
        <f t="shared" si="0"/>
        <v>1.27305</v>
      </c>
      <c r="F16" s="609"/>
    </row>
    <row r="17" spans="1:6" ht="12">
      <c r="A17" s="398">
        <v>4021</v>
      </c>
      <c r="B17" s="216" t="s">
        <v>1165</v>
      </c>
      <c r="C17" s="1086">
        <v>50000</v>
      </c>
      <c r="D17" s="1086">
        <f>50000+14879</f>
        <v>64879</v>
      </c>
      <c r="E17" s="920">
        <f t="shared" si="0"/>
        <v>1.29758</v>
      </c>
      <c r="F17" s="609"/>
    </row>
    <row r="18" spans="1:9" s="34" customFormat="1" ht="12">
      <c r="A18" s="347">
        <v>4010</v>
      </c>
      <c r="B18" s="400" t="s">
        <v>227</v>
      </c>
      <c r="C18" s="1087">
        <f>SUM(C10:C17)</f>
        <v>386982</v>
      </c>
      <c r="D18" s="1087">
        <f>SUM(D10:D17)</f>
        <v>542585</v>
      </c>
      <c r="E18" s="922">
        <f t="shared" si="0"/>
        <v>1.4020936374301647</v>
      </c>
      <c r="F18" s="401"/>
      <c r="G18" s="1088"/>
      <c r="H18" s="1088"/>
      <c r="I18" s="1088"/>
    </row>
    <row r="19" spans="1:9" s="34" customFormat="1" ht="12">
      <c r="A19" s="68"/>
      <c r="B19" s="402" t="s">
        <v>228</v>
      </c>
      <c r="C19" s="217"/>
      <c r="D19" s="217"/>
      <c r="E19" s="921"/>
      <c r="F19" s="281"/>
      <c r="G19" s="1088"/>
      <c r="H19" s="1088"/>
      <c r="I19" s="1088"/>
    </row>
    <row r="20" spans="1:9" s="34" customFormat="1" ht="12">
      <c r="A20" s="347">
        <v>4030</v>
      </c>
      <c r="B20" s="400" t="s">
        <v>229</v>
      </c>
      <c r="C20" s="1089"/>
      <c r="D20" s="1089"/>
      <c r="E20" s="921"/>
      <c r="F20" s="403"/>
      <c r="G20" s="1088"/>
      <c r="H20" s="1088"/>
      <c r="I20" s="1088"/>
    </row>
    <row r="21" spans="1:9" s="34" customFormat="1" ht="12.75">
      <c r="A21" s="68"/>
      <c r="B21" s="404" t="s">
        <v>233</v>
      </c>
      <c r="C21" s="1090"/>
      <c r="D21" s="1090"/>
      <c r="E21" s="218"/>
      <c r="F21" s="405"/>
      <c r="G21" s="1088"/>
      <c r="H21" s="1088"/>
      <c r="I21" s="1088"/>
    </row>
    <row r="22" spans="1:9" s="34" customFormat="1" ht="12">
      <c r="A22" s="398">
        <v>4114</v>
      </c>
      <c r="B22" s="406" t="s">
        <v>1359</v>
      </c>
      <c r="C22" s="217"/>
      <c r="D22" s="217">
        <v>52000</v>
      </c>
      <c r="E22" s="218">
        <v>1</v>
      </c>
      <c r="F22" s="281"/>
      <c r="G22" s="1088"/>
      <c r="H22" s="1088"/>
      <c r="I22" s="1088"/>
    </row>
    <row r="23" spans="1:9" s="34" customFormat="1" ht="12">
      <c r="A23" s="398">
        <v>4119</v>
      </c>
      <c r="B23" s="406" t="s">
        <v>1360</v>
      </c>
      <c r="C23" s="217"/>
      <c r="D23" s="217">
        <f>D24</f>
        <v>77000</v>
      </c>
      <c r="E23" s="218">
        <v>1</v>
      </c>
      <c r="F23" s="281"/>
      <c r="G23" s="1088"/>
      <c r="H23" s="1088"/>
      <c r="I23" s="1088"/>
    </row>
    <row r="24" spans="1:9" s="34" customFormat="1" ht="12">
      <c r="A24" s="398"/>
      <c r="B24" s="811" t="s">
        <v>215</v>
      </c>
      <c r="C24" s="217"/>
      <c r="D24" s="1080">
        <v>77000</v>
      </c>
      <c r="E24" s="218">
        <v>1</v>
      </c>
      <c r="F24" s="281"/>
      <c r="G24" s="1088"/>
      <c r="H24" s="1088"/>
      <c r="I24" s="1088"/>
    </row>
    <row r="25" spans="1:9" s="34" customFormat="1" ht="12">
      <c r="A25" s="398">
        <v>4120</v>
      </c>
      <c r="B25" s="216" t="s">
        <v>209</v>
      </c>
      <c r="C25" s="1086">
        <f>SUM(C26:C28)</f>
        <v>575421</v>
      </c>
      <c r="D25" s="1086">
        <f>SUM(D26:D28)</f>
        <v>589289</v>
      </c>
      <c r="E25" s="218">
        <f t="shared" si="0"/>
        <v>1.0241006150279535</v>
      </c>
      <c r="F25" s="399"/>
      <c r="G25" s="1088"/>
      <c r="H25" s="1088"/>
      <c r="I25" s="1088"/>
    </row>
    <row r="26" spans="1:9" s="34" customFormat="1" ht="12">
      <c r="A26" s="398"/>
      <c r="B26" s="811" t="s">
        <v>267</v>
      </c>
      <c r="C26" s="1091">
        <v>10690</v>
      </c>
      <c r="D26" s="1091">
        <f>10690+2057</f>
        <v>12747</v>
      </c>
      <c r="E26" s="218">
        <f t="shared" si="0"/>
        <v>1.192422825070159</v>
      </c>
      <c r="F26" s="399"/>
      <c r="G26" s="1088"/>
      <c r="H26" s="1088"/>
      <c r="I26" s="1088"/>
    </row>
    <row r="27" spans="1:9" s="34" customFormat="1" ht="11.25" customHeight="1">
      <c r="A27" s="398"/>
      <c r="B27" s="812" t="s">
        <v>215</v>
      </c>
      <c r="C27" s="1091"/>
      <c r="D27" s="1091"/>
      <c r="E27" s="218"/>
      <c r="F27" s="399"/>
      <c r="G27" s="1088"/>
      <c r="H27" s="1088"/>
      <c r="I27" s="1088"/>
    </row>
    <row r="28" spans="1:9" s="34" customFormat="1" ht="12">
      <c r="A28" s="398"/>
      <c r="B28" s="811" t="s">
        <v>216</v>
      </c>
      <c r="C28" s="1091">
        <v>564731</v>
      </c>
      <c r="D28" s="1091">
        <f>564731+11811</f>
        <v>576542</v>
      </c>
      <c r="E28" s="218">
        <f t="shared" si="0"/>
        <v>1.0209143822457063</v>
      </c>
      <c r="F28" s="399"/>
      <c r="G28" s="1088"/>
      <c r="H28" s="1088"/>
      <c r="I28" s="1088"/>
    </row>
    <row r="29" spans="1:9" s="31" customFormat="1" ht="12">
      <c r="A29" s="281">
        <v>4121</v>
      </c>
      <c r="B29" s="407" t="s">
        <v>1323</v>
      </c>
      <c r="C29" s="1081">
        <v>105000</v>
      </c>
      <c r="D29" s="1081">
        <f>D33+D34</f>
        <v>217954</v>
      </c>
      <c r="E29" s="218">
        <f t="shared" si="0"/>
        <v>2.075752380952381</v>
      </c>
      <c r="F29" s="505" t="s">
        <v>500</v>
      </c>
      <c r="G29" s="301"/>
      <c r="H29" s="301"/>
      <c r="I29" s="301"/>
    </row>
    <row r="30" spans="1:9" s="31" customFormat="1" ht="12" hidden="1">
      <c r="A30" s="325">
        <v>4125</v>
      </c>
      <c r="B30" s="406" t="s">
        <v>474</v>
      </c>
      <c r="C30" s="1092"/>
      <c r="D30" s="1092"/>
      <c r="E30" s="218" t="e">
        <f t="shared" si="0"/>
        <v>#DIV/0!</v>
      </c>
      <c r="F30" s="505" t="s">
        <v>485</v>
      </c>
      <c r="G30" s="301"/>
      <c r="H30" s="301"/>
      <c r="I30" s="301"/>
    </row>
    <row r="31" spans="1:9" s="31" customFormat="1" ht="12" hidden="1">
      <c r="A31" s="325"/>
      <c r="B31" s="812" t="s">
        <v>267</v>
      </c>
      <c r="C31" s="1093"/>
      <c r="D31" s="1093"/>
      <c r="E31" s="218" t="e">
        <f t="shared" si="0"/>
        <v>#DIV/0!</v>
      </c>
      <c r="F31" s="505"/>
      <c r="G31" s="301"/>
      <c r="H31" s="301"/>
      <c r="I31" s="301"/>
    </row>
    <row r="32" spans="1:9" s="31" customFormat="1" ht="12" hidden="1">
      <c r="A32" s="325"/>
      <c r="B32" s="812" t="s">
        <v>216</v>
      </c>
      <c r="C32" s="1093"/>
      <c r="D32" s="1093"/>
      <c r="E32" s="218" t="e">
        <f t="shared" si="0"/>
        <v>#DIV/0!</v>
      </c>
      <c r="F32" s="609"/>
      <c r="G32" s="301"/>
      <c r="H32" s="301"/>
      <c r="I32" s="301"/>
    </row>
    <row r="33" spans="1:9" s="31" customFormat="1" ht="12">
      <c r="A33" s="325"/>
      <c r="B33" s="811" t="s">
        <v>267</v>
      </c>
      <c r="C33" s="1093"/>
      <c r="D33" s="1093">
        <v>160</v>
      </c>
      <c r="E33" s="218">
        <v>1</v>
      </c>
      <c r="F33" s="609"/>
      <c r="G33" s="301"/>
      <c r="H33" s="301"/>
      <c r="I33" s="301"/>
    </row>
    <row r="34" spans="1:9" s="31" customFormat="1" ht="12">
      <c r="A34" s="325"/>
      <c r="B34" s="811" t="s">
        <v>216</v>
      </c>
      <c r="C34" s="1093"/>
      <c r="D34" s="1093">
        <f>105000+52794+60000</f>
        <v>217794</v>
      </c>
      <c r="E34" s="218">
        <v>1</v>
      </c>
      <c r="F34" s="609"/>
      <c r="G34" s="301"/>
      <c r="H34" s="301"/>
      <c r="I34" s="301"/>
    </row>
    <row r="35" spans="1:9" s="31" customFormat="1" ht="12">
      <c r="A35" s="325">
        <v>4124</v>
      </c>
      <c r="B35" s="406" t="s">
        <v>1344</v>
      </c>
      <c r="C35" s="1093"/>
      <c r="D35" s="1092">
        <v>5214</v>
      </c>
      <c r="E35" s="218">
        <v>1</v>
      </c>
      <c r="F35" s="609"/>
      <c r="G35" s="301"/>
      <c r="H35" s="301"/>
      <c r="I35" s="301"/>
    </row>
    <row r="36" spans="1:9" s="31" customFormat="1" ht="12">
      <c r="A36" s="398">
        <v>4125</v>
      </c>
      <c r="B36" s="406" t="s">
        <v>1361</v>
      </c>
      <c r="C36" s="1086">
        <v>47000</v>
      </c>
      <c r="D36" s="1086">
        <v>915936</v>
      </c>
      <c r="E36" s="218">
        <f t="shared" si="0"/>
        <v>19.488</v>
      </c>
      <c r="F36" s="399"/>
      <c r="G36" s="301"/>
      <c r="H36" s="301"/>
      <c r="I36" s="301"/>
    </row>
    <row r="37" spans="1:9" s="31" customFormat="1" ht="12">
      <c r="A37" s="325">
        <v>4126</v>
      </c>
      <c r="B37" s="406" t="s">
        <v>1113</v>
      </c>
      <c r="C37" s="1092">
        <v>100000</v>
      </c>
      <c r="D37" s="1092">
        <v>302595</v>
      </c>
      <c r="E37" s="218">
        <f t="shared" si="0"/>
        <v>3.02595</v>
      </c>
      <c r="F37" s="609"/>
      <c r="G37" s="301"/>
      <c r="H37" s="301"/>
      <c r="I37" s="301"/>
    </row>
    <row r="38" spans="1:9" s="31" customFormat="1" ht="12">
      <c r="A38" s="325"/>
      <c r="B38" s="811" t="s">
        <v>216</v>
      </c>
      <c r="C38" s="1093">
        <v>100000</v>
      </c>
      <c r="D38" s="1093">
        <f>100000+102595+100000</f>
        <v>302595</v>
      </c>
      <c r="E38" s="218">
        <f t="shared" si="0"/>
        <v>3.02595</v>
      </c>
      <c r="F38" s="609"/>
      <c r="G38" s="301"/>
      <c r="H38" s="301"/>
      <c r="I38" s="301"/>
    </row>
    <row r="39" spans="1:9" s="31" customFormat="1" ht="12">
      <c r="A39" s="325">
        <v>4127</v>
      </c>
      <c r="B39" s="406" t="s">
        <v>1120</v>
      </c>
      <c r="C39" s="1092">
        <v>100097</v>
      </c>
      <c r="D39" s="1092">
        <f>100097+31100</f>
        <v>131197</v>
      </c>
      <c r="E39" s="218">
        <f t="shared" si="0"/>
        <v>1.3106986223363337</v>
      </c>
      <c r="F39" s="609"/>
      <c r="G39" s="301"/>
      <c r="H39" s="301"/>
      <c r="I39" s="301"/>
    </row>
    <row r="40" spans="1:9" s="31" customFormat="1" ht="12">
      <c r="A40" s="311">
        <v>4128</v>
      </c>
      <c r="B40" s="216" t="s">
        <v>1121</v>
      </c>
      <c r="C40" s="1092">
        <v>30200</v>
      </c>
      <c r="D40" s="1092">
        <v>30200</v>
      </c>
      <c r="E40" s="218">
        <f t="shared" si="0"/>
        <v>1</v>
      </c>
      <c r="F40" s="609"/>
      <c r="G40" s="301"/>
      <c r="H40" s="301"/>
      <c r="I40" s="301"/>
    </row>
    <row r="41" spans="1:9" s="31" customFormat="1" ht="12">
      <c r="A41" s="311">
        <v>4129</v>
      </c>
      <c r="B41" s="216" t="s">
        <v>1267</v>
      </c>
      <c r="C41" s="1092">
        <v>15000</v>
      </c>
      <c r="D41" s="1092">
        <f>15000+50000</f>
        <v>65000</v>
      </c>
      <c r="E41" s="218">
        <f t="shared" si="0"/>
        <v>4.333333333333333</v>
      </c>
      <c r="F41" s="609"/>
      <c r="G41" s="301"/>
      <c r="H41" s="301"/>
      <c r="I41" s="301"/>
    </row>
    <row r="42" spans="1:9" s="31" customFormat="1" ht="12">
      <c r="A42" s="418"/>
      <c r="B42" s="817" t="s">
        <v>125</v>
      </c>
      <c r="C42" s="1083">
        <f>C25+C29+C30+C37+C39+C40+C41+C36</f>
        <v>972718</v>
      </c>
      <c r="D42" s="1083">
        <f>D25+D29+D30+D37+D39+D40+D41+D36+D35+D22+D23</f>
        <v>2386385</v>
      </c>
      <c r="E42" s="924">
        <f t="shared" si="0"/>
        <v>2.4533163774084574</v>
      </c>
      <c r="F42" s="282"/>
      <c r="G42" s="301"/>
      <c r="H42" s="301"/>
      <c r="I42" s="301"/>
    </row>
    <row r="43" spans="1:9" s="31" customFormat="1" ht="12">
      <c r="A43" s="215">
        <v>4131</v>
      </c>
      <c r="B43" s="635" t="s">
        <v>254</v>
      </c>
      <c r="C43" s="217">
        <v>30000</v>
      </c>
      <c r="D43" s="217">
        <f>D44+D45</f>
        <v>36095</v>
      </c>
      <c r="E43" s="218">
        <f t="shared" si="0"/>
        <v>1.2031666666666667</v>
      </c>
      <c r="F43" s="281" t="s">
        <v>484</v>
      </c>
      <c r="G43" s="301"/>
      <c r="H43" s="301"/>
      <c r="I43" s="301"/>
    </row>
    <row r="44" spans="1:9" s="31" customFormat="1" ht="9" customHeight="1">
      <c r="A44" s="215"/>
      <c r="B44" s="614" t="s">
        <v>267</v>
      </c>
      <c r="C44" s="1080"/>
      <c r="D44" s="1080"/>
      <c r="E44" s="218"/>
      <c r="F44" s="281"/>
      <c r="G44" s="301"/>
      <c r="H44" s="301"/>
      <c r="I44" s="301"/>
    </row>
    <row r="45" spans="1:9" s="31" customFormat="1" ht="12">
      <c r="A45" s="215"/>
      <c r="B45" s="614" t="s">
        <v>216</v>
      </c>
      <c r="C45" s="1080"/>
      <c r="D45" s="1080">
        <f>30000+6095</f>
        <v>36095</v>
      </c>
      <c r="E45" s="218"/>
      <c r="F45" s="281"/>
      <c r="G45" s="301"/>
      <c r="H45" s="301"/>
      <c r="I45" s="301"/>
    </row>
    <row r="46" spans="1:9" s="31" customFormat="1" ht="11.25" customHeight="1">
      <c r="A46" s="215">
        <v>4132</v>
      </c>
      <c r="B46" s="219" t="s">
        <v>106</v>
      </c>
      <c r="C46" s="217">
        <v>6000</v>
      </c>
      <c r="D46" s="217">
        <f>6000+7666+10000</f>
        <v>23666</v>
      </c>
      <c r="E46" s="218">
        <f t="shared" si="0"/>
        <v>3.9443333333333332</v>
      </c>
      <c r="F46" s="281" t="s">
        <v>484</v>
      </c>
      <c r="G46" s="301"/>
      <c r="H46" s="301"/>
      <c r="I46" s="301"/>
    </row>
    <row r="47" spans="1:9" s="31" customFormat="1" ht="12.95" customHeight="1">
      <c r="A47" s="215">
        <v>4133</v>
      </c>
      <c r="B47" s="219" t="s">
        <v>255</v>
      </c>
      <c r="C47" s="217">
        <v>30226</v>
      </c>
      <c r="D47" s="217">
        <f>30226+61341</f>
        <v>91567</v>
      </c>
      <c r="E47" s="218">
        <f t="shared" si="0"/>
        <v>3.0294117647058822</v>
      </c>
      <c r="F47" s="281" t="s">
        <v>484</v>
      </c>
      <c r="G47" s="301"/>
      <c r="H47" s="301"/>
      <c r="I47" s="301"/>
    </row>
    <row r="48" spans="1:9" s="31" customFormat="1" ht="12.95" customHeight="1">
      <c r="A48" s="215">
        <v>4140</v>
      </c>
      <c r="B48" s="219" t="s">
        <v>1205</v>
      </c>
      <c r="C48" s="217">
        <v>15000</v>
      </c>
      <c r="D48" s="217">
        <f>15000+5000</f>
        <v>20000</v>
      </c>
      <c r="E48" s="218">
        <f t="shared" si="0"/>
        <v>1.3333333333333333</v>
      </c>
      <c r="F48" s="281"/>
      <c r="G48" s="301"/>
      <c r="H48" s="301"/>
      <c r="I48" s="301"/>
    </row>
    <row r="49" spans="1:9" s="31" customFormat="1" ht="12">
      <c r="A49" s="215">
        <v>4141</v>
      </c>
      <c r="B49" s="216" t="s">
        <v>333</v>
      </c>
      <c r="C49" s="217">
        <v>10000</v>
      </c>
      <c r="D49" s="217">
        <f>D50+D51</f>
        <v>10956</v>
      </c>
      <c r="E49" s="218">
        <f t="shared" si="0"/>
        <v>1.0956</v>
      </c>
      <c r="F49" s="281" t="s">
        <v>484</v>
      </c>
      <c r="G49" s="301"/>
      <c r="H49" s="301"/>
      <c r="I49" s="301"/>
    </row>
    <row r="50" spans="1:9" s="31" customFormat="1" ht="12">
      <c r="A50" s="215"/>
      <c r="B50" s="614" t="s">
        <v>267</v>
      </c>
      <c r="C50" s="217"/>
      <c r="D50" s="1080">
        <v>956</v>
      </c>
      <c r="E50" s="218">
        <v>1</v>
      </c>
      <c r="F50" s="281"/>
      <c r="G50" s="301"/>
      <c r="H50" s="301"/>
      <c r="I50" s="301"/>
    </row>
    <row r="51" spans="1:9" s="31" customFormat="1" ht="12">
      <c r="A51" s="215"/>
      <c r="B51" s="992" t="s">
        <v>216</v>
      </c>
      <c r="C51" s="217"/>
      <c r="D51" s="1080">
        <v>10000</v>
      </c>
      <c r="E51" s="920">
        <v>1</v>
      </c>
      <c r="F51" s="408"/>
      <c r="G51" s="301"/>
      <c r="H51" s="301"/>
      <c r="I51" s="301"/>
    </row>
    <row r="52" spans="1:9" s="31" customFormat="1" ht="12">
      <c r="A52" s="347">
        <v>4100</v>
      </c>
      <c r="B52" s="500" t="s">
        <v>148</v>
      </c>
      <c r="C52" s="1094">
        <f>SUM(C42+C43+C46+C47+C49+C48)</f>
        <v>1063944</v>
      </c>
      <c r="D52" s="1094">
        <f>SUM(D42+D43+D46+D47+D49+D48)</f>
        <v>2568669</v>
      </c>
      <c r="E52" s="922">
        <f t="shared" si="0"/>
        <v>2.4142896618619023</v>
      </c>
      <c r="F52" s="558"/>
      <c r="G52" s="301"/>
      <c r="H52" s="301"/>
      <c r="I52" s="301"/>
    </row>
    <row r="53" spans="1:9" s="31" customFormat="1" ht="10.5" customHeight="1">
      <c r="A53" s="377"/>
      <c r="B53" s="409" t="s">
        <v>108</v>
      </c>
      <c r="C53" s="217"/>
      <c r="D53" s="217"/>
      <c r="E53" s="218"/>
      <c r="F53" s="284"/>
      <c r="G53" s="301"/>
      <c r="H53" s="301"/>
      <c r="I53" s="301"/>
    </row>
    <row r="54" spans="1:9" s="31" customFormat="1" ht="0.75" customHeight="1">
      <c r="A54" s="398">
        <v>4211</v>
      </c>
      <c r="B54" s="216" t="s">
        <v>1161</v>
      </c>
      <c r="C54" s="217"/>
      <c r="D54" s="217"/>
      <c r="E54" s="218" t="e">
        <f t="shared" si="0"/>
        <v>#DIV/0!</v>
      </c>
      <c r="F54" s="284"/>
      <c r="G54" s="301"/>
      <c r="H54" s="301"/>
      <c r="I54" s="301"/>
    </row>
    <row r="55" spans="1:9" s="31" customFormat="1" ht="12" hidden="1">
      <c r="A55" s="398">
        <v>4213</v>
      </c>
      <c r="B55" s="216" t="s">
        <v>110</v>
      </c>
      <c r="C55" s="217"/>
      <c r="D55" s="217"/>
      <c r="E55" s="218" t="e">
        <f t="shared" si="0"/>
        <v>#DIV/0!</v>
      </c>
      <c r="F55" s="284"/>
      <c r="G55" s="301"/>
      <c r="H55" s="301"/>
      <c r="I55" s="301"/>
    </row>
    <row r="56" spans="1:9" s="31" customFormat="1" ht="12" hidden="1">
      <c r="A56" s="398">
        <v>4215</v>
      </c>
      <c r="B56" s="216" t="s">
        <v>1134</v>
      </c>
      <c r="C56" s="217"/>
      <c r="D56" s="217"/>
      <c r="E56" s="218" t="e">
        <f t="shared" si="0"/>
        <v>#DIV/0!</v>
      </c>
      <c r="F56" s="284"/>
      <c r="G56" s="301"/>
      <c r="H56" s="301"/>
      <c r="I56" s="301"/>
    </row>
    <row r="57" spans="1:9" s="31" customFormat="1" ht="12" hidden="1">
      <c r="A57" s="398">
        <v>4217</v>
      </c>
      <c r="B57" s="216" t="s">
        <v>1135</v>
      </c>
      <c r="C57" s="217"/>
      <c r="D57" s="217"/>
      <c r="E57" s="218" t="e">
        <f t="shared" si="0"/>
        <v>#DIV/0!</v>
      </c>
      <c r="F57" s="284"/>
      <c r="G57" s="301"/>
      <c r="H57" s="301"/>
      <c r="I57" s="301"/>
    </row>
    <row r="58" spans="1:9" s="31" customFormat="1" ht="12" hidden="1">
      <c r="A58" s="398">
        <v>4219</v>
      </c>
      <c r="B58" s="216" t="s">
        <v>111</v>
      </c>
      <c r="C58" s="217"/>
      <c r="D58" s="217"/>
      <c r="E58" s="218" t="e">
        <f t="shared" si="0"/>
        <v>#DIV/0!</v>
      </c>
      <c r="F58" s="284"/>
      <c r="G58" s="301"/>
      <c r="H58" s="301"/>
      <c r="I58" s="301"/>
    </row>
    <row r="59" spans="1:9" s="31" customFormat="1" ht="12" hidden="1">
      <c r="A59" s="398">
        <v>4221</v>
      </c>
      <c r="B59" s="216" t="s">
        <v>1136</v>
      </c>
      <c r="C59" s="217"/>
      <c r="D59" s="217"/>
      <c r="E59" s="218" t="e">
        <f t="shared" si="0"/>
        <v>#DIV/0!</v>
      </c>
      <c r="F59" s="284"/>
      <c r="G59" s="301"/>
      <c r="H59" s="301"/>
      <c r="I59" s="301"/>
    </row>
    <row r="60" spans="1:9" s="31" customFormat="1" ht="12" hidden="1">
      <c r="A60" s="398">
        <v>4223</v>
      </c>
      <c r="B60" s="216" t="s">
        <v>1137</v>
      </c>
      <c r="C60" s="217"/>
      <c r="D60" s="217"/>
      <c r="E60" s="218" t="e">
        <f t="shared" si="0"/>
        <v>#DIV/0!</v>
      </c>
      <c r="F60" s="284"/>
      <c r="G60" s="301"/>
      <c r="H60" s="301"/>
      <c r="I60" s="301"/>
    </row>
    <row r="61" spans="1:9" s="31" customFormat="1" ht="12">
      <c r="A61" s="398">
        <v>4225</v>
      </c>
      <c r="B61" s="216" t="s">
        <v>508</v>
      </c>
      <c r="C61" s="217"/>
      <c r="D61" s="217">
        <v>325</v>
      </c>
      <c r="E61" s="218">
        <v>1</v>
      </c>
      <c r="F61" s="284"/>
      <c r="G61" s="301"/>
      <c r="H61" s="301"/>
      <c r="I61" s="301"/>
    </row>
    <row r="62" spans="1:9" s="31" customFormat="1" ht="12" hidden="1">
      <c r="A62" s="398">
        <v>4227</v>
      </c>
      <c r="B62" s="216" t="s">
        <v>1138</v>
      </c>
      <c r="C62" s="217"/>
      <c r="D62" s="217"/>
      <c r="E62" s="218" t="e">
        <f t="shared" si="0"/>
        <v>#DIV/0!</v>
      </c>
      <c r="F62" s="284"/>
      <c r="G62" s="301"/>
      <c r="H62" s="301"/>
      <c r="I62" s="301"/>
    </row>
    <row r="63" spans="1:9" s="31" customFormat="1" ht="12">
      <c r="A63" s="410">
        <v>4223</v>
      </c>
      <c r="B63" s="411" t="s">
        <v>1250</v>
      </c>
      <c r="C63" s="217">
        <v>12700</v>
      </c>
      <c r="D63" s="217">
        <v>12700</v>
      </c>
      <c r="E63" s="218">
        <f t="shared" si="0"/>
        <v>1</v>
      </c>
      <c r="F63" s="528"/>
      <c r="G63" s="301"/>
      <c r="H63" s="301"/>
      <c r="I63" s="301"/>
    </row>
    <row r="64" spans="1:9" s="31" customFormat="1" ht="12">
      <c r="A64" s="410">
        <v>4228</v>
      </c>
      <c r="B64" s="411" t="s">
        <v>1268</v>
      </c>
      <c r="C64" s="217">
        <v>5000</v>
      </c>
      <c r="D64" s="217">
        <v>5000</v>
      </c>
      <c r="E64" s="218">
        <f t="shared" si="0"/>
        <v>1</v>
      </c>
      <c r="F64" s="528"/>
      <c r="G64" s="301"/>
      <c r="H64" s="301"/>
      <c r="I64" s="301"/>
    </row>
    <row r="65" spans="1:9" s="31" customFormat="1" ht="12">
      <c r="A65" s="410">
        <v>4230</v>
      </c>
      <c r="B65" s="411" t="s">
        <v>438</v>
      </c>
      <c r="C65" s="217">
        <v>36000</v>
      </c>
      <c r="D65" s="217">
        <f>36000+3000</f>
        <v>39000</v>
      </c>
      <c r="E65" s="218">
        <f t="shared" si="0"/>
        <v>1.0833333333333333</v>
      </c>
      <c r="F65" s="528"/>
      <c r="G65" s="301"/>
      <c r="H65" s="301"/>
      <c r="I65" s="301"/>
    </row>
    <row r="66" spans="1:9" s="31" customFormat="1" ht="12">
      <c r="A66" s="410">
        <v>4264</v>
      </c>
      <c r="B66" s="411" t="s">
        <v>1375</v>
      </c>
      <c r="C66" s="217"/>
      <c r="D66" s="217">
        <v>20000</v>
      </c>
      <c r="E66" s="218">
        <v>1</v>
      </c>
      <c r="F66" s="528"/>
      <c r="G66" s="301"/>
      <c r="H66" s="301"/>
      <c r="I66" s="301"/>
    </row>
    <row r="67" spans="1:9" s="31" customFormat="1" ht="12">
      <c r="A67" s="410">
        <v>4265</v>
      </c>
      <c r="B67" s="411" t="s">
        <v>420</v>
      </c>
      <c r="C67" s="217"/>
      <c r="D67" s="217">
        <f>D68+D69</f>
        <v>211</v>
      </c>
      <c r="E67" s="218"/>
      <c r="F67" s="616" t="s">
        <v>468</v>
      </c>
      <c r="G67" s="301"/>
      <c r="H67" s="301"/>
      <c r="I67" s="301"/>
    </row>
    <row r="68" spans="1:9" s="31" customFormat="1" ht="12">
      <c r="A68" s="410"/>
      <c r="B68" s="813" t="s">
        <v>1122</v>
      </c>
      <c r="C68" s="1080"/>
      <c r="D68" s="1080"/>
      <c r="E68" s="218"/>
      <c r="F68" s="616"/>
      <c r="G68" s="301"/>
      <c r="H68" s="301"/>
      <c r="I68" s="301"/>
    </row>
    <row r="69" spans="1:9" s="31" customFormat="1" ht="12">
      <c r="A69" s="410"/>
      <c r="B69" s="813" t="s">
        <v>215</v>
      </c>
      <c r="C69" s="1080"/>
      <c r="D69" s="1080">
        <v>211</v>
      </c>
      <c r="E69" s="920">
        <v>1</v>
      </c>
      <c r="F69" s="616"/>
      <c r="G69" s="301"/>
      <c r="H69" s="301"/>
      <c r="I69" s="301"/>
    </row>
    <row r="70" spans="1:9" s="31" customFormat="1" ht="12">
      <c r="A70" s="526">
        <v>4200</v>
      </c>
      <c r="B70" s="527" t="s">
        <v>424</v>
      </c>
      <c r="C70" s="1094">
        <f>SUM(C63:C69)</f>
        <v>53700</v>
      </c>
      <c r="D70" s="1094">
        <f>SUM(D61:D69)-D69-D68</f>
        <v>77236</v>
      </c>
      <c r="E70" s="922">
        <f t="shared" si="0"/>
        <v>1.4382867783985103</v>
      </c>
      <c r="F70" s="403"/>
      <c r="G70" s="301"/>
      <c r="H70" s="301"/>
      <c r="I70" s="301"/>
    </row>
    <row r="71" spans="1:9" s="34" customFormat="1" ht="12">
      <c r="A71" s="68"/>
      <c r="B71" s="402" t="s">
        <v>234</v>
      </c>
      <c r="C71" s="217"/>
      <c r="D71" s="217"/>
      <c r="E71" s="218"/>
      <c r="F71" s="405"/>
      <c r="G71" s="1088"/>
      <c r="H71" s="1088"/>
      <c r="I71" s="1088"/>
    </row>
    <row r="72" spans="1:9" s="34" customFormat="1" ht="12">
      <c r="A72" s="398">
        <v>4311</v>
      </c>
      <c r="B72" s="216" t="s">
        <v>1264</v>
      </c>
      <c r="C72" s="217">
        <v>20000</v>
      </c>
      <c r="D72" s="217">
        <v>20000</v>
      </c>
      <c r="E72" s="218">
        <f t="shared" si="0"/>
        <v>1</v>
      </c>
      <c r="F72" s="934"/>
      <c r="G72" s="1088"/>
      <c r="H72" s="1088"/>
      <c r="I72" s="1088"/>
    </row>
    <row r="73" spans="1:9" s="34" customFormat="1" ht="12">
      <c r="A73" s="398">
        <v>4312</v>
      </c>
      <c r="B73" s="216" t="s">
        <v>1266</v>
      </c>
      <c r="C73" s="217">
        <v>10000</v>
      </c>
      <c r="D73" s="217">
        <v>10000</v>
      </c>
      <c r="E73" s="218">
        <f t="shared" si="0"/>
        <v>1</v>
      </c>
      <c r="F73" s="934"/>
      <c r="G73" s="1088"/>
      <c r="H73" s="1088"/>
      <c r="I73" s="1088"/>
    </row>
    <row r="74" spans="1:9" s="34" customFormat="1" ht="12">
      <c r="A74" s="398">
        <v>4313</v>
      </c>
      <c r="B74" s="216" t="s">
        <v>1318</v>
      </c>
      <c r="C74" s="217">
        <v>8000</v>
      </c>
      <c r="D74" s="217">
        <v>8000</v>
      </c>
      <c r="E74" s="218">
        <f t="shared" si="0"/>
        <v>1</v>
      </c>
      <c r="F74" s="934"/>
      <c r="G74" s="1088"/>
      <c r="H74" s="1088"/>
      <c r="I74" s="1088"/>
    </row>
    <row r="75" spans="1:9" s="31" customFormat="1" ht="12">
      <c r="A75" s="281">
        <v>4323</v>
      </c>
      <c r="B75" s="219" t="s">
        <v>449</v>
      </c>
      <c r="C75" s="217">
        <v>125000</v>
      </c>
      <c r="D75" s="217">
        <f>125000+28640</f>
        <v>153640</v>
      </c>
      <c r="E75" s="218">
        <f t="shared" si="0"/>
        <v>1.22912</v>
      </c>
      <c r="F75" s="605" t="s">
        <v>487</v>
      </c>
      <c r="G75" s="301"/>
      <c r="H75" s="301"/>
      <c r="I75" s="301"/>
    </row>
    <row r="76" spans="1:9" s="31" customFormat="1" ht="12">
      <c r="A76" s="281">
        <v>4324</v>
      </c>
      <c r="B76" s="219" t="s">
        <v>515</v>
      </c>
      <c r="C76" s="217">
        <f>SUM(C77:C79)</f>
        <v>3041482</v>
      </c>
      <c r="D76" s="217">
        <f>SUM(D77:D79)</f>
        <v>3041482</v>
      </c>
      <c r="E76" s="218">
        <f t="shared" si="0"/>
        <v>1</v>
      </c>
      <c r="F76" s="605"/>
      <c r="G76" s="301"/>
      <c r="H76" s="301"/>
      <c r="I76" s="301"/>
    </row>
    <row r="77" spans="1:9" s="31" customFormat="1" ht="12">
      <c r="A77" s="281"/>
      <c r="B77" s="614" t="s">
        <v>267</v>
      </c>
      <c r="C77" s="1080">
        <v>19052</v>
      </c>
      <c r="D77" s="1080">
        <f>19052+25767</f>
        <v>44819</v>
      </c>
      <c r="E77" s="925">
        <f t="shared" si="0"/>
        <v>2.3524564350199455</v>
      </c>
      <c r="F77" s="605"/>
      <c r="G77" s="301"/>
      <c r="H77" s="301"/>
      <c r="I77" s="301"/>
    </row>
    <row r="78" spans="1:9" s="31" customFormat="1" ht="12">
      <c r="A78" s="281"/>
      <c r="B78" s="813" t="s">
        <v>215</v>
      </c>
      <c r="C78" s="1080">
        <v>618149</v>
      </c>
      <c r="D78" s="1080">
        <f>618149-25767</f>
        <v>592382</v>
      </c>
      <c r="E78" s="925">
        <f t="shared" si="0"/>
        <v>0.9583158752986739</v>
      </c>
      <c r="F78" s="605"/>
      <c r="G78" s="301"/>
      <c r="H78" s="301"/>
      <c r="I78" s="301"/>
    </row>
    <row r="79" spans="1:9" s="31" customFormat="1" ht="12">
      <c r="A79" s="281"/>
      <c r="B79" s="614" t="s">
        <v>433</v>
      </c>
      <c r="C79" s="1080">
        <v>2404281</v>
      </c>
      <c r="D79" s="1080">
        <v>2404281</v>
      </c>
      <c r="E79" s="925">
        <f t="shared" si="0"/>
        <v>1</v>
      </c>
      <c r="F79" s="605"/>
      <c r="G79" s="301"/>
      <c r="H79" s="301"/>
      <c r="I79" s="301"/>
    </row>
    <row r="80" spans="1:9" s="31" customFormat="1" ht="12" hidden="1">
      <c r="A80" s="281">
        <v>4325</v>
      </c>
      <c r="B80" s="216" t="s">
        <v>1139</v>
      </c>
      <c r="C80" s="217"/>
      <c r="D80" s="217"/>
      <c r="E80" s="218" t="e">
        <f aca="true" t="shared" si="1" ref="E80:E97">D80/C80</f>
        <v>#DIV/0!</v>
      </c>
      <c r="F80" s="605"/>
      <c r="G80" s="301"/>
      <c r="H80" s="301"/>
      <c r="I80" s="301"/>
    </row>
    <row r="81" spans="1:9" s="31" customFormat="1" ht="12" hidden="1">
      <c r="A81" s="281">
        <v>4326</v>
      </c>
      <c r="B81" s="216" t="s">
        <v>1140</v>
      </c>
      <c r="C81" s="217"/>
      <c r="D81" s="217"/>
      <c r="E81" s="218" t="e">
        <f t="shared" si="1"/>
        <v>#DIV/0!</v>
      </c>
      <c r="F81" s="605"/>
      <c r="G81" s="301"/>
      <c r="H81" s="301"/>
      <c r="I81" s="301"/>
    </row>
    <row r="82" spans="1:9" s="31" customFormat="1" ht="12" hidden="1">
      <c r="A82" s="281">
        <v>4327</v>
      </c>
      <c r="B82" s="216" t="s">
        <v>1141</v>
      </c>
      <c r="C82" s="217"/>
      <c r="D82" s="217"/>
      <c r="E82" s="218" t="e">
        <f t="shared" si="1"/>
        <v>#DIV/0!</v>
      </c>
      <c r="F82" s="605"/>
      <c r="G82" s="301"/>
      <c r="H82" s="301"/>
      <c r="I82" s="301"/>
    </row>
    <row r="83" spans="1:9" s="31" customFormat="1" ht="12" hidden="1">
      <c r="A83" s="281">
        <v>4328</v>
      </c>
      <c r="B83" s="216" t="s">
        <v>1142</v>
      </c>
      <c r="C83" s="217"/>
      <c r="D83" s="217"/>
      <c r="E83" s="920" t="e">
        <f t="shared" si="1"/>
        <v>#DIV/0!</v>
      </c>
      <c r="F83" s="605"/>
      <c r="G83" s="301"/>
      <c r="H83" s="301"/>
      <c r="I83" s="301"/>
    </row>
    <row r="84" spans="1:9" s="34" customFormat="1" ht="12">
      <c r="A84" s="395">
        <v>4300</v>
      </c>
      <c r="B84" s="409" t="s">
        <v>235</v>
      </c>
      <c r="C84" s="1095">
        <f>SUM(C72:C76)+C80+C81+C82+C83</f>
        <v>3204482</v>
      </c>
      <c r="D84" s="1095">
        <f>SUM(D72:D76)+D80+D81+D82+D83</f>
        <v>3233122</v>
      </c>
      <c r="E84" s="922">
        <f t="shared" si="1"/>
        <v>1.0089374819393586</v>
      </c>
      <c r="F84" s="343"/>
      <c r="G84" s="1088"/>
      <c r="H84" s="1088"/>
      <c r="I84" s="1088"/>
    </row>
    <row r="85" spans="1:9" s="34" customFormat="1" ht="16.5" customHeight="1">
      <c r="A85" s="395"/>
      <c r="B85" s="394" t="s">
        <v>237</v>
      </c>
      <c r="C85" s="1095">
        <f>SUM(C84+C70+C52+C20+C18)</f>
        <v>4709108</v>
      </c>
      <c r="D85" s="1095">
        <f>SUM(D84+D70+D52+D20+D18)</f>
        <v>6421612</v>
      </c>
      <c r="E85" s="922">
        <f t="shared" si="1"/>
        <v>1.3636578307399194</v>
      </c>
      <c r="F85" s="343"/>
      <c r="G85" s="1088"/>
      <c r="H85" s="1088"/>
      <c r="I85" s="1088"/>
    </row>
    <row r="86" spans="1:9" s="34" customFormat="1" ht="12">
      <c r="A86" s="413"/>
      <c r="B86" s="414" t="s">
        <v>56</v>
      </c>
      <c r="C86" s="397"/>
      <c r="D86" s="397"/>
      <c r="E86" s="218"/>
      <c r="F86" s="405"/>
      <c r="G86" s="1088"/>
      <c r="H86" s="1088"/>
      <c r="I86" s="1088"/>
    </row>
    <row r="87" spans="1:9" s="34" customFormat="1" ht="11.25" customHeight="1">
      <c r="A87" s="413"/>
      <c r="B87" s="217" t="s">
        <v>251</v>
      </c>
      <c r="C87" s="1086"/>
      <c r="D87" s="1086"/>
      <c r="E87" s="218"/>
      <c r="F87" s="405"/>
      <c r="G87" s="1088"/>
      <c r="H87" s="1088"/>
      <c r="I87" s="1088"/>
    </row>
    <row r="88" spans="1:9" s="34" customFormat="1" ht="9.75" customHeight="1">
      <c r="A88" s="413"/>
      <c r="B88" s="217" t="s">
        <v>24</v>
      </c>
      <c r="C88" s="1086"/>
      <c r="D88" s="1086"/>
      <c r="E88" s="218"/>
      <c r="F88" s="405"/>
      <c r="G88" s="1088"/>
      <c r="H88" s="1088"/>
      <c r="I88" s="1088"/>
    </row>
    <row r="89" spans="1:9" s="31" customFormat="1" ht="12">
      <c r="A89" s="413"/>
      <c r="B89" s="415" t="s">
        <v>261</v>
      </c>
      <c r="C89" s="1086">
        <f>C26+C31+C44+C61+C77</f>
        <v>29742</v>
      </c>
      <c r="D89" s="1086">
        <f>D26+D31+D44+D61+D77+D33+D50</f>
        <v>59007</v>
      </c>
      <c r="E89" s="218">
        <f t="shared" si="1"/>
        <v>1.9839620738349808</v>
      </c>
      <c r="F89" s="284"/>
      <c r="G89" s="301"/>
      <c r="H89" s="301"/>
      <c r="I89" s="301"/>
    </row>
    <row r="90" spans="1:6" ht="12" customHeight="1">
      <c r="A90" s="215"/>
      <c r="B90" s="415" t="s">
        <v>259</v>
      </c>
      <c r="C90" s="217"/>
      <c r="D90" s="217"/>
      <c r="E90" s="218"/>
      <c r="F90" s="284"/>
    </row>
    <row r="91" spans="1:6" ht="12" customHeight="1">
      <c r="A91" s="215"/>
      <c r="B91" s="416" t="s">
        <v>47</v>
      </c>
      <c r="C91" s="416">
        <f>SUM(C87:C90)</f>
        <v>29742</v>
      </c>
      <c r="D91" s="416">
        <f>SUM(D87:D90)</f>
        <v>59007</v>
      </c>
      <c r="E91" s="923">
        <f t="shared" si="1"/>
        <v>1.9839620738349808</v>
      </c>
      <c r="F91" s="284"/>
    </row>
    <row r="92" spans="1:6" ht="12" customHeight="1">
      <c r="A92" s="215"/>
      <c r="B92" s="417" t="s">
        <v>57</v>
      </c>
      <c r="C92" s="1096"/>
      <c r="D92" s="1096"/>
      <c r="E92" s="218"/>
      <c r="F92" s="284"/>
    </row>
    <row r="93" spans="1:6" ht="12" customHeight="1">
      <c r="A93" s="215"/>
      <c r="B93" s="217" t="s">
        <v>217</v>
      </c>
      <c r="C93" s="217">
        <f>C69+C78+C27</f>
        <v>618149</v>
      </c>
      <c r="D93" s="217">
        <f>D69+D78+D27+D24</f>
        <v>669593</v>
      </c>
      <c r="E93" s="218">
        <f t="shared" si="1"/>
        <v>1.0832226534379252</v>
      </c>
      <c r="F93" s="284"/>
    </row>
    <row r="94" spans="1:6" ht="12">
      <c r="A94" s="215"/>
      <c r="B94" s="415" t="s">
        <v>218</v>
      </c>
      <c r="C94" s="217">
        <f>SUM(C18+C20+C52+C70+C84)-C87-C88-C89-C90-C93-C95</f>
        <v>4055217</v>
      </c>
      <c r="D94" s="217">
        <f>SUM(D18+D20+D52+D70+D84)-D87-D88-D89-D90-D93-D95</f>
        <v>5669346</v>
      </c>
      <c r="E94" s="218">
        <f t="shared" si="1"/>
        <v>1.3980376389228986</v>
      </c>
      <c r="F94" s="284"/>
    </row>
    <row r="95" spans="1:6" ht="12">
      <c r="A95" s="215"/>
      <c r="B95" s="415" t="s">
        <v>287</v>
      </c>
      <c r="C95" s="217">
        <f>SUM(C46)</f>
        <v>6000</v>
      </c>
      <c r="D95" s="217">
        <f>SUM(D46)</f>
        <v>23666</v>
      </c>
      <c r="E95" s="218">
        <f t="shared" si="1"/>
        <v>3.9443333333333332</v>
      </c>
      <c r="F95" s="284"/>
    </row>
    <row r="96" spans="1:6" ht="12">
      <c r="A96" s="215"/>
      <c r="B96" s="416" t="s">
        <v>53</v>
      </c>
      <c r="C96" s="416">
        <f aca="true" t="shared" si="2" ref="C96">SUM(C93:C95)</f>
        <v>4679366</v>
      </c>
      <c r="D96" s="416">
        <f>SUM(D93:D95)</f>
        <v>6362605</v>
      </c>
      <c r="E96" s="923">
        <f t="shared" si="1"/>
        <v>1.3597151836381254</v>
      </c>
      <c r="F96" s="284"/>
    </row>
    <row r="97" spans="1:6" ht="12" customHeight="1">
      <c r="A97" s="418"/>
      <c r="B97" s="412" t="s">
        <v>94</v>
      </c>
      <c r="C97" s="416">
        <f aca="true" t="shared" si="3" ref="C97">SUM(C91+C96)</f>
        <v>4709108</v>
      </c>
      <c r="D97" s="416">
        <f>SUM(D91+D96)</f>
        <v>6421612</v>
      </c>
      <c r="E97" s="923">
        <f t="shared" si="1"/>
        <v>1.3636578307399194</v>
      </c>
      <c r="F97" s="282"/>
    </row>
    <row r="98" spans="1:5" ht="12">
      <c r="A98" s="298"/>
      <c r="C98" s="1097"/>
      <c r="D98" s="1097"/>
      <c r="E98" s="1098"/>
    </row>
    <row r="99" spans="3:4" ht="12">
      <c r="C99" s="1099"/>
      <c r="D99" s="1099"/>
    </row>
  </sheetData>
  <mergeCells count="5">
    <mergeCell ref="A1:F1"/>
    <mergeCell ref="A2:F2"/>
    <mergeCell ref="E4:E6"/>
    <mergeCell ref="C4:C6"/>
    <mergeCell ref="D4:D6"/>
  </mergeCells>
  <printOptions horizontalCentered="1"/>
  <pageMargins left="0" right="0" top="0.1968503937007874" bottom="0.1968503937007874" header="0.11811023622047245" footer="0"/>
  <pageSetup firstPageNumber="36" useFirstPageNumber="1" horizontalDpi="600" verticalDpi="600" orientation="landscape" paperSize="9" scale="54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Zeros="0" workbookViewId="0" topLeftCell="A39">
      <selection activeCell="D26" sqref="D26"/>
    </sheetView>
  </sheetViews>
  <sheetFormatPr defaultColWidth="9.125" defaultRowHeight="12.75"/>
  <cols>
    <col min="1" max="1" width="6.125" style="264" customWidth="1"/>
    <col min="2" max="2" width="52.00390625" style="264" customWidth="1"/>
    <col min="3" max="4" width="12.375" style="628" customWidth="1"/>
    <col min="5" max="5" width="10.625" style="1084" customWidth="1"/>
    <col min="6" max="6" width="44.75390625" style="264" customWidth="1"/>
    <col min="7" max="16384" width="9.125" style="38" customWidth="1"/>
  </cols>
  <sheetData>
    <row r="1" spans="1:6" s="36" customFormat="1" ht="12.75">
      <c r="A1" s="1267" t="s">
        <v>126</v>
      </c>
      <c r="B1" s="1268"/>
      <c r="C1" s="1268"/>
      <c r="D1" s="1268"/>
      <c r="E1" s="1268"/>
      <c r="F1" s="1268"/>
    </row>
    <row r="2" spans="1:6" s="36" customFormat="1" ht="12.75">
      <c r="A2" s="1255" t="s">
        <v>1192</v>
      </c>
      <c r="B2" s="1256"/>
      <c r="C2" s="1256"/>
      <c r="D2" s="1256"/>
      <c r="E2" s="1256"/>
      <c r="F2" s="1256"/>
    </row>
    <row r="3" spans="1:6" s="36" customFormat="1" ht="9.75" customHeight="1">
      <c r="A3" s="1073"/>
      <c r="B3" s="1073"/>
      <c r="C3" s="420"/>
      <c r="D3" s="420"/>
      <c r="E3" s="421"/>
      <c r="F3" s="269"/>
    </row>
    <row r="4" spans="1:6" s="36" customFormat="1" ht="12.75">
      <c r="A4" s="419"/>
      <c r="B4" s="419"/>
      <c r="C4" s="420"/>
      <c r="D4" s="420"/>
      <c r="E4" s="421"/>
      <c r="F4" s="300" t="s">
        <v>154</v>
      </c>
    </row>
    <row r="5" spans="1:6" ht="12" customHeight="1">
      <c r="A5" s="377"/>
      <c r="B5" s="387"/>
      <c r="C5" s="1214" t="s">
        <v>1320</v>
      </c>
      <c r="D5" s="1214" t="s">
        <v>1327</v>
      </c>
      <c r="E5" s="1269" t="s">
        <v>1185</v>
      </c>
      <c r="F5" s="302" t="s">
        <v>481</v>
      </c>
    </row>
    <row r="6" spans="1:6" ht="12" customHeight="1">
      <c r="A6" s="68" t="s">
        <v>247</v>
      </c>
      <c r="B6" s="389" t="s">
        <v>121</v>
      </c>
      <c r="C6" s="1259"/>
      <c r="D6" s="1259"/>
      <c r="E6" s="1270"/>
      <c r="F6" s="68" t="s">
        <v>122</v>
      </c>
    </row>
    <row r="7" spans="1:6" s="36" customFormat="1" ht="12.75" customHeight="1" thickBot="1">
      <c r="A7" s="68"/>
      <c r="B7" s="289"/>
      <c r="C7" s="1260"/>
      <c r="D7" s="1260"/>
      <c r="E7" s="1271"/>
      <c r="F7" s="289"/>
    </row>
    <row r="8" spans="1:6" s="36" customFormat="1" ht="12.75">
      <c r="A8" s="290" t="s">
        <v>139</v>
      </c>
      <c r="B8" s="290" t="s">
        <v>140</v>
      </c>
      <c r="C8" s="302" t="s">
        <v>141</v>
      </c>
      <c r="D8" s="302" t="s">
        <v>522</v>
      </c>
      <c r="E8" s="302" t="s">
        <v>523</v>
      </c>
      <c r="F8" s="302" t="s">
        <v>539</v>
      </c>
    </row>
    <row r="9" spans="1:6" s="36" customFormat="1" ht="12.75">
      <c r="A9" s="347"/>
      <c r="B9" s="422" t="s">
        <v>239</v>
      </c>
      <c r="C9" s="307"/>
      <c r="D9" s="307"/>
      <c r="E9" s="380"/>
      <c r="F9" s="343"/>
    </row>
    <row r="10" spans="1:6" ht="12.75">
      <c r="A10" s="68"/>
      <c r="B10" s="396" t="s">
        <v>226</v>
      </c>
      <c r="C10" s="1074"/>
      <c r="D10" s="1074"/>
      <c r="E10" s="423"/>
      <c r="F10" s="284"/>
    </row>
    <row r="11" spans="1:6" ht="12.75">
      <c r="A11" s="398">
        <v>5011</v>
      </c>
      <c r="B11" s="926" t="s">
        <v>1206</v>
      </c>
      <c r="C11" s="415">
        <v>65000</v>
      </c>
      <c r="D11" s="415">
        <v>65000</v>
      </c>
      <c r="E11" s="423">
        <f>D11/C11</f>
        <v>1</v>
      </c>
      <c r="F11" s="284"/>
    </row>
    <row r="12" spans="1:6" ht="12.75">
      <c r="A12" s="398">
        <v>5012</v>
      </c>
      <c r="B12" s="926" t="s">
        <v>1291</v>
      </c>
      <c r="C12" s="415">
        <v>1000</v>
      </c>
      <c r="D12" s="415">
        <v>1000</v>
      </c>
      <c r="E12" s="423">
        <f aca="true" t="shared" si="0" ref="E12:E58">D12/C12</f>
        <v>1</v>
      </c>
      <c r="F12" s="284"/>
    </row>
    <row r="13" spans="1:6" ht="12.75">
      <c r="A13" s="325">
        <v>5013</v>
      </c>
      <c r="B13" s="486" t="s">
        <v>446</v>
      </c>
      <c r="C13" s="1075">
        <v>25000</v>
      </c>
      <c r="D13" s="1075">
        <f>25000+25000</f>
        <v>50000</v>
      </c>
      <c r="E13" s="426">
        <f t="shared" si="0"/>
        <v>2</v>
      </c>
      <c r="F13" s="281" t="s">
        <v>498</v>
      </c>
    </row>
    <row r="14" spans="1:6" ht="12.75">
      <c r="A14" s="325">
        <v>5014</v>
      </c>
      <c r="B14" s="486" t="s">
        <v>448</v>
      </c>
      <c r="C14" s="1075">
        <v>10000</v>
      </c>
      <c r="D14" s="1075">
        <f>10000+10000+10000</f>
        <v>30000</v>
      </c>
      <c r="E14" s="426">
        <f t="shared" si="0"/>
        <v>3</v>
      </c>
      <c r="F14" s="505" t="s">
        <v>495</v>
      </c>
    </row>
    <row r="15" spans="1:6" ht="12.75">
      <c r="A15" s="325">
        <v>5015</v>
      </c>
      <c r="B15" s="486" t="s">
        <v>1145</v>
      </c>
      <c r="C15" s="1075">
        <v>5000</v>
      </c>
      <c r="D15" s="1075">
        <f>5000+2802</f>
        <v>7802</v>
      </c>
      <c r="E15" s="426">
        <f t="shared" si="0"/>
        <v>1.5604</v>
      </c>
      <c r="F15" s="505" t="s">
        <v>495</v>
      </c>
    </row>
    <row r="16" spans="1:6" ht="12.75">
      <c r="A16" s="325">
        <v>5016</v>
      </c>
      <c r="B16" s="486" t="s">
        <v>530</v>
      </c>
      <c r="C16" s="1075">
        <v>30869</v>
      </c>
      <c r="D16" s="1075">
        <v>30869</v>
      </c>
      <c r="E16" s="426">
        <f t="shared" si="0"/>
        <v>1</v>
      </c>
      <c r="F16" s="1076" t="s">
        <v>480</v>
      </c>
    </row>
    <row r="17" spans="1:6" ht="12.75">
      <c r="A17" s="325">
        <v>5017</v>
      </c>
      <c r="B17" s="486" t="s">
        <v>477</v>
      </c>
      <c r="C17" s="1075">
        <v>45000</v>
      </c>
      <c r="D17" s="1075">
        <f>45000+45000</f>
        <v>90000</v>
      </c>
      <c r="E17" s="426">
        <f t="shared" si="0"/>
        <v>2</v>
      </c>
      <c r="F17" s="1076" t="s">
        <v>480</v>
      </c>
    </row>
    <row r="18" spans="1:6" ht="12.75">
      <c r="A18" s="325">
        <v>5018</v>
      </c>
      <c r="B18" s="486" t="s">
        <v>1123</v>
      </c>
      <c r="C18" s="1075">
        <v>25000</v>
      </c>
      <c r="D18" s="1075">
        <f>25000+1105</f>
        <v>26105</v>
      </c>
      <c r="E18" s="426">
        <f t="shared" si="0"/>
        <v>1.0442</v>
      </c>
      <c r="F18" s="1076"/>
    </row>
    <row r="19" spans="1:6" ht="12.75">
      <c r="A19" s="325">
        <v>5019</v>
      </c>
      <c r="B19" s="486" t="s">
        <v>1124</v>
      </c>
      <c r="C19" s="1075">
        <v>60000</v>
      </c>
      <c r="D19" s="1075">
        <f>60000+3111</f>
        <v>63111</v>
      </c>
      <c r="E19" s="889">
        <f t="shared" si="0"/>
        <v>1.05185</v>
      </c>
      <c r="F19" s="1076"/>
    </row>
    <row r="20" spans="1:6" ht="12.75">
      <c r="A20" s="347">
        <v>5010</v>
      </c>
      <c r="B20" s="485" t="s">
        <v>148</v>
      </c>
      <c r="C20" s="224">
        <f>SUM(C11:C19)</f>
        <v>266869</v>
      </c>
      <c r="D20" s="224">
        <f>SUM(D11:D19)</f>
        <v>363887</v>
      </c>
      <c r="E20" s="550">
        <f t="shared" si="0"/>
        <v>1.3635416627633783</v>
      </c>
      <c r="F20" s="67"/>
    </row>
    <row r="21" spans="1:6" s="36" customFormat="1" ht="12.75">
      <c r="A21" s="68"/>
      <c r="B21" s="409" t="s">
        <v>525</v>
      </c>
      <c r="C21" s="1077"/>
      <c r="D21" s="1077"/>
      <c r="E21" s="426"/>
      <c r="F21" s="405"/>
    </row>
    <row r="22" spans="1:6" s="36" customFormat="1" ht="12.75">
      <c r="A22" s="281">
        <v>5020</v>
      </c>
      <c r="B22" s="219" t="s">
        <v>1362</v>
      </c>
      <c r="C22" s="1077"/>
      <c r="D22" s="1077">
        <v>40000</v>
      </c>
      <c r="E22" s="426"/>
      <c r="F22" s="405"/>
    </row>
    <row r="23" spans="1:6" ht="12.75">
      <c r="A23" s="325">
        <v>5021</v>
      </c>
      <c r="B23" s="424" t="s">
        <v>12</v>
      </c>
      <c r="C23" s="1075"/>
      <c r="D23" s="1075">
        <v>3560</v>
      </c>
      <c r="E23" s="426">
        <v>1</v>
      </c>
      <c r="F23" s="611" t="s">
        <v>458</v>
      </c>
    </row>
    <row r="24" spans="1:6" ht="12.75">
      <c r="A24" s="325">
        <v>5022</v>
      </c>
      <c r="B24" s="424" t="s">
        <v>1262</v>
      </c>
      <c r="C24" s="1075">
        <v>20000</v>
      </c>
      <c r="D24" s="1075">
        <v>20000</v>
      </c>
      <c r="E24" s="426">
        <f t="shared" si="0"/>
        <v>1</v>
      </c>
      <c r="F24" s="611"/>
    </row>
    <row r="25" spans="1:6" ht="12.75">
      <c r="A25" s="325">
        <v>5023</v>
      </c>
      <c r="B25" s="424" t="s">
        <v>1363</v>
      </c>
      <c r="C25" s="1075"/>
      <c r="D25" s="1075">
        <f>465000-150000</f>
        <v>315000</v>
      </c>
      <c r="E25" s="426">
        <v>1</v>
      </c>
      <c r="F25" s="611"/>
    </row>
    <row r="26" spans="1:6" ht="12.75">
      <c r="A26" s="325">
        <v>5024</v>
      </c>
      <c r="B26" s="424" t="s">
        <v>1345</v>
      </c>
      <c r="C26" s="1075"/>
      <c r="D26" s="1075">
        <f>D27</f>
        <v>4660</v>
      </c>
      <c r="E26" s="426">
        <v>1</v>
      </c>
      <c r="F26" s="611"/>
    </row>
    <row r="27" spans="1:6" ht="12.75">
      <c r="A27" s="325"/>
      <c r="B27" s="958" t="s">
        <v>267</v>
      </c>
      <c r="C27" s="1075"/>
      <c r="D27" s="1078">
        <v>4660</v>
      </c>
      <c r="E27" s="426">
        <v>1</v>
      </c>
      <c r="F27" s="611"/>
    </row>
    <row r="28" spans="1:6" ht="12.75">
      <c r="A28" s="325">
        <v>5027</v>
      </c>
      <c r="B28" s="424" t="s">
        <v>431</v>
      </c>
      <c r="C28" s="1075"/>
      <c r="D28" s="1075">
        <v>4374</v>
      </c>
      <c r="E28" s="426">
        <v>1</v>
      </c>
      <c r="F28" s="284"/>
    </row>
    <row r="29" spans="1:6" ht="12.75">
      <c r="A29" s="325">
        <v>5028</v>
      </c>
      <c r="B29" s="476" t="s">
        <v>526</v>
      </c>
      <c r="C29" s="1075"/>
      <c r="D29" s="1075"/>
      <c r="E29" s="889"/>
      <c r="F29" s="284"/>
    </row>
    <row r="30" spans="1:6" s="36" customFormat="1" ht="12.75">
      <c r="A30" s="347">
        <v>5020</v>
      </c>
      <c r="B30" s="471" t="s">
        <v>148</v>
      </c>
      <c r="C30" s="224">
        <f>SUM(C24:C29)</f>
        <v>20000</v>
      </c>
      <c r="D30" s="224">
        <f>D22+D23+D24+D25+D26+D28</f>
        <v>387594</v>
      </c>
      <c r="E30" s="889">
        <f t="shared" si="0"/>
        <v>19.3797</v>
      </c>
      <c r="F30" s="403"/>
    </row>
    <row r="31" spans="1:6" s="36" customFormat="1" ht="12" customHeight="1">
      <c r="A31" s="68"/>
      <c r="B31" s="427" t="s">
        <v>445</v>
      </c>
      <c r="C31" s="1077"/>
      <c r="D31" s="1077"/>
      <c r="E31" s="426"/>
      <c r="F31" s="405"/>
    </row>
    <row r="32" spans="1:6" ht="12.75">
      <c r="A32" s="325">
        <v>5033</v>
      </c>
      <c r="B32" s="486" t="s">
        <v>21</v>
      </c>
      <c r="C32" s="1075">
        <v>19935</v>
      </c>
      <c r="D32" s="1075">
        <f>19935+65+3060</f>
        <v>23060</v>
      </c>
      <c r="E32" s="426">
        <f t="shared" si="0"/>
        <v>1.1567594682718836</v>
      </c>
      <c r="F32" s="1076" t="s">
        <v>496</v>
      </c>
    </row>
    <row r="33" spans="1:6" ht="12.75">
      <c r="A33" s="325">
        <v>5034</v>
      </c>
      <c r="B33" s="486" t="s">
        <v>1376</v>
      </c>
      <c r="C33" s="1075"/>
      <c r="D33" s="1075">
        <v>10000</v>
      </c>
      <c r="E33" s="426">
        <v>1</v>
      </c>
      <c r="F33" s="1076"/>
    </row>
    <row r="34" spans="1:6" ht="12" customHeight="1">
      <c r="A34" s="325">
        <v>5035</v>
      </c>
      <c r="B34" s="486" t="s">
        <v>430</v>
      </c>
      <c r="C34" s="1075"/>
      <c r="D34" s="1075"/>
      <c r="E34" s="889"/>
      <c r="F34" s="281" t="s">
        <v>499</v>
      </c>
    </row>
    <row r="35" spans="1:6" ht="12.75" hidden="1">
      <c r="A35" s="325">
        <v>5038</v>
      </c>
      <c r="B35" s="604" t="s">
        <v>473</v>
      </c>
      <c r="C35" s="1075"/>
      <c r="D35" s="1075"/>
      <c r="E35" s="426" t="e">
        <f t="shared" si="0"/>
        <v>#DIV/0!</v>
      </c>
      <c r="F35" s="428"/>
    </row>
    <row r="36" spans="1:6" ht="12.75" hidden="1">
      <c r="A36" s="325">
        <v>5037</v>
      </c>
      <c r="B36" s="604" t="s">
        <v>510</v>
      </c>
      <c r="C36" s="1075"/>
      <c r="D36" s="1075"/>
      <c r="E36" s="426" t="e">
        <f t="shared" si="0"/>
        <v>#DIV/0!</v>
      </c>
      <c r="F36" s="428"/>
    </row>
    <row r="37" spans="1:6" ht="12.75" hidden="1">
      <c r="A37" s="325">
        <v>5039</v>
      </c>
      <c r="B37" s="604" t="s">
        <v>509</v>
      </c>
      <c r="C37" s="1075"/>
      <c r="D37" s="1075"/>
      <c r="E37" s="426" t="e">
        <f t="shared" si="0"/>
        <v>#DIV/0!</v>
      </c>
      <c r="F37" s="428"/>
    </row>
    <row r="38" spans="1:6" ht="12.75" hidden="1">
      <c r="A38" s="325">
        <v>5049</v>
      </c>
      <c r="B38" s="424" t="s">
        <v>429</v>
      </c>
      <c r="C38" s="1075"/>
      <c r="D38" s="1075"/>
      <c r="E38" s="426" t="e">
        <f t="shared" si="0"/>
        <v>#DIV/0!</v>
      </c>
      <c r="F38" s="428"/>
    </row>
    <row r="39" spans="1:6" ht="12" customHeight="1">
      <c r="A39" s="347">
        <v>5050</v>
      </c>
      <c r="B39" s="425" t="s">
        <v>148</v>
      </c>
      <c r="C39" s="224">
        <f>SUM(C32:C38)</f>
        <v>19935</v>
      </c>
      <c r="D39" s="224">
        <f>SUM(D32:D38)</f>
        <v>33060</v>
      </c>
      <c r="E39" s="550">
        <f t="shared" si="0"/>
        <v>1.6583897667419112</v>
      </c>
      <c r="F39" s="403"/>
    </row>
    <row r="40" spans="1:6" ht="12" customHeight="1">
      <c r="A40" s="377"/>
      <c r="B40" s="477" t="s">
        <v>531</v>
      </c>
      <c r="C40" s="1079"/>
      <c r="D40" s="1079"/>
      <c r="E40" s="426"/>
      <c r="F40" s="478"/>
    </row>
    <row r="41" spans="1:6" ht="12" customHeight="1">
      <c r="A41" s="398">
        <v>5062</v>
      </c>
      <c r="B41" s="487" t="s">
        <v>351</v>
      </c>
      <c r="C41" s="217"/>
      <c r="D41" s="217">
        <f>28</f>
        <v>28</v>
      </c>
      <c r="E41" s="426"/>
      <c r="F41" s="488"/>
    </row>
    <row r="42" spans="1:6" ht="12" customHeight="1">
      <c r="A42" s="398"/>
      <c r="B42" s="810" t="s">
        <v>267</v>
      </c>
      <c r="C42" s="1080"/>
      <c r="D42" s="1080">
        <v>28</v>
      </c>
      <c r="E42" s="426"/>
      <c r="F42" s="488"/>
    </row>
    <row r="43" spans="1:6" ht="12" customHeight="1">
      <c r="A43" s="398"/>
      <c r="B43" s="810" t="s">
        <v>215</v>
      </c>
      <c r="C43" s="1080"/>
      <c r="D43" s="1080"/>
      <c r="E43" s="426"/>
      <c r="F43" s="488"/>
    </row>
    <row r="44" spans="1:6" ht="12" customHeight="1">
      <c r="A44" s="398">
        <v>5070</v>
      </c>
      <c r="B44" s="487" t="s">
        <v>532</v>
      </c>
      <c r="C44" s="217">
        <v>10950</v>
      </c>
      <c r="D44" s="217">
        <v>10950</v>
      </c>
      <c r="E44" s="889">
        <f t="shared" si="0"/>
        <v>1</v>
      </c>
      <c r="F44" s="488"/>
    </row>
    <row r="45" spans="1:6" ht="12" customHeight="1">
      <c r="A45" s="347">
        <v>5060</v>
      </c>
      <c r="B45" s="425" t="s">
        <v>148</v>
      </c>
      <c r="C45" s="224">
        <f>C41+C44</f>
        <v>10950</v>
      </c>
      <c r="D45" s="224">
        <f>D41+D44</f>
        <v>10978</v>
      </c>
      <c r="E45" s="544">
        <f t="shared" si="0"/>
        <v>1.0025570776255708</v>
      </c>
      <c r="F45" s="403"/>
    </row>
    <row r="46" spans="1:6" ht="15.75" customHeight="1">
      <c r="A46" s="276"/>
      <c r="B46" s="479" t="s">
        <v>239</v>
      </c>
      <c r="C46" s="226">
        <f>SUM(C39+C30+C20+C45)</f>
        <v>317754</v>
      </c>
      <c r="D46" s="226">
        <f>SUM(D39+D30+D20+D45)</f>
        <v>795519</v>
      </c>
      <c r="E46" s="550">
        <f t="shared" si="0"/>
        <v>2.5035687985045034</v>
      </c>
      <c r="F46" s="412"/>
    </row>
    <row r="47" spans="1:6" ht="12.75">
      <c r="A47" s="68"/>
      <c r="B47" s="414" t="s">
        <v>56</v>
      </c>
      <c r="C47" s="1079"/>
      <c r="D47" s="1079"/>
      <c r="E47" s="426"/>
      <c r="F47" s="284"/>
    </row>
    <row r="48" spans="1:6" ht="12.75">
      <c r="A48" s="68"/>
      <c r="B48" s="284" t="s">
        <v>95</v>
      </c>
      <c r="C48" s="217"/>
      <c r="D48" s="217"/>
      <c r="E48" s="426"/>
      <c r="F48" s="284"/>
    </row>
    <row r="49" spans="1:6" ht="12.75">
      <c r="A49" s="68"/>
      <c r="B49" s="415" t="s">
        <v>90</v>
      </c>
      <c r="C49" s="217"/>
      <c r="D49" s="217"/>
      <c r="E49" s="426"/>
      <c r="F49" s="284"/>
    </row>
    <row r="50" spans="1:6" ht="12" customHeight="1">
      <c r="A50" s="281"/>
      <c r="B50" s="415" t="s">
        <v>91</v>
      </c>
      <c r="C50" s="217">
        <f>C42</f>
        <v>0</v>
      </c>
      <c r="D50" s="217">
        <f>D27+D42</f>
        <v>4688</v>
      </c>
      <c r="E50" s="426"/>
      <c r="F50" s="284"/>
    </row>
    <row r="51" spans="1:6" ht="12" customHeight="1">
      <c r="A51" s="281"/>
      <c r="B51" s="415" t="s">
        <v>258</v>
      </c>
      <c r="C51" s="1081"/>
      <c r="D51" s="1081"/>
      <c r="E51" s="426"/>
      <c r="F51" s="284"/>
    </row>
    <row r="52" spans="1:6" ht="12" customHeight="1">
      <c r="A52" s="281"/>
      <c r="B52" s="416" t="s">
        <v>47</v>
      </c>
      <c r="C52" s="1082">
        <f aca="true" t="shared" si="1" ref="C52">SUM(C48:C51)</f>
        <v>0</v>
      </c>
      <c r="D52" s="1082">
        <f>SUM(D48:D51)</f>
        <v>4688</v>
      </c>
      <c r="E52" s="426"/>
      <c r="F52" s="284"/>
    </row>
    <row r="53" spans="1:6" ht="12" customHeight="1">
      <c r="A53" s="281"/>
      <c r="B53" s="417" t="s">
        <v>57</v>
      </c>
      <c r="C53" s="1081"/>
      <c r="D53" s="1081"/>
      <c r="E53" s="426"/>
      <c r="F53" s="284"/>
    </row>
    <row r="54" spans="1:6" ht="12" customHeight="1">
      <c r="A54" s="281"/>
      <c r="B54" s="415" t="s">
        <v>218</v>
      </c>
      <c r="C54" s="1081"/>
      <c r="D54" s="1081"/>
      <c r="E54" s="426"/>
      <c r="F54" s="284"/>
    </row>
    <row r="55" spans="1:6" ht="12" customHeight="1">
      <c r="A55" s="281"/>
      <c r="B55" s="415" t="s">
        <v>353</v>
      </c>
      <c r="C55" s="1081">
        <f>SUM(C39+C30+C20+C45)-C50-C48-C49-C56-C54</f>
        <v>317754</v>
      </c>
      <c r="D55" s="1081">
        <f>SUM(D39+D30+D20+D45)-D50-D48-D49-D56-D54</f>
        <v>790831</v>
      </c>
      <c r="E55" s="426">
        <f t="shared" si="0"/>
        <v>2.4888152470149865</v>
      </c>
      <c r="F55" s="284"/>
    </row>
    <row r="56" spans="1:6" ht="12" customHeight="1">
      <c r="A56" s="281"/>
      <c r="B56" s="415" t="s">
        <v>287</v>
      </c>
      <c r="C56" s="1081"/>
      <c r="D56" s="1081"/>
      <c r="E56" s="426"/>
      <c r="F56" s="284"/>
    </row>
    <row r="57" spans="1:6" ht="12" customHeight="1">
      <c r="A57" s="408"/>
      <c r="B57" s="225" t="s">
        <v>53</v>
      </c>
      <c r="C57" s="1083">
        <f aca="true" t="shared" si="2" ref="C57">SUM(C54:C56)</f>
        <v>317754</v>
      </c>
      <c r="D57" s="1083">
        <f>SUM(D54:D56)</f>
        <v>790831</v>
      </c>
      <c r="E57" s="889">
        <f t="shared" si="0"/>
        <v>2.4888152470149865</v>
      </c>
      <c r="F57" s="282"/>
    </row>
    <row r="58" spans="1:6" ht="12" customHeight="1">
      <c r="A58" s="429"/>
      <c r="B58" s="403" t="s">
        <v>94</v>
      </c>
      <c r="C58" s="1083">
        <f>SUM(C39+C30+C20+C45)</f>
        <v>317754</v>
      </c>
      <c r="D58" s="1083">
        <f>SUM(D39+D30+D20+D45)</f>
        <v>795519</v>
      </c>
      <c r="E58" s="550">
        <f t="shared" si="0"/>
        <v>2.5035687985045034</v>
      </c>
      <c r="F58" s="67"/>
    </row>
  </sheetData>
  <mergeCells count="5">
    <mergeCell ref="A2:F2"/>
    <mergeCell ref="A1:F1"/>
    <mergeCell ref="E5:E7"/>
    <mergeCell ref="C5:C7"/>
    <mergeCell ref="D5:D7"/>
  </mergeCells>
  <printOptions horizontalCentered="1"/>
  <pageMargins left="0" right="0" top="0.3937007874015748" bottom="0.07874015748031496" header="0.5118110236220472" footer="0"/>
  <pageSetup firstPageNumber="37" useFirstPageNumber="1" horizontalDpi="300" verticalDpi="300" orientation="landscape" paperSize="9" scale="70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2022-05-23T08:55:03Z</cp:lastPrinted>
  <dcterms:created xsi:type="dcterms:W3CDTF">2004-02-02T11:10:51Z</dcterms:created>
  <dcterms:modified xsi:type="dcterms:W3CDTF">2022-05-23T08:56:02Z</dcterms:modified>
  <cp:category/>
  <cp:version/>
  <cp:contentType/>
  <cp:contentStatus/>
</cp:coreProperties>
</file>