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360" yWindow="11592" windowWidth="11340" windowHeight="1308" tabRatio="652" firstSheet="6" activeTab="11"/>
  </bookViews>
  <sheets>
    <sheet name="1a.mell " sheetId="115" r:id="rId1"/>
    <sheet name="1b.mell " sheetId="136" r:id="rId2"/>
    <sheet name="1c.mell " sheetId="98" r:id="rId3"/>
    <sheet name="2.mell" sheetId="135" r:id="rId4"/>
    <sheet name="3a.m." sheetId="43" r:id="rId5"/>
    <sheet name="3b.m." sheetId="103" r:id="rId6"/>
    <sheet name="3c.m." sheetId="44" r:id="rId7"/>
    <sheet name="3d.m." sheetId="125" r:id="rId8"/>
    <sheet name="4.mell." sheetId="47" r:id="rId9"/>
    <sheet name="5.mell. " sheetId="48" r:id="rId10"/>
    <sheet name="6.mell. " sheetId="49" r:id="rId11"/>
    <sheet name="Munka1" sheetId="137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'[2]Bevétel'!$A$10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#REF!</definedName>
    <definedName name="cskimutatas_hivatal_szakmai_igenyek_Dim07">"="</definedName>
    <definedName name="cskimutatas_hivatal_szakmai_igenyek_Dim08">"="</definedName>
    <definedName name="cskimutatas_hivatal_szakmai_igenyek_Dim09">#REF!</definedName>
    <definedName name="cskimutatas_hivatal_szakmai_igenyek_Dim10">"="</definedName>
    <definedName name="cskimutatas_hivatal_szakmai_igenyek_Dim11">"="</definedName>
    <definedName name="cskimutatas_hivatal_szakmai_igenyekAnchor">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'[2]Kiadás'!$A$8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'[4]10intberuh-felúj'!$A$10</definedName>
    <definedName name="Hiv.felújtás">1</definedName>
    <definedName name="kkkkk">#REF!</definedName>
    <definedName name="kkkkkkk">#REF!</definedName>
    <definedName name="l">#REF!</definedName>
    <definedName name="nem">1</definedName>
    <definedName name="nnn">#REF!</definedName>
    <definedName name="_xlnm.Print_Area" localSheetId="0">'1a.mell '!$A$1:$J$52</definedName>
    <definedName name="_xlnm.Print_Area" localSheetId="1">'1b.mell '!$A$1:$I$289</definedName>
    <definedName name="_xlnm.Print_Area" localSheetId="2">'1c.mell '!$A$1:$H$155</definedName>
    <definedName name="_xlnm.Print_Area" localSheetId="3">'2.mell'!$A$1:$H$625</definedName>
    <definedName name="székház">#REF!</definedName>
    <definedName name="székházbérlők">#REF!</definedName>
    <definedName name="szintrehotzás">#REF!</definedName>
    <definedName name="szintrehozás2">#REF!</definedName>
    <definedName name="szintrhozás2">#REF!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'3a.m.'!$3:$7</definedName>
    <definedName name="_xlnm.Print_Titles" localSheetId="6">'3c.m.'!$4:$8</definedName>
    <definedName name="_xlnm.Print_Titles" localSheetId="7">'3d.m.'!$3:$7</definedName>
    <definedName name="_xlnm.Print_Titles" localSheetId="8">'4.mell.'!$3:$7</definedName>
    <definedName name="_xlnm.Print_Titles" localSheetId="9">'5.mell. '!$4:$8</definedName>
    <definedName name="_xlnm.Print_Titles" localSheetId="10">'6.mell. '!$7:$10</definedName>
  </definedNames>
  <calcPr calcId="152511"/>
</workbook>
</file>

<file path=xl/sharedStrings.xml><?xml version="1.0" encoding="utf-8"?>
<sst xmlns="http://schemas.openxmlformats.org/spreadsheetml/2006/main" count="2466" uniqueCount="669">
  <si>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</si>
  <si>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</si>
  <si>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</si>
  <si>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</si>
  <si>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</si>
  <si>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</si>
  <si>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</si>
  <si>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</si>
  <si>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</si>
  <si>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</si>
  <si>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</si>
  <si>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</si>
  <si>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</si>
  <si>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ebből: kiemelt rendezvények</t>
  </si>
  <si>
    <t xml:space="preserve">                 ebből: őrzés</t>
  </si>
  <si>
    <t>Horvát Nemzetiségi Önkormányzat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</si>
  <si>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</si>
  <si>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</si>
  <si>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</si>
  <si>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</si>
  <si>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</si>
  <si>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</si>
  <si>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 xml:space="preserve">Ferencvárosi Intézmény Üzemeltetési Központ 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</si>
  <si>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</si>
  <si>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</si>
  <si>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</si>
  <si>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</si>
  <si>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</si>
  <si>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 xml:space="preserve">    Építményadó                        </t>
  </si>
  <si>
    <t xml:space="preserve">    Telekadó                   </t>
  </si>
  <si>
    <t xml:space="preserve">Felhalmozási finanszírozási kiadások </t>
  </si>
  <si>
    <t xml:space="preserve">Működési finanszírozási kiadások </t>
  </si>
  <si>
    <t>FESZOFE Nonprofit Kft</t>
  </si>
  <si>
    <t>Idősügyi Koncepció</t>
  </si>
  <si>
    <t>Ifjusági és drogprevenciós feladatok</t>
  </si>
  <si>
    <t>Ferencvárosi naptár készítése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</si>
  <si>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</si>
  <si>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</si>
  <si>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</si>
  <si>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2"/>
      </rPr>
      <t>Egyéb működési célú kiadás</t>
    </r>
  </si>
  <si>
    <r>
      <t xml:space="preserve">Céltartalék - </t>
    </r>
    <r>
      <rPr>
        <i/>
        <sz val="9"/>
        <rFont val="Arial CE"/>
        <family val="2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</si>
  <si>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</si>
  <si>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</si>
  <si>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</si>
  <si>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</si>
  <si>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</si>
  <si>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</si>
  <si>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</si>
  <si>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</si>
  <si>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r>
      <t xml:space="preserve">Általános tartalék  - </t>
    </r>
    <r>
      <rPr>
        <sz val="10"/>
        <rFont val="Arial CE"/>
        <family val="2"/>
      </rPr>
      <t>egyéb működési célú kiadás</t>
    </r>
  </si>
  <si>
    <r>
      <t xml:space="preserve">Céltartalék - </t>
    </r>
    <r>
      <rPr>
        <sz val="10"/>
        <rFont val="Arial CE"/>
        <family val="2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</si>
  <si>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</si>
  <si>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</si>
  <si>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</si>
  <si>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</si>
  <si>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</si>
  <si>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</si>
  <si>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</si>
  <si>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</si>
  <si>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</si>
  <si>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</si>
  <si>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</si>
  <si>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</si>
  <si>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</si>
  <si>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</si>
  <si>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</si>
  <si>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</si>
  <si>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</si>
  <si>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</si>
  <si>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</si>
  <si>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</si>
  <si>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</si>
  <si>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</si>
  <si>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</si>
  <si>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</si>
  <si>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</si>
  <si>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</si>
  <si>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</si>
  <si>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</si>
  <si>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</si>
  <si>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</si>
  <si>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</si>
  <si>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</si>
  <si>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</si>
  <si>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</si>
  <si>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</si>
  <si>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</si>
  <si>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</si>
  <si>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</si>
  <si>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</si>
  <si>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</si>
  <si>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</si>
  <si>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</si>
  <si>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</si>
  <si>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</si>
  <si>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</si>
  <si>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</si>
  <si>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</si>
  <si>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</si>
  <si>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</si>
  <si>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</si>
  <si>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</si>
  <si>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</si>
  <si>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</si>
  <si>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</si>
  <si>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</si>
  <si>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</si>
  <si>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</si>
  <si>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</si>
  <si>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</si>
  <si>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</si>
  <si>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</si>
  <si>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</si>
  <si>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</si>
  <si>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</si>
  <si>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</si>
  <si>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</si>
  <si>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</si>
  <si>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</si>
  <si>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Csudafa Óvoda felújítás</t>
  </si>
  <si>
    <t>Kerekerdő Óvoda felújítás</t>
  </si>
  <si>
    <t>Nemzetiségi Önkormányzat működési kiadásai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</si>
  <si>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</si>
  <si>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</si>
  <si>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</si>
  <si>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</si>
  <si>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</si>
  <si>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</si>
  <si>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</si>
  <si>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</si>
  <si>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</si>
  <si>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</si>
  <si>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</si>
  <si>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</si>
  <si>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</si>
  <si>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</si>
  <si>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</si>
  <si>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</si>
  <si>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</si>
  <si>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</si>
  <si>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</si>
  <si>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</si>
  <si>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</si>
  <si>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</si>
  <si>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</si>
  <si>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</si>
  <si>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Környezetvédelmi Bizottság</t>
  </si>
  <si>
    <t xml:space="preserve">    Ellátottak pénzbeli juttatásai</t>
  </si>
  <si>
    <t>Megnevezés</t>
  </si>
  <si>
    <t>1.</t>
  </si>
  <si>
    <t>2.</t>
  </si>
  <si>
    <t>3.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</si>
  <si>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</si>
  <si>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</si>
  <si>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</si>
  <si>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</si>
  <si>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</si>
  <si>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</si>
  <si>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</si>
  <si>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</si>
  <si>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</si>
  <si>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</si>
  <si>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</si>
  <si>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</si>
  <si>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</si>
  <si>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</si>
  <si>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</si>
  <si>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</si>
  <si>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</si>
  <si>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</si>
  <si>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</si>
  <si>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</si>
  <si>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</si>
  <si>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</si>
  <si>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</si>
  <si>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</si>
  <si>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</si>
  <si>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</si>
  <si>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</si>
  <si>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</si>
  <si>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</si>
  <si>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</si>
  <si>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</si>
  <si>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</si>
  <si>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</si>
  <si>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</si>
  <si>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</si>
  <si>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</si>
  <si>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</si>
  <si>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</si>
  <si>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</si>
  <si>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</si>
  <si>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</si>
  <si>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</si>
  <si>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</si>
  <si>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</si>
  <si>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</si>
  <si>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</si>
  <si>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</si>
  <si>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</si>
  <si>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</si>
  <si>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</si>
  <si>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</si>
  <si>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</si>
  <si>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</si>
  <si>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</si>
  <si>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</si>
  <si>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</si>
  <si>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</si>
  <si>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</si>
  <si>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</si>
  <si>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</si>
  <si>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</si>
  <si>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</si>
  <si>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</si>
  <si>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</si>
  <si>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</si>
  <si>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</si>
  <si>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Balázs B. u. 13. lakóház felújítás</t>
  </si>
  <si>
    <t>Közterületi növényvédelem</t>
  </si>
  <si>
    <t>"Bakáts projekt" tervezések, megvalósítás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</si>
  <si>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</si>
  <si>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</si>
  <si>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</si>
  <si>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</si>
  <si>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</si>
  <si>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</si>
  <si>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</si>
  <si>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</si>
  <si>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</si>
  <si>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2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</si>
  <si>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</si>
  <si>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</si>
  <si>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</si>
  <si>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</si>
  <si>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</si>
  <si>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</si>
  <si>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</si>
  <si>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</si>
  <si>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</si>
  <si>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</si>
  <si>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</si>
  <si>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</si>
  <si>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</si>
  <si>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</si>
  <si>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</si>
  <si>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</si>
  <si>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</si>
  <si>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</si>
  <si>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</si>
  <si>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</si>
  <si>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</si>
  <si>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</si>
  <si>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</si>
  <si>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</si>
  <si>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</si>
  <si>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</si>
  <si>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</si>
  <si>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</si>
  <si>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</si>
  <si>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</si>
  <si>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</si>
  <si>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</si>
  <si>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</si>
  <si>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 Önkormányzati lakások értékesítése</t>
  </si>
  <si>
    <t>Veszélyelhárítás</t>
  </si>
  <si>
    <t>Veszélyes tűzfalak, kémények vizsgálata, bontása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</si>
  <si>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</si>
  <si>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</si>
  <si>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</si>
  <si>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</si>
  <si>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Informatikai működés és fejlesztés</t>
  </si>
  <si>
    <t xml:space="preserve">   Dologi kiadások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</si>
  <si>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</si>
  <si>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</si>
  <si>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</si>
  <si>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</si>
  <si>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</si>
  <si>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</si>
  <si>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</si>
  <si>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</si>
  <si>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</si>
  <si>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</si>
  <si>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</si>
  <si>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</si>
  <si>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</si>
  <si>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</si>
  <si>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</si>
  <si>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</si>
  <si>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</si>
  <si>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</si>
  <si>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</si>
  <si>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</si>
  <si>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</si>
  <si>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</si>
  <si>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</si>
  <si>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</si>
  <si>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</si>
  <si>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</si>
  <si>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</si>
  <si>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</si>
  <si>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</si>
  <si>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</si>
  <si>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</si>
  <si>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</si>
  <si>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</si>
  <si>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</si>
  <si>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</si>
  <si>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</si>
  <si>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</si>
  <si>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</si>
  <si>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</si>
  <si>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</si>
  <si>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</si>
  <si>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</si>
  <si>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</si>
  <si>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</si>
  <si>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</si>
  <si>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</si>
  <si>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</si>
  <si>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</si>
  <si>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</si>
  <si>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</si>
  <si>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</si>
  <si>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</si>
  <si>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</si>
  <si>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</si>
  <si>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</si>
  <si>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</si>
  <si>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</si>
  <si>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</si>
  <si>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>Önkormányzati szakmai feladatokkal kapcsolatos kiadások</t>
  </si>
  <si>
    <t>Környezetvédelem</t>
  </si>
  <si>
    <t>Nemzetiségi önkormányzatok pályázati támogatása</t>
  </si>
  <si>
    <t>Születési és életkezdési támogatás</t>
  </si>
  <si>
    <t>Ferencvárosi Újság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</si>
  <si>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</si>
  <si>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</si>
  <si>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</si>
  <si>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</si>
  <si>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</si>
  <si>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</si>
  <si>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</si>
  <si>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</si>
  <si>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</si>
  <si>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</si>
  <si>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</si>
  <si>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</si>
  <si>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</si>
  <si>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</si>
  <si>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</si>
  <si>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</si>
  <si>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 xml:space="preserve">          Márton 5./a</t>
  </si>
  <si>
    <t>FESZ KN Kft.</t>
  </si>
  <si>
    <t>KÉSZ-ek tervezése</t>
  </si>
  <si>
    <t>Rendkívüli 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</si>
  <si>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</si>
  <si>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</si>
  <si>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</si>
  <si>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Sport és szabadidős feladatok</t>
  </si>
  <si>
    <t>Térfigyelő rendszer karbantartásának, üzemeltetésének költs.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</si>
  <si>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</si>
  <si>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</si>
  <si>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</si>
  <si>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</si>
  <si>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</si>
  <si>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</si>
  <si>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>Karácsonyi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</si>
  <si>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</si>
  <si>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</si>
  <si>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</si>
  <si>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</si>
  <si>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r>
      <t xml:space="preserve">    Fővárosi IPA visszafizetése </t>
    </r>
    <r>
      <rPr>
        <sz val="9"/>
        <rFont val="Arial CE"/>
        <family val="2"/>
      </rPr>
      <t>- Dologi kiadások</t>
    </r>
  </si>
  <si>
    <t>Közművelődés érdekeltségnöv. pályázat FMK eszközbeszerzés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</si>
  <si>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</si>
  <si>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</si>
  <si>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Ferencvárosi Pinceszínház</t>
  </si>
  <si>
    <t>Munkásszálló kialakítása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</si>
  <si>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</si>
  <si>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</si>
  <si>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</si>
  <si>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 xml:space="preserve"> Készlet értékesítés</t>
  </si>
  <si>
    <t>Készletértékesítés</t>
  </si>
  <si>
    <t>Belföldi értékpapírok bevételei</t>
  </si>
  <si>
    <t>Játszóterek karbantartása</t>
  </si>
  <si>
    <t>Képviselők és választott tisztségviselők juttatásai</t>
  </si>
  <si>
    <t>Parkolási feladatok (FEV IX. Zrt. által ellátott feladatokkal együtt)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</si>
  <si>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</si>
  <si>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</si>
  <si>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</si>
  <si>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</si>
  <si>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</si>
  <si>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</si>
  <si>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</si>
  <si>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</si>
  <si>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</si>
  <si>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</si>
  <si>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</si>
  <si>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</si>
  <si>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</si>
  <si>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</si>
  <si>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</si>
  <si>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</si>
  <si>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2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</si>
  <si>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</si>
  <si>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</si>
  <si>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</si>
  <si>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</si>
  <si>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</si>
  <si>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 xml:space="preserve">   Közigazgatási bírság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</si>
  <si>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</si>
  <si>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</si>
  <si>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</si>
  <si>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</si>
  <si>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BEVÉTELEK MINDÖSSZ.:(Irányítószervi támogatás nélkül)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</si>
  <si>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</si>
  <si>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</si>
  <si>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</si>
  <si>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</si>
  <si>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</si>
  <si>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</si>
  <si>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</si>
  <si>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</si>
  <si>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</si>
  <si>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</si>
  <si>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</si>
  <si>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</si>
  <si>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Küldetés Egyesület ellátási szerződés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</si>
  <si>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</si>
  <si>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</si>
  <si>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</si>
  <si>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</si>
  <si>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</si>
  <si>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</si>
  <si>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</si>
  <si>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</si>
  <si>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</si>
  <si>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</si>
  <si>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</si>
  <si>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Esélyegyenlőségi feladatok</t>
  </si>
  <si>
    <t>Jelzőrendszeres házi segítségnyújtás</t>
  </si>
  <si>
    <t>Civil szervezetek támogatása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</si>
  <si>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</si>
  <si>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</si>
  <si>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</si>
  <si>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Bakáts projekt</t>
  </si>
  <si>
    <t>Részesedések értékesítése, részesedések megszűnéséhez kapcsolódó bevételek</t>
  </si>
  <si>
    <t>Részesedések értékesítéséhez kapcsolódó realizált nyereség</t>
  </si>
  <si>
    <t>Óvodák, oktatási, szociális és kulturális intézmények  felújítása</t>
  </si>
  <si>
    <r>
      <t xml:space="preserve">    Fizetendő általános forgalmi adó  </t>
    </r>
    <r>
      <rPr>
        <sz val="9"/>
        <rFont val="Arial CE"/>
        <family val="2"/>
      </rPr>
      <t>- Dologi kiadások</t>
    </r>
  </si>
  <si>
    <t xml:space="preserve">    Földterület, telek, ingatlan értékesítése</t>
  </si>
  <si>
    <t>Működési és felhalmozási költségvetési kiadások mindösszesen</t>
  </si>
  <si>
    <t>Óvodák, oktatási, szociális és kulturális intézmények  összesen</t>
  </si>
  <si>
    <t xml:space="preserve">Játszóterek, műfüves és sportpályák, fitness eszközök, zöldf. felúj., </t>
  </si>
  <si>
    <t>Haller park felújítás</t>
  </si>
  <si>
    <t xml:space="preserve">   ebből: Általános tartalék</t>
  </si>
  <si>
    <t xml:space="preserve">Egyéb felhalmozási célú támog.bevételei ÁH-n belülről </t>
  </si>
  <si>
    <t>Tűzliliom park</t>
  </si>
  <si>
    <t>TÉR-KÖZ 2018</t>
  </si>
  <si>
    <t>Polgármesteri Hivatal épületeiben beruházási kiadások</t>
  </si>
  <si>
    <t>Felújítási kiadások</t>
  </si>
  <si>
    <t>8.</t>
  </si>
  <si>
    <t>Magyar Máltai Szeretetszolgálat Egyesület-Közösségi hasznosítás</t>
  </si>
  <si>
    <t>Feladatellátási szerződés Belső-Pesti Tankerülettel</t>
  </si>
  <si>
    <t>Közterületüzemeltetési egyéb feladatok</t>
  </si>
  <si>
    <t>Ételliftek felújítása</t>
  </si>
  <si>
    <t>Ferencvárosi internet támogatás</t>
  </si>
  <si>
    <t>Ferencvárosi diákbérlet</t>
  </si>
  <si>
    <t>Általános forgalmi adó visszatérítés</t>
  </si>
  <si>
    <t xml:space="preserve">   Felújítás</t>
  </si>
  <si>
    <t xml:space="preserve">Utcanév és tájékoztató táblák </t>
  </si>
  <si>
    <t xml:space="preserve">   TÉR-KÖZ 2018</t>
  </si>
  <si>
    <t>Közrend, közbiztonság</t>
  </si>
  <si>
    <t>Zöldfelületi kataszter, fakataszter elkészítése</t>
  </si>
  <si>
    <t>Kerékbilincs bevétele</t>
  </si>
  <si>
    <t>Kerékbilincs bevétel</t>
  </si>
  <si>
    <t>Az önkormányzat 2020. évi bevételei</t>
  </si>
  <si>
    <t>Faültetés</t>
  </si>
  <si>
    <t>Bölcsőde konyha felújítása</t>
  </si>
  <si>
    <t>Katasztrófa védelemhez kapcsolódó kiadások</t>
  </si>
  <si>
    <t>Önkormányzati lakások komfortosítása</t>
  </si>
  <si>
    <t xml:space="preserve">Városfejlesztési, Innovációs és </t>
  </si>
  <si>
    <t>Városgazdálkodási Bizottság</t>
  </si>
  <si>
    <t xml:space="preserve">Kulturális,Oktatási, Egyházügyi és </t>
  </si>
  <si>
    <t>Nemzetiségi Bizottság</t>
  </si>
  <si>
    <t xml:space="preserve">Városfejlesztési, Innovációs </t>
  </si>
  <si>
    <t>és Környezetvédelmi Bizottság</t>
  </si>
  <si>
    <t>Gazdasági és Közbeszerzési Bizottság</t>
  </si>
  <si>
    <t xml:space="preserve">Egészségügyi Szociális, Sport </t>
  </si>
  <si>
    <t>Ifjúsági és Civil Bizottság</t>
  </si>
  <si>
    <t xml:space="preserve">Kulturális, Oktatási, Egyházügyi és Nemzetiségi </t>
  </si>
  <si>
    <t>Bizottság</t>
  </si>
  <si>
    <t>és Civil Bizottság</t>
  </si>
  <si>
    <t>Egészségügyi Szociális, Sport, Ifjúsági</t>
  </si>
  <si>
    <t>Kulturális, Oktatási, Egyházügyi és Nemzetiségügyi Bizottság</t>
  </si>
  <si>
    <t>Kult.,Okt.,Egyh. És Nemz. Biz.és Egészsg.,Szoc.Sport,If.és Civ.Biz.</t>
  </si>
  <si>
    <t>Városfejl.,Innovációs és Környezetvédelmi Bizottság</t>
  </si>
  <si>
    <t>Egészségügyi Szociális, Sport Ifj. és Civil Bizottság</t>
  </si>
  <si>
    <t>Kulturális, Okt., Egyház. és Nemzetiségügyi Bizottság</t>
  </si>
  <si>
    <t>Kifli, túró rudi, tej beszerzés iskolák részére</t>
  </si>
  <si>
    <t>Kulturális, Oktatási, Egyházügyi és Nemzetiségi Bizottság</t>
  </si>
  <si>
    <t>Közösségi tervezés</t>
  </si>
  <si>
    <t>Lakás és helyiség karbantartás</t>
  </si>
  <si>
    <t>Deák Alapítvány</t>
  </si>
  <si>
    <t>Fogyatékos személyek nappali ellátása (gyermekek) Újbuda Önkrom.</t>
  </si>
  <si>
    <t>Tervezési díjak TÉR-KÖZ</t>
  </si>
  <si>
    <t xml:space="preserve">Lakóépületek elektromos hálózat felújítása </t>
  </si>
  <si>
    <t>IX. kerületi Rendőrkapitányság támogatása</t>
  </si>
  <si>
    <t>Faültetés támogatása</t>
  </si>
  <si>
    <t>Kátyuzógép vásárlás</t>
  </si>
  <si>
    <t>Felhasználást és beszámolást koordináló</t>
  </si>
  <si>
    <t>(beszámolás)</t>
  </si>
  <si>
    <t>Városgazdálkodási Bizottság (beszámolás)</t>
  </si>
  <si>
    <t>Felhasználást és beszámolást  koordináló</t>
  </si>
  <si>
    <t>Városfejlesztési, Innovációs és Környezetvéd.</t>
  </si>
  <si>
    <t>Bizottság (beszámolás)</t>
  </si>
  <si>
    <t>VIK Bizottság (beszámolás)</t>
  </si>
  <si>
    <t xml:space="preserve">VIK Bizottság </t>
  </si>
  <si>
    <t>ESZSIC Bizottság (beszámolás)</t>
  </si>
  <si>
    <t>Egészségügyi Szociális, Sport Ifj. és Civil Bizottság (beszámolás)</t>
  </si>
  <si>
    <t>ESZSIC Bizottság</t>
  </si>
  <si>
    <t>KOEN Bizottság (beszámolás)</t>
  </si>
  <si>
    <t>KOEN Bizottság (beszámolás br. 100 eFt alatt)</t>
  </si>
  <si>
    <t>KOEN Bizottság</t>
  </si>
  <si>
    <t>KOEN Bizottság (br. 100 eFt felett)</t>
  </si>
  <si>
    <t>Gazdasági és Közbeszerzési Bizottság (beszámolás)</t>
  </si>
  <si>
    <t>Városgazdálkodási Biz.,VIK Biz.,Gazdas.és Közb.B (beszámolás)</t>
  </si>
  <si>
    <t>Városgazdálkodási Biz., ESZSIC Biz., Gazd.és Közb.Biz. (beszámolás)</t>
  </si>
  <si>
    <t>József Attila Városrészi Önk.</t>
  </si>
  <si>
    <t>VIK Bizottság, József A. Városrészi Önk.</t>
  </si>
  <si>
    <t>Városgazdálkodási Biz., József A. Városrészi Önk.</t>
  </si>
  <si>
    <t>József Attila Városrészi Önkormányzat (beszámolás)</t>
  </si>
  <si>
    <t>Városgazd. Biz., József A. Városr. Önk. (beszámolás)</t>
  </si>
  <si>
    <t>VIK Bizottság, József A. Városr. Önk. (beszámolás)</t>
  </si>
  <si>
    <t>Gazd. és Közb. Biz.,József A. Városr.Önk. (beszámolás)</t>
  </si>
  <si>
    <t>VIK Bizottság, József A. Városr.Önk. (beszámolás)</t>
  </si>
  <si>
    <t>VIK Bizottság, József Attila Városrészi Önk.</t>
  </si>
  <si>
    <t>Veszélyhelyzethet kapcsolódó kiadások</t>
  </si>
  <si>
    <t>Veszélyhelyzeti támogatás</t>
  </si>
  <si>
    <t>ebből: Működési célú céltartalék</t>
  </si>
  <si>
    <t xml:space="preserve">           Intézményvezetői jutalom</t>
  </si>
  <si>
    <t>ebből: Felhalmozási célú céltartalék</t>
  </si>
  <si>
    <t xml:space="preserve">             Működési célú cél tartalék 6. sz. melléklet szerint</t>
  </si>
  <si>
    <r>
      <t>Felhalmozási célú céltartalék</t>
    </r>
    <r>
      <rPr>
        <i/>
        <sz val="9"/>
        <rFont val="Times New Roman"/>
        <family val="1"/>
      </rPr>
      <t xml:space="preserve"> 6. sz. melléklet szerint</t>
    </r>
  </si>
  <si>
    <t xml:space="preserve">   Felújítási kiadások</t>
  </si>
  <si>
    <t>Közterületi takarító berendezés működtetése</t>
  </si>
  <si>
    <t>Napfény Óvoda felújítás - dologi kiadások</t>
  </si>
  <si>
    <t>MÁV lakótelep víz, közmű</t>
  </si>
  <si>
    <t xml:space="preserve">Közvilágítás kiépítése MÁV </t>
  </si>
  <si>
    <t>Digitális tanterem kialakítás</t>
  </si>
  <si>
    <t>"Krízis Alap"-ból kifizetés</t>
  </si>
  <si>
    <t>"Krízis Alap" bevétel</t>
  </si>
  <si>
    <t>Egyéb felhasználási célú támogatások bevételei Áh-n belülről</t>
  </si>
  <si>
    <t>Tárgyévi finanszírozási megelőlegezések</t>
  </si>
  <si>
    <t>FESZ épületének felújítása</t>
  </si>
  <si>
    <t xml:space="preserve">   Egyéb felhalmozási célú kiadások (Államháztartáson kívülre)</t>
  </si>
  <si>
    <t xml:space="preserve">       ebből államháztartáson belüli</t>
  </si>
  <si>
    <t xml:space="preserve">                 államháztartáson kívüli</t>
  </si>
  <si>
    <r>
      <t xml:space="preserve">    Kamat kiadás, banki költségek, tranzakciós díjak </t>
    </r>
    <r>
      <rPr>
        <sz val="9"/>
        <rFont val="Arial CE"/>
        <family val="2"/>
      </rPr>
      <t>- Dologi kiadások</t>
    </r>
  </si>
  <si>
    <t>FEV IX. Zrt. (Bérlemény közszolg. + Megbízási)</t>
  </si>
  <si>
    <t>Bérlemény közszolgáltatás + Megbízási szerz.</t>
  </si>
  <si>
    <t>4.</t>
  </si>
  <si>
    <t>5.</t>
  </si>
  <si>
    <t>eFt</t>
  </si>
  <si>
    <t xml:space="preserve">Önkormányzati vagyonnal való gazdálkodás </t>
  </si>
  <si>
    <t>Törzstőke Média cég létrehozásához</t>
  </si>
  <si>
    <t>Önkormányzati bérlemények üzemeltetési költségei (FEV. IX.)</t>
  </si>
  <si>
    <t>Lakásfenntartási támogatás</t>
  </si>
  <si>
    <t>2021-től Jövedelemkiegészítő támogatás</t>
  </si>
  <si>
    <t>Áh-n nelüli megelőlegezések tárgyéven túl</t>
  </si>
  <si>
    <t>Államháztartáson belüli megelőlegezések tárgyéven belül</t>
  </si>
  <si>
    <t xml:space="preserve">Közterületi takarítógépek beszerzése </t>
  </si>
  <si>
    <t>Egészségügy, szoc.,szabadidő, sport, kultúra, oktatás, vallás</t>
  </si>
  <si>
    <t>FESZGYI részére mikrobusz vásárlás</t>
  </si>
  <si>
    <t>29. tömb közös zöld</t>
  </si>
  <si>
    <t>Felhasználást beszámolást koordináló</t>
  </si>
  <si>
    <t xml:space="preserve">   Beruházás</t>
  </si>
  <si>
    <t xml:space="preserve">          EMMI kult. Intézmények bértám</t>
  </si>
  <si>
    <t>Egyéb műk. célú támog.bevételei Áh-n belülről - EU-s pályázat KEHOP-1.2.1-18-2018-00006</t>
  </si>
  <si>
    <t>KEHOP-1.1.1.-18-2018-00006 Klímastratégia</t>
  </si>
  <si>
    <t>Egyéb működési célú tám.bev. Áh-n belülről</t>
  </si>
  <si>
    <t>Egyéb műk. célú támog.bevételei Áh-n belülről - EU-s pály. KEHOP-1.2.1-18-2018-00006</t>
  </si>
  <si>
    <t>6.</t>
  </si>
  <si>
    <t>7.</t>
  </si>
  <si>
    <t>Utak felújítása, javítása</t>
  </si>
  <si>
    <t>Fasorfenntartás</t>
  </si>
  <si>
    <t>Erdőgazdálkodás</t>
  </si>
  <si>
    <t>Oktatási támogatás</t>
  </si>
  <si>
    <t>(2020-ban tankönyvtámogatás)</t>
  </si>
  <si>
    <t>(2020-ban Szociális és köznevelési feladatok)</t>
  </si>
  <si>
    <t>Gyermeknevelési támogatás</t>
  </si>
  <si>
    <t>(2020-ban Iskolakezdési támogatás)</t>
  </si>
  <si>
    <t>2020-ban Jövedelempótló rendszeres támogatás</t>
  </si>
  <si>
    <t>Gyógyszertámogatás</t>
  </si>
  <si>
    <t>2020-ban Közgyógytámogatás, gyógyszertámogatás</t>
  </si>
  <si>
    <t>65+ támogatás</t>
  </si>
  <si>
    <t>2020-banFerencvárosi 65+ támogatás</t>
  </si>
  <si>
    <t>Ferencvárosi Média Nonprofit Kft.</t>
  </si>
  <si>
    <t>Járdák felújítása, akadálymentesítése</t>
  </si>
  <si>
    <t>Parkolási feladatok mindösszesen</t>
  </si>
  <si>
    <t>Bérlemény üzemeltetéssel kapcs. Kiadások mind. + Megb.sz.</t>
  </si>
  <si>
    <t>0</t>
  </si>
  <si>
    <t>3/d táblából parkolás további költsége</t>
  </si>
  <si>
    <t>3/d táblából bérlemény üzemeltetés további költsége</t>
  </si>
  <si>
    <t>Kulturális tevékenység, egyházi és civil szerv.támog támogatása</t>
  </si>
  <si>
    <t xml:space="preserve">   Közterületfoglalási díj</t>
  </si>
  <si>
    <t>Az önkormányzat 2021. évi kiadásai</t>
  </si>
  <si>
    <t>Költségvetési szervek 2021. évi költségvetése</t>
  </si>
  <si>
    <t>A Polgármesteri Hivatal kiadásai 2021.</t>
  </si>
  <si>
    <t>Közterület-felügyelet  2021. év</t>
  </si>
  <si>
    <t xml:space="preserve">Az önkormányzat  költségvetésében szereplő 2021. évi kiadások </t>
  </si>
  <si>
    <t xml:space="preserve">Az önkormányzat  költségvetésében szereplő támogatások 2021. évi kiadásai </t>
  </si>
  <si>
    <t>2021. évi felújítások (felújítási kiadások és egyéb felhalmozási célú kiadások)</t>
  </si>
  <si>
    <t>2021. évi beruházási, fejlesztési kiadások</t>
  </si>
  <si>
    <t>Az önkormányzat költségvetésében szereplő 2021. évi tartalékok</t>
  </si>
  <si>
    <t>Önkormányzati lakások komfortosítása, lakások és helyiségek felújítása</t>
  </si>
  <si>
    <t>2021. évi  előirányzat 12/2021.</t>
  </si>
  <si>
    <t>2021. évi előirányzat 12/2021.</t>
  </si>
  <si>
    <t xml:space="preserve">          Parkoló Alap</t>
  </si>
  <si>
    <t>Beruházás</t>
  </si>
  <si>
    <t>Előző évi vállalkozási maradvány</t>
  </si>
  <si>
    <t>Előző évi vállalkozási maradvány igénybevétele</t>
  </si>
  <si>
    <t>SOS Krízis Alapítvány</t>
  </si>
  <si>
    <t>Haller u. 50. függőfolyosó felújítás</t>
  </si>
  <si>
    <t>Részleges épületbontás</t>
  </si>
  <si>
    <t>Felújítás</t>
  </si>
  <si>
    <t>Boráros téri lámpás zebra</t>
  </si>
  <si>
    <t>Pöttyös utcai metró felszíni rendezés</t>
  </si>
  <si>
    <t xml:space="preserve">          Bevétel kiesések ellensúlyozására tartalékolt összeg</t>
  </si>
  <si>
    <t>"Törd a betont"</t>
  </si>
  <si>
    <t>Telepy u. 34. lift tervezés</t>
  </si>
  <si>
    <t>Epres Óvoda felújítás étellift</t>
  </si>
  <si>
    <t>Liliom Óvoda felújítása tetőjavítás</t>
  </si>
  <si>
    <t>Kicsi Bocs Óvoda felújítás -harmónika ajtó-</t>
  </si>
  <si>
    <t>Méhecske Óvoda felújítás - tetővilágító ablakok</t>
  </si>
  <si>
    <t>Ugrifüles Óvoda felújítás - étellift, villámvédelem</t>
  </si>
  <si>
    <t>Pöttyös utcai bölcsőde étellift</t>
  </si>
  <si>
    <t>Aprók háza bölcsőde nyílászárók</t>
  </si>
  <si>
    <t>Fehér holló bölcsőde kerítés, villámvédelem</t>
  </si>
  <si>
    <t>Varázskert bölcsőde szellőzőrendszer tervezése</t>
  </si>
  <si>
    <t>Polgármesteri Hivatal tanácsterem klímatizálása</t>
  </si>
  <si>
    <t>Irodalmi  pályázat</t>
  </si>
  <si>
    <t>Hátrányos helyzetű diákok versenysport támogatása</t>
  </si>
  <si>
    <t>Kerékpáros infr. tervezés, kiépítés, fejlesztés, okosbicikli tárolók</t>
  </si>
  <si>
    <t>Vállalkozási tevékenység maradványa</t>
  </si>
  <si>
    <t>KOEN Bizottság és ESZSIC Bizottság</t>
  </si>
  <si>
    <t>2021-ben Egészségügyi, Szociális, Sport, Ifj. és Civil feladatok</t>
  </si>
  <si>
    <t>Kulturális, oktatási, egyházügyi és Nemzetiségi feladatok</t>
  </si>
  <si>
    <t>2021. évi  előirányzat  23/2021.</t>
  </si>
  <si>
    <t>2021. évi  előirányzat 23/2021.</t>
  </si>
  <si>
    <t>2021. évi előirányzat  23/2021.</t>
  </si>
  <si>
    <t>2021. évi előirányzat 23/2021.</t>
  </si>
  <si>
    <t>2021. évi előirányzat                23/2021.</t>
  </si>
  <si>
    <t>Helyi esélyegyenlőségi program végrehajtásával összefüggő feladatok</t>
  </si>
  <si>
    <t>Csicsergő Óvoda felújítás étellift, tetőfelújítás I. ütem,villámvédelem</t>
  </si>
  <si>
    <t>2021. évi  előirányzat  29/2021.</t>
  </si>
  <si>
    <t>2021. évi előirányzat  29/2021.</t>
  </si>
  <si>
    <t>2021. évi előirányzat 29/2021.</t>
  </si>
  <si>
    <t>2021. évi előirányzat               29 /2021.</t>
  </si>
  <si>
    <t>Index       6./5.</t>
  </si>
  <si>
    <t>2021. I. - IX. havi teljesítés</t>
  </si>
  <si>
    <t>Index     6./5.</t>
  </si>
  <si>
    <t>Index        6./5.</t>
  </si>
  <si>
    <t>Index    6./5.</t>
  </si>
  <si>
    <t>2021. I. - III havi teljesítés</t>
  </si>
  <si>
    <t>Index           6/5.</t>
  </si>
  <si>
    <t>Index   6./5.</t>
  </si>
  <si>
    <t xml:space="preserve">    Talajterhelési díj</t>
  </si>
  <si>
    <t xml:space="preserve">       - Munkásszálló bérleti 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</si>
</sst>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43" formatCode="_-* #,##0.00\ _F_t_-;\-* #,##0.00\ _F_t_-;_-* &quot;-&quot;??\ _F_t_-;_-@_-"/>
    <numFmt numFmtId="164" formatCode="0.0%"/>
  </numFmts>
  <fonts count="50">
    <font>
      <sz val="10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10"/>
      <name val="Times New Roman"/>
      <family val="1"/>
    </font>
    <font>
      <sz val="10"/>
      <color rgb="FF000000"/>
      <name val="Arial CE"/>
      <family val="2"/>
    </font>
    <font>
      <b/>
      <sz val="9"/>
      <color rgb="FFFF0000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double"/>
    </border>
    <border>
      <left style="thin"/>
      <right/>
      <top style="thin"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5" applyNumberFormat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4" borderId="7" applyNumberFormat="0" applyFont="0" applyAlignment="0" applyProtection="0"/>
    <xf numFmtId="0" fontId="23" fillId="11" borderId="0" applyNumberFormat="0" applyBorder="0" applyAlignment="0" applyProtection="0"/>
    <xf numFmtId="0" fontId="24" fillId="12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9" applyNumberFormat="0" applyFill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30" fillId="12" borderId="1" applyNumberFormat="0" applyAlignment="0" applyProtection="0"/>
    <xf numFmtId="9" fontId="0" fillId="0" borderId="0" applyFont="0" applyFill="0" applyBorder="0" applyAlignment="0" applyProtection="0"/>
  </cellStyleXfs>
  <cellXfs count="1147">
    <xf numFmtId="0" fontId="0" fillId="0" borderId="0" xfId="0"/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/>
    <xf numFmtId="3" fontId="3" fillId="0" borderId="12" xfId="0" applyNumberFormat="1" applyFont="1" applyBorder="1"/>
    <xf numFmtId="3" fontId="3" fillId="0" borderId="11" xfId="0" applyNumberFormat="1" applyFont="1" applyBorder="1"/>
    <xf numFmtId="3" fontId="2" fillId="0" borderId="11" xfId="0" applyNumberFormat="1" applyFont="1" applyBorder="1"/>
    <xf numFmtId="0" fontId="0" fillId="0" borderId="0" xfId="0" applyFont="1"/>
    <xf numFmtId="3" fontId="0" fillId="0" borderId="0" xfId="0" applyNumberFormat="1" applyFont="1"/>
    <xf numFmtId="0" fontId="2" fillId="0" borderId="10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/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/>
    <xf numFmtId="0" fontId="2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3" fontId="3" fillId="0" borderId="0" xfId="0" applyNumberFormat="1" applyFont="1"/>
    <xf numFmtId="3" fontId="2" fillId="0" borderId="13" xfId="0" applyNumberFormat="1" applyFont="1" applyBorder="1"/>
    <xf numFmtId="3" fontId="3" fillId="0" borderId="0" xfId="0" applyNumberFormat="1" applyFont="1" applyBorder="1"/>
    <xf numFmtId="3" fontId="2" fillId="0" borderId="14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left"/>
    </xf>
    <xf numFmtId="3" fontId="2" fillId="0" borderId="0" xfId="0" applyNumberFormat="1" applyFont="1"/>
    <xf numFmtId="3" fontId="3" fillId="0" borderId="10" xfId="0" applyNumberFormat="1" applyFont="1" applyBorder="1"/>
    <xf numFmtId="3" fontId="6" fillId="0" borderId="0" xfId="0" applyNumberFormat="1" applyFont="1" applyBorder="1"/>
    <xf numFmtId="3" fontId="5" fillId="0" borderId="0" xfId="0" applyNumberFormat="1" applyFont="1" applyBorder="1"/>
    <xf numFmtId="3" fontId="4" fillId="0" borderId="11" xfId="0" applyNumberFormat="1" applyFont="1" applyBorder="1"/>
    <xf numFmtId="3" fontId="4" fillId="0" borderId="0" xfId="0" applyNumberFormat="1" applyFont="1"/>
    <xf numFmtId="3" fontId="6" fillId="0" borderId="15" xfId="0" applyNumberFormat="1" applyFont="1" applyBorder="1"/>
    <xf numFmtId="3" fontId="5" fillId="0" borderId="0" xfId="0" applyNumberFormat="1" applyFont="1"/>
    <xf numFmtId="3" fontId="6" fillId="0" borderId="14" xfId="0" applyNumberFormat="1" applyFont="1" applyBorder="1"/>
    <xf numFmtId="0" fontId="2" fillId="0" borderId="0" xfId="0" applyFont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0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0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0" fillId="0" borderId="13" xfId="0" applyFont="1" applyBorder="1"/>
    <xf numFmtId="0" fontId="4" fillId="0" borderId="17" xfId="0" applyFont="1" applyBorder="1" applyAlignment="1">
      <alignment horizontal="centerContinuous" vertical="top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Continuous" vertical="top"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/>
    <xf numFmtId="3" fontId="0" fillId="0" borderId="0" xfId="0" applyNumberFormat="1"/>
    <xf numFmtId="3" fontId="0" fillId="0" borderId="0" xfId="0" applyNumberFormat="1" applyAlignment="1">
      <alignment/>
    </xf>
    <xf numFmtId="3" fontId="2" fillId="0" borderId="18" xfId="0" applyNumberFormat="1" applyFont="1" applyBorder="1"/>
    <xf numFmtId="0" fontId="2" fillId="0" borderId="15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Border="1"/>
    <xf numFmtId="0" fontId="2" fillId="0" borderId="0" xfId="0" applyFont="1" applyBorder="1"/>
    <xf numFmtId="3" fontId="4" fillId="0" borderId="11" xfId="0" applyNumberFormat="1" applyFont="1" applyBorder="1" applyAlignment="1">
      <alignment horizontal="center"/>
    </xf>
    <xf numFmtId="3" fontId="3" fillId="0" borderId="11" xfId="0" applyNumberFormat="1" applyFont="1" applyBorder="1"/>
    <xf numFmtId="3" fontId="2" fillId="0" borderId="12" xfId="0" applyNumberFormat="1" applyFont="1" applyBorder="1"/>
    <xf numFmtId="3" fontId="2" fillId="0" borderId="11" xfId="0" applyNumberFormat="1" applyFont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3" fontId="3" fillId="0" borderId="12" xfId="0" applyNumberFormat="1" applyFont="1" applyBorder="1"/>
    <xf numFmtId="0" fontId="4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6" fillId="0" borderId="11" xfId="0" applyNumberFormat="1" applyFont="1" applyBorder="1"/>
    <xf numFmtId="0" fontId="7" fillId="0" borderId="10" xfId="0" applyFont="1" applyBorder="1"/>
    <xf numFmtId="3" fontId="2" fillId="0" borderId="17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left"/>
    </xf>
    <xf numFmtId="0" fontId="3" fillId="0" borderId="10" xfId="0" applyFont="1" applyBorder="1"/>
    <xf numFmtId="0" fontId="4" fillId="0" borderId="16" xfId="0" applyFont="1" applyBorder="1" applyAlignment="1">
      <alignment horizontal="centerContinuous" vertical="top"/>
    </xf>
    <xf numFmtId="3" fontId="4" fillId="0" borderId="13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left"/>
    </xf>
    <xf numFmtId="3" fontId="7" fillId="0" borderId="10" xfId="0" applyNumberFormat="1" applyFont="1" applyBorder="1"/>
    <xf numFmtId="3" fontId="2" fillId="0" borderId="0" xfId="0" applyNumberFormat="1" applyFont="1" applyAlignment="1">
      <alignment horizontal="center"/>
    </xf>
    <xf numFmtId="3" fontId="6" fillId="0" borderId="10" xfId="0" applyNumberFormat="1" applyFont="1" applyBorder="1"/>
    <xf numFmtId="3" fontId="6" fillId="0" borderId="11" xfId="0" applyNumberFormat="1" applyFont="1" applyBorder="1"/>
    <xf numFmtId="3" fontId="2" fillId="0" borderId="21" xfId="0" applyNumberFormat="1" applyFont="1" applyBorder="1"/>
    <xf numFmtId="3" fontId="2" fillId="0" borderId="15" xfId="0" applyNumberFormat="1" applyFont="1" applyBorder="1"/>
    <xf numFmtId="3" fontId="4" fillId="0" borderId="14" xfId="0" applyNumberFormat="1" applyFont="1" applyBorder="1"/>
    <xf numFmtId="3" fontId="3" fillId="0" borderId="21" xfId="0" applyNumberFormat="1" applyFont="1" applyBorder="1"/>
    <xf numFmtId="3" fontId="6" fillId="0" borderId="12" xfId="0" applyNumberFormat="1" applyFont="1" applyBorder="1"/>
    <xf numFmtId="0" fontId="1" fillId="0" borderId="0" xfId="54">
      <alignment/>
      <protection/>
    </xf>
    <xf numFmtId="0" fontId="3" fillId="0" borderId="14" xfId="0" applyFont="1" applyBorder="1" applyAlignment="1">
      <alignment horizontal="center"/>
    </xf>
    <xf numFmtId="3" fontId="4" fillId="0" borderId="12" xfId="0" applyNumberFormat="1" applyFont="1" applyBorder="1" applyAlignment="1">
      <alignment horizontal="left"/>
    </xf>
    <xf numFmtId="3" fontId="4" fillId="0" borderId="11" xfId="0" applyNumberFormat="1" applyFont="1" applyBorder="1"/>
    <xf numFmtId="0" fontId="2" fillId="0" borderId="13" xfId="0" applyFont="1" applyBorder="1" applyAlignment="1">
      <alignment horizontal="center" vertical="top"/>
    </xf>
    <xf numFmtId="0" fontId="2" fillId="0" borderId="0" xfId="55" applyFont="1" applyBorder="1" applyAlignment="1">
      <alignment horizontal="center"/>
      <protection/>
    </xf>
    <xf numFmtId="0" fontId="0" fillId="0" borderId="0" xfId="55" applyAlignment="1">
      <alignment/>
      <protection/>
    </xf>
    <xf numFmtId="0" fontId="3" fillId="0" borderId="0" xfId="55" applyFont="1" applyAlignment="1">
      <alignment/>
      <protection/>
    </xf>
    <xf numFmtId="0" fontId="4" fillId="0" borderId="0" xfId="55" applyFont="1" applyBorder="1" applyAlignment="1">
      <alignment horizontal="right"/>
      <protection/>
    </xf>
    <xf numFmtId="0" fontId="2" fillId="0" borderId="0" xfId="55" applyFont="1" applyAlignment="1">
      <alignment/>
      <protection/>
    </xf>
    <xf numFmtId="3" fontId="2" fillId="0" borderId="12" xfId="55" applyNumberFormat="1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3" fontId="0" fillId="0" borderId="12" xfId="55" applyNumberFormat="1" applyFont="1" applyBorder="1" applyAlignment="1">
      <alignment/>
      <protection/>
    </xf>
    <xf numFmtId="0" fontId="4" fillId="0" borderId="12" xfId="55" applyFont="1" applyBorder="1" applyAlignment="1">
      <alignment/>
      <protection/>
    </xf>
    <xf numFmtId="0" fontId="0" fillId="0" borderId="0" xfId="55" applyFont="1" applyAlignment="1">
      <alignment/>
      <protection/>
    </xf>
    <xf numFmtId="3" fontId="3" fillId="0" borderId="12" xfId="55" applyNumberFormat="1" applyFont="1" applyBorder="1" applyAlignment="1">
      <alignment/>
      <protection/>
    </xf>
    <xf numFmtId="0" fontId="3" fillId="0" borderId="12" xfId="55" applyFont="1" applyBorder="1" applyAlignment="1">
      <alignment/>
      <protection/>
    </xf>
    <xf numFmtId="3" fontId="2" fillId="0" borderId="12" xfId="55" applyNumberFormat="1" applyFont="1" applyBorder="1" applyAlignment="1">
      <alignment/>
      <protection/>
    </xf>
    <xf numFmtId="0" fontId="2" fillId="0" borderId="12" xfId="55" applyFont="1" applyBorder="1" applyAlignment="1">
      <alignment/>
      <protection/>
    </xf>
    <xf numFmtId="3" fontId="2" fillId="0" borderId="12" xfId="55" applyNumberFormat="1" applyFont="1" applyBorder="1" applyAlignment="1">
      <alignment/>
      <protection/>
    </xf>
    <xf numFmtId="0" fontId="2" fillId="0" borderId="11" xfId="55" applyFont="1" applyBorder="1" applyAlignment="1">
      <alignment/>
      <protection/>
    </xf>
    <xf numFmtId="3" fontId="2" fillId="0" borderId="11" xfId="55" applyNumberFormat="1" applyFont="1" applyBorder="1" applyAlignment="1">
      <alignment/>
      <protection/>
    </xf>
    <xf numFmtId="0" fontId="2" fillId="0" borderId="11" xfId="55" applyFont="1" applyBorder="1" applyAlignment="1">
      <alignment/>
      <protection/>
    </xf>
    <xf numFmtId="0" fontId="3" fillId="0" borderId="11" xfId="55" applyFont="1" applyBorder="1" applyAlignment="1">
      <alignment/>
      <protection/>
    </xf>
    <xf numFmtId="0" fontId="3" fillId="0" borderId="12" xfId="55" applyFont="1" applyBorder="1" applyAlignment="1">
      <alignment/>
      <protection/>
    </xf>
    <xf numFmtId="0" fontId="2" fillId="0" borderId="15" xfId="55" applyFont="1" applyBorder="1" applyAlignment="1">
      <alignment/>
      <protection/>
    </xf>
    <xf numFmtId="3" fontId="3" fillId="0" borderId="12" xfId="55" applyNumberFormat="1" applyFont="1" applyBorder="1" applyAlignment="1">
      <alignment/>
      <protection/>
    </xf>
    <xf numFmtId="3" fontId="3" fillId="0" borderId="11" xfId="55" applyNumberFormat="1" applyFont="1" applyBorder="1" applyAlignment="1">
      <alignment/>
      <protection/>
    </xf>
    <xf numFmtId="0" fontId="3" fillId="0" borderId="11" xfId="55" applyFont="1" applyBorder="1" applyAlignment="1">
      <alignment/>
      <protection/>
    </xf>
    <xf numFmtId="0" fontId="2" fillId="0" borderId="12" xfId="55" applyFont="1" applyBorder="1" applyAlignment="1">
      <alignment/>
      <protection/>
    </xf>
    <xf numFmtId="0" fontId="3" fillId="0" borderId="10" xfId="55" applyFont="1" applyBorder="1" applyAlignment="1">
      <alignment/>
      <protection/>
    </xf>
    <xf numFmtId="3" fontId="3" fillId="0" borderId="21" xfId="55" applyNumberFormat="1" applyFont="1" applyBorder="1" applyAlignment="1">
      <alignment/>
      <protection/>
    </xf>
    <xf numFmtId="0" fontId="3" fillId="0" borderId="21" xfId="55" applyFont="1" applyBorder="1" applyAlignment="1">
      <alignment/>
      <protection/>
    </xf>
    <xf numFmtId="0" fontId="2" fillId="0" borderId="15" xfId="55" applyFont="1" applyBorder="1" applyAlignment="1">
      <alignment/>
      <protection/>
    </xf>
    <xf numFmtId="3" fontId="2" fillId="0" borderId="15" xfId="55" applyNumberFormat="1" applyFont="1" applyBorder="1" applyAlignment="1">
      <alignment/>
      <protection/>
    </xf>
    <xf numFmtId="0" fontId="2" fillId="0" borderId="13" xfId="55" applyFont="1" applyBorder="1" applyAlignment="1">
      <alignment/>
      <protection/>
    </xf>
    <xf numFmtId="0" fontId="3" fillId="0" borderId="13" xfId="55" applyFont="1" applyBorder="1" applyAlignment="1">
      <alignment/>
      <protection/>
    </xf>
    <xf numFmtId="0" fontId="4" fillId="0" borderId="15" xfId="55" applyFont="1" applyBorder="1" applyAlignment="1">
      <alignment/>
      <protection/>
    </xf>
    <xf numFmtId="3" fontId="2" fillId="0" borderId="10" xfId="55" applyNumberFormat="1" applyFont="1" applyBorder="1" applyAlignment="1">
      <alignment/>
      <protection/>
    </xf>
    <xf numFmtId="3" fontId="3" fillId="0" borderId="18" xfId="55" applyNumberFormat="1" applyFont="1" applyBorder="1" applyAlignment="1">
      <alignment/>
      <protection/>
    </xf>
    <xf numFmtId="0" fontId="3" fillId="0" borderId="18" xfId="55" applyFont="1" applyBorder="1" applyAlignment="1">
      <alignment/>
      <protection/>
    </xf>
    <xf numFmtId="3" fontId="2" fillId="0" borderId="18" xfId="55" applyNumberFormat="1" applyFont="1" applyBorder="1" applyAlignment="1">
      <alignment/>
      <protection/>
    </xf>
    <xf numFmtId="3" fontId="3" fillId="0" borderId="14" xfId="55" applyNumberFormat="1" applyFont="1" applyBorder="1" applyAlignment="1">
      <alignment/>
      <protection/>
    </xf>
    <xf numFmtId="3" fontId="2" fillId="0" borderId="14" xfId="55" applyNumberFormat="1" applyFont="1" applyBorder="1" applyAlignment="1">
      <alignment/>
      <protection/>
    </xf>
    <xf numFmtId="3" fontId="3" fillId="0" borderId="15" xfId="55" applyNumberFormat="1" applyFont="1" applyBorder="1" applyAlignment="1">
      <alignment/>
      <protection/>
    </xf>
    <xf numFmtId="3" fontId="4" fillId="0" borderId="10" xfId="55" applyNumberFormat="1" applyFont="1" applyBorder="1" applyAlignment="1">
      <alignment horizontal="right"/>
      <protection/>
    </xf>
    <xf numFmtId="0" fontId="4" fillId="0" borderId="0" xfId="55" applyFont="1" applyAlignment="1">
      <alignment/>
      <protection/>
    </xf>
    <xf numFmtId="3" fontId="4" fillId="0" borderId="12" xfId="55" applyNumberFormat="1" applyFont="1" applyBorder="1" applyAlignment="1">
      <alignment/>
      <protection/>
    </xf>
    <xf numFmtId="0" fontId="3" fillId="0" borderId="14" xfId="55" applyFont="1" applyBorder="1" applyAlignment="1">
      <alignment/>
      <protection/>
    </xf>
    <xf numFmtId="3" fontId="3" fillId="0" borderId="0" xfId="55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0" fontId="2" fillId="0" borderId="10" xfId="55" applyFont="1" applyBorder="1" applyAlignment="1">
      <alignment/>
      <protection/>
    </xf>
    <xf numFmtId="0" fontId="33" fillId="0" borderId="0" xfId="54" applyFont="1">
      <alignment/>
      <protection/>
    </xf>
    <xf numFmtId="0" fontId="7" fillId="0" borderId="0" xfId="54" applyFont="1">
      <alignment/>
      <protection/>
    </xf>
    <xf numFmtId="0" fontId="35" fillId="0" borderId="16" xfId="54" applyFont="1" applyBorder="1">
      <alignment/>
      <protection/>
    </xf>
    <xf numFmtId="0" fontId="35" fillId="0" borderId="22" xfId="54" applyFont="1" applyBorder="1">
      <alignment/>
      <protection/>
    </xf>
    <xf numFmtId="0" fontId="35" fillId="0" borderId="23" xfId="54" applyFont="1" applyBorder="1">
      <alignment/>
      <protection/>
    </xf>
    <xf numFmtId="0" fontId="35" fillId="0" borderId="20" xfId="54" applyFont="1" applyBorder="1">
      <alignment/>
      <protection/>
    </xf>
    <xf numFmtId="0" fontId="35" fillId="0" borderId="24" xfId="54" applyFont="1" applyBorder="1">
      <alignment/>
      <protection/>
    </xf>
    <xf numFmtId="0" fontId="34" fillId="0" borderId="23" xfId="54" applyFont="1" applyBorder="1">
      <alignment/>
      <protection/>
    </xf>
    <xf numFmtId="3" fontId="35" fillId="0" borderId="12" xfId="54" applyNumberFormat="1" applyFont="1" applyBorder="1">
      <alignment/>
      <protection/>
    </xf>
    <xf numFmtId="3" fontId="34" fillId="0" borderId="25" xfId="54" applyNumberFormat="1" applyFont="1" applyBorder="1">
      <alignment/>
      <protection/>
    </xf>
    <xf numFmtId="3" fontId="35" fillId="0" borderId="24" xfId="54" applyNumberFormat="1" applyFont="1" applyBorder="1">
      <alignment/>
      <protection/>
    </xf>
    <xf numFmtId="3" fontId="4" fillId="0" borderId="26" xfId="0" applyNumberFormat="1" applyFont="1" applyBorder="1"/>
    <xf numFmtId="3" fontId="3" fillId="0" borderId="21" xfId="0" applyNumberFormat="1" applyFont="1" applyBorder="1"/>
    <xf numFmtId="3" fontId="4" fillId="0" borderId="15" xfId="0" applyNumberFormat="1" applyFont="1" applyBorder="1" applyAlignment="1">
      <alignment vertical="center"/>
    </xf>
    <xf numFmtId="0" fontId="34" fillId="0" borderId="11" xfId="54" applyFont="1" applyBorder="1">
      <alignment/>
      <protection/>
    </xf>
    <xf numFmtId="3" fontId="35" fillId="0" borderId="11" xfId="54" applyNumberFormat="1" applyFont="1" applyBorder="1">
      <alignment/>
      <protection/>
    </xf>
    <xf numFmtId="0" fontId="4" fillId="0" borderId="10" xfId="55" applyFont="1" applyBorder="1" applyAlignment="1">
      <alignment/>
      <protection/>
    </xf>
    <xf numFmtId="0" fontId="34" fillId="0" borderId="27" xfId="54" applyFont="1" applyBorder="1">
      <alignment/>
      <protection/>
    </xf>
    <xf numFmtId="3" fontId="34" fillId="0" borderId="23" xfId="0" applyNumberFormat="1" applyFont="1" applyBorder="1"/>
    <xf numFmtId="3" fontId="3" fillId="0" borderId="23" xfId="0" applyNumberFormat="1" applyFont="1" applyBorder="1"/>
    <xf numFmtId="0" fontId="32" fillId="0" borderId="25" xfId="54" applyFont="1" applyBorder="1" applyAlignment="1">
      <alignment vertical="center"/>
      <protection/>
    </xf>
    <xf numFmtId="3" fontId="32" fillId="0" borderId="25" xfId="54" applyNumberFormat="1" applyFont="1" applyBorder="1" applyAlignment="1">
      <alignment vertical="center"/>
      <protection/>
    </xf>
    <xf numFmtId="0" fontId="32" fillId="0" borderId="22" xfId="54" applyFont="1" applyBorder="1" applyAlignment="1">
      <alignment vertical="center"/>
      <protection/>
    </xf>
    <xf numFmtId="0" fontId="32" fillId="0" borderId="28" xfId="54" applyFont="1" applyBorder="1" applyAlignment="1">
      <alignment vertical="center"/>
      <protection/>
    </xf>
    <xf numFmtId="0" fontId="4" fillId="0" borderId="15" xfId="55" applyFont="1" applyBorder="1" applyAlignment="1">
      <alignment vertical="center"/>
      <protection/>
    </xf>
    <xf numFmtId="0" fontId="9" fillId="0" borderId="14" xfId="55" applyFont="1" applyBorder="1" applyAlignment="1">
      <alignment vertical="center"/>
      <protection/>
    </xf>
    <xf numFmtId="0" fontId="9" fillId="0" borderId="15" xfId="55" applyFont="1" applyBorder="1" applyAlignment="1">
      <alignment/>
      <protection/>
    </xf>
    <xf numFmtId="3" fontId="2" fillId="0" borderId="15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3" fillId="0" borderId="12" xfId="0" applyNumberFormat="1" applyFont="1" applyFill="1" applyBorder="1"/>
    <xf numFmtId="3" fontId="2" fillId="0" borderId="18" xfId="0" applyNumberFormat="1" applyFont="1" applyBorder="1"/>
    <xf numFmtId="3" fontId="38" fillId="0" borderId="14" xfId="0" applyNumberFormat="1" applyFont="1" applyBorder="1" applyAlignment="1">
      <alignment vertical="center"/>
    </xf>
    <xf numFmtId="0" fontId="0" fillId="0" borderId="12" xfId="55" applyFont="1" applyBorder="1" applyAlignment="1">
      <alignment/>
      <protection/>
    </xf>
    <xf numFmtId="0" fontId="2" fillId="0" borderId="18" xfId="55" applyFont="1" applyBorder="1" applyAlignment="1">
      <alignment/>
      <protection/>
    </xf>
    <xf numFmtId="9" fontId="2" fillId="0" borderId="12" xfId="0" applyNumberFormat="1" applyFont="1" applyBorder="1"/>
    <xf numFmtId="0" fontId="11" fillId="0" borderId="19" xfId="54" applyFont="1" applyBorder="1" applyAlignment="1">
      <alignment horizontal="center" vertical="center"/>
      <protection/>
    </xf>
    <xf numFmtId="0" fontId="5" fillId="0" borderId="10" xfId="0" applyFont="1" applyBorder="1"/>
    <xf numFmtId="3" fontId="5" fillId="0" borderId="21" xfId="0" applyNumberFormat="1" applyFont="1" applyBorder="1"/>
    <xf numFmtId="0" fontId="31" fillId="0" borderId="29" xfId="54" applyFont="1" applyBorder="1" applyAlignment="1">
      <alignment vertical="center"/>
      <protection/>
    </xf>
    <xf numFmtId="0" fontId="7" fillId="0" borderId="12" xfId="55" applyFont="1" applyBorder="1" applyAlignment="1">
      <alignment/>
      <protection/>
    </xf>
    <xf numFmtId="0" fontId="35" fillId="0" borderId="11" xfId="55" applyFont="1" applyBorder="1" applyAlignment="1">
      <alignment/>
      <protection/>
    </xf>
    <xf numFmtId="3" fontId="4" fillId="0" borderId="10" xfId="0" applyNumberFormat="1" applyFont="1" applyBorder="1"/>
    <xf numFmtId="0" fontId="4" fillId="0" borderId="18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2" fillId="0" borderId="18" xfId="55" applyFont="1" applyBorder="1" applyAlignment="1">
      <alignment/>
      <protection/>
    </xf>
    <xf numFmtId="3" fontId="34" fillId="0" borderId="27" xfId="54" applyNumberFormat="1" applyFont="1" applyBorder="1">
      <alignment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8" fillId="0" borderId="15" xfId="0" applyFont="1" applyBorder="1" applyAlignment="1">
      <alignment horizontal="center"/>
    </xf>
    <xf numFmtId="0" fontId="8" fillId="0" borderId="15" xfId="0" applyFont="1" applyBorder="1"/>
    <xf numFmtId="0" fontId="8" fillId="0" borderId="31" xfId="0" applyFont="1" applyBorder="1" applyAlignment="1">
      <alignment horizontal="center"/>
    </xf>
    <xf numFmtId="0" fontId="7" fillId="0" borderId="0" xfId="0" applyFont="1"/>
    <xf numFmtId="0" fontId="8" fillId="0" borderId="31" xfId="0" applyFont="1" applyBorder="1"/>
    <xf numFmtId="3" fontId="5" fillId="0" borderId="12" xfId="0" applyNumberFormat="1" applyFont="1" applyBorder="1"/>
    <xf numFmtId="0" fontId="7" fillId="0" borderId="11" xfId="55" applyFont="1" applyBorder="1" applyAlignment="1">
      <alignment/>
      <protection/>
    </xf>
    <xf numFmtId="3" fontId="35" fillId="0" borderId="20" xfId="54" applyNumberFormat="1" applyFont="1" applyBorder="1">
      <alignment/>
      <protection/>
    </xf>
    <xf numFmtId="0" fontId="2" fillId="0" borderId="32" xfId="0" applyFont="1" applyFill="1" applyBorder="1" applyAlignment="1">
      <alignment horizontal="left" vertical="top"/>
    </xf>
    <xf numFmtId="0" fontId="9" fillId="0" borderId="10" xfId="55" applyFont="1" applyBorder="1" applyAlignment="1">
      <alignment/>
      <protection/>
    </xf>
    <xf numFmtId="0" fontId="4" fillId="0" borderId="11" xfId="0" applyFont="1" applyBorder="1" applyAlignment="1">
      <alignment horizontal="center"/>
    </xf>
    <xf numFmtId="3" fontId="3" fillId="0" borderId="13" xfId="55" applyNumberFormat="1" applyFont="1" applyBorder="1" applyAlignment="1">
      <alignment/>
      <protection/>
    </xf>
    <xf numFmtId="3" fontId="34" fillId="0" borderId="29" xfId="54" applyNumberFormat="1" applyFont="1" applyBorder="1">
      <alignment/>
      <protection/>
    </xf>
    <xf numFmtId="0" fontId="9" fillId="0" borderId="11" xfId="55" applyFont="1" applyBorder="1" applyAlignment="1">
      <alignment/>
      <protection/>
    </xf>
    <xf numFmtId="0" fontId="3" fillId="0" borderId="23" xfId="0" applyFont="1" applyBorder="1" applyAlignment="1">
      <alignment horizontal="center"/>
    </xf>
    <xf numFmtId="3" fontId="8" fillId="0" borderId="12" xfId="0" applyNumberFormat="1" applyFont="1" applyBorder="1"/>
    <xf numFmtId="3" fontId="8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/>
    <xf numFmtId="3" fontId="4" fillId="0" borderId="26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0" fillId="0" borderId="0" xfId="57">
      <alignment/>
      <protection/>
    </xf>
    <xf numFmtId="0" fontId="2" fillId="0" borderId="0" xfId="57" applyFont="1" applyBorder="1" applyAlignment="1">
      <alignment horizontal="centerContinuous"/>
      <protection/>
    </xf>
    <xf numFmtId="3" fontId="9" fillId="0" borderId="10" xfId="57" applyNumberFormat="1" applyFont="1" applyFill="1" applyBorder="1" applyAlignment="1">
      <alignment horizontal="center"/>
      <protection/>
    </xf>
    <xf numFmtId="3" fontId="9" fillId="0" borderId="10" xfId="57" applyNumberFormat="1" applyFont="1" applyFill="1" applyBorder="1" applyAlignment="1" applyProtection="1">
      <alignment horizontal="center"/>
      <protection locked="0"/>
    </xf>
    <xf numFmtId="3" fontId="9" fillId="0" borderId="31" xfId="57" applyNumberFormat="1" applyFont="1" applyFill="1" applyBorder="1" applyAlignment="1" applyProtection="1">
      <alignment horizontal="center"/>
      <protection locked="0"/>
    </xf>
    <xf numFmtId="3" fontId="12" fillId="0" borderId="10" xfId="57" applyNumberFormat="1" applyFont="1" applyFill="1" applyBorder="1" applyAlignment="1" applyProtection="1">
      <alignment horizontal="center"/>
      <protection locked="0"/>
    </xf>
    <xf numFmtId="0" fontId="9" fillId="0" borderId="31" xfId="57" applyFont="1" applyFill="1" applyBorder="1" applyProtection="1">
      <alignment/>
      <protection locked="0"/>
    </xf>
    <xf numFmtId="0" fontId="9" fillId="0" borderId="14" xfId="55" applyFont="1" applyBorder="1" applyAlignment="1">
      <alignment/>
      <protection/>
    </xf>
    <xf numFmtId="0" fontId="8" fillId="0" borderId="12" xfId="55" applyFont="1" applyBorder="1" applyAlignment="1">
      <alignment/>
      <protection/>
    </xf>
    <xf numFmtId="0" fontId="9" fillId="0" borderId="18" xfId="55" applyFont="1" applyBorder="1" applyAlignment="1">
      <alignment/>
      <protection/>
    </xf>
    <xf numFmtId="0" fontId="43" fillId="0" borderId="15" xfId="55" applyFont="1" applyBorder="1" applyAlignment="1">
      <alignment/>
      <protection/>
    </xf>
    <xf numFmtId="0" fontId="43" fillId="0" borderId="10" xfId="55" applyFont="1" applyBorder="1" applyAlignment="1">
      <alignment/>
      <protection/>
    </xf>
    <xf numFmtId="0" fontId="43" fillId="0" borderId="15" xfId="55" applyFont="1" applyBorder="1" applyAlignment="1">
      <alignment vertical="center"/>
      <protection/>
    </xf>
    <xf numFmtId="0" fontId="43" fillId="0" borderId="15" xfId="55" applyFont="1" applyBorder="1" applyAlignment="1">
      <alignment vertical="center"/>
      <protection/>
    </xf>
    <xf numFmtId="0" fontId="4" fillId="0" borderId="13" xfId="55" applyFont="1" applyBorder="1" applyAlignment="1">
      <alignment/>
      <protection/>
    </xf>
    <xf numFmtId="0" fontId="9" fillId="0" borderId="12" xfId="55" applyFont="1" applyBorder="1" applyAlignment="1">
      <alignment vertical="center"/>
      <protection/>
    </xf>
    <xf numFmtId="0" fontId="9" fillId="0" borderId="12" xfId="55" applyFont="1" applyBorder="1" applyAlignment="1">
      <alignment/>
      <protection/>
    </xf>
    <xf numFmtId="0" fontId="9" fillId="0" borderId="15" xfId="55" applyFont="1" applyBorder="1" applyAlignment="1">
      <alignment vertical="center"/>
      <protection/>
    </xf>
    <xf numFmtId="0" fontId="43" fillId="0" borderId="18" xfId="55" applyFont="1" applyBorder="1" applyAlignment="1">
      <alignment vertical="center"/>
      <protection/>
    </xf>
    <xf numFmtId="0" fontId="43" fillId="0" borderId="12" xfId="55" applyFont="1" applyBorder="1" applyAlignment="1">
      <alignment vertical="center"/>
      <protection/>
    </xf>
    <xf numFmtId="0" fontId="11" fillId="0" borderId="15" xfId="55" applyFont="1" applyBorder="1" applyAlignment="1">
      <alignment/>
      <protection/>
    </xf>
    <xf numFmtId="0" fontId="4" fillId="0" borderId="25" xfId="55" applyFont="1" applyBorder="1" applyAlignment="1">
      <alignment/>
      <protection/>
    </xf>
    <xf numFmtId="0" fontId="43" fillId="0" borderId="29" xfId="55" applyFont="1" applyBorder="1" applyAlignment="1">
      <alignment/>
      <protection/>
    </xf>
    <xf numFmtId="0" fontId="4" fillId="0" borderId="33" xfId="55" applyFont="1" applyBorder="1" applyAlignment="1">
      <alignment/>
      <protection/>
    </xf>
    <xf numFmtId="0" fontId="43" fillId="0" borderId="29" xfId="55" applyFont="1" applyBorder="1" applyAlignment="1">
      <alignment vertical="center"/>
      <protection/>
    </xf>
    <xf numFmtId="0" fontId="3" fillId="0" borderId="15" xfId="55" applyFont="1" applyBorder="1" applyAlignment="1">
      <alignment/>
      <protection/>
    </xf>
    <xf numFmtId="0" fontId="35" fillId="0" borderId="12" xfId="55" applyFont="1" applyBorder="1" applyAlignment="1">
      <alignment/>
      <protection/>
    </xf>
    <xf numFmtId="0" fontId="35" fillId="0" borderId="21" xfId="55" applyFont="1" applyBorder="1" applyAlignment="1">
      <alignment/>
      <protection/>
    </xf>
    <xf numFmtId="0" fontId="34" fillId="0" borderId="15" xfId="55" applyFont="1" applyBorder="1" applyAlignment="1">
      <alignment/>
      <protection/>
    </xf>
    <xf numFmtId="0" fontId="31" fillId="0" borderId="15" xfId="55" applyFont="1" applyBorder="1" applyAlignment="1">
      <alignment/>
      <protection/>
    </xf>
    <xf numFmtId="0" fontId="35" fillId="0" borderId="15" xfId="55" applyFont="1" applyBorder="1" applyAlignment="1">
      <alignment/>
      <protection/>
    </xf>
    <xf numFmtId="0" fontId="31" fillId="0" borderId="33" xfId="55" applyFont="1" applyBorder="1" applyAlignment="1">
      <alignment/>
      <protection/>
    </xf>
    <xf numFmtId="0" fontId="40" fillId="0" borderId="29" xfId="55" applyFont="1" applyBorder="1" applyAlignment="1">
      <alignment/>
      <protection/>
    </xf>
    <xf numFmtId="0" fontId="35" fillId="0" borderId="18" xfId="55" applyFont="1" applyBorder="1" applyAlignment="1">
      <alignment/>
      <protection/>
    </xf>
    <xf numFmtId="0" fontId="35" fillId="0" borderId="14" xfId="55" applyFont="1" applyBorder="1" applyAlignment="1">
      <alignment/>
      <protection/>
    </xf>
    <xf numFmtId="3" fontId="35" fillId="0" borderId="21" xfId="54" applyNumberFormat="1" applyFont="1" applyBorder="1">
      <alignment/>
      <protection/>
    </xf>
    <xf numFmtId="3" fontId="34" fillId="0" borderId="15" xfId="54" applyNumberFormat="1" applyFont="1" applyBorder="1">
      <alignment/>
      <protection/>
    </xf>
    <xf numFmtId="3" fontId="35" fillId="0" borderId="15" xfId="54" applyNumberFormat="1" applyFont="1" applyBorder="1">
      <alignment/>
      <protection/>
    </xf>
    <xf numFmtId="0" fontId="35" fillId="0" borderId="27" xfId="54" applyFont="1" applyBorder="1">
      <alignment/>
      <protection/>
    </xf>
    <xf numFmtId="0" fontId="32" fillId="0" borderId="15" xfId="54" applyFont="1" applyBorder="1" applyAlignment="1">
      <alignment vertical="center"/>
      <protection/>
    </xf>
    <xf numFmtId="3" fontId="2" fillId="0" borderId="33" xfId="55" applyNumberFormat="1" applyFont="1" applyBorder="1" applyAlignment="1">
      <alignment/>
      <protection/>
    </xf>
    <xf numFmtId="3" fontId="2" fillId="0" borderId="29" xfId="55" applyNumberFormat="1" applyFont="1" applyBorder="1" applyAlignment="1">
      <alignment/>
      <protection/>
    </xf>
    <xf numFmtId="3" fontId="2" fillId="0" borderId="25" xfId="55" applyNumberFormat="1" applyFont="1" applyBorder="1" applyAlignment="1">
      <alignment/>
      <protection/>
    </xf>
    <xf numFmtId="3" fontId="35" fillId="0" borderId="18" xfId="54" applyNumberFormat="1" applyFont="1" applyBorder="1">
      <alignment/>
      <protection/>
    </xf>
    <xf numFmtId="0" fontId="40" fillId="0" borderId="25" xfId="55" applyFont="1" applyBorder="1" applyAlignment="1">
      <alignment vertical="center"/>
      <protection/>
    </xf>
    <xf numFmtId="3" fontId="34" fillId="0" borderId="33" xfId="54" applyNumberFormat="1" applyFont="1" applyBorder="1">
      <alignment/>
      <protection/>
    </xf>
    <xf numFmtId="3" fontId="34" fillId="0" borderId="20" xfId="54" applyNumberFormat="1" applyFont="1" applyBorder="1">
      <alignment/>
      <protection/>
    </xf>
    <xf numFmtId="0" fontId="31" fillId="0" borderId="34" xfId="55" applyFont="1" applyBorder="1" applyAlignment="1">
      <alignment/>
      <protection/>
    </xf>
    <xf numFmtId="3" fontId="34" fillId="0" borderId="34" xfId="54" applyNumberFormat="1" applyFont="1" applyBorder="1">
      <alignment/>
      <protection/>
    </xf>
    <xf numFmtId="3" fontId="3" fillId="0" borderId="35" xfId="0" applyNumberFormat="1" applyFont="1" applyBorder="1" applyAlignment="1">
      <alignment horizontal="right"/>
    </xf>
    <xf numFmtId="3" fontId="7" fillId="0" borderId="35" xfId="0" applyNumberFormat="1" applyFont="1" applyBorder="1"/>
    <xf numFmtId="0" fontId="35" fillId="0" borderId="36" xfId="54" applyFont="1" applyBorder="1">
      <alignment/>
      <protection/>
    </xf>
    <xf numFmtId="0" fontId="35" fillId="0" borderId="25" xfId="54" applyFont="1" applyBorder="1">
      <alignment/>
      <protection/>
    </xf>
    <xf numFmtId="0" fontId="34" fillId="0" borderId="16" xfId="54" applyFont="1" applyBorder="1">
      <alignment/>
      <protection/>
    </xf>
    <xf numFmtId="0" fontId="0" fillId="0" borderId="16" xfId="0" applyBorder="1"/>
    <xf numFmtId="0" fontId="0" fillId="0" borderId="22" xfId="0" applyBorder="1"/>
    <xf numFmtId="0" fontId="35" fillId="0" borderId="34" xfId="55" applyFont="1" applyBorder="1" applyAlignment="1">
      <alignment/>
      <protection/>
    </xf>
    <xf numFmtId="3" fontId="35" fillId="0" borderId="34" xfId="54" applyNumberFormat="1" applyFont="1" applyBorder="1">
      <alignment/>
      <protection/>
    </xf>
    <xf numFmtId="0" fontId="32" fillId="0" borderId="25" xfId="55" applyFont="1" applyBorder="1" applyAlignment="1">
      <alignment vertical="center"/>
      <protection/>
    </xf>
    <xf numFmtId="3" fontId="35" fillId="0" borderId="10" xfId="54" applyNumberFormat="1" applyFont="1" applyBorder="1">
      <alignment/>
      <protection/>
    </xf>
    <xf numFmtId="3" fontId="34" fillId="0" borderId="24" xfId="54" applyNumberFormat="1" applyFont="1" applyBorder="1">
      <alignment/>
      <protection/>
    </xf>
    <xf numFmtId="3" fontId="35" fillId="0" borderId="22" xfId="0" applyNumberFormat="1" applyFont="1" applyBorder="1"/>
    <xf numFmtId="0" fontId="7" fillId="0" borderId="14" xfId="55" applyFont="1" applyBorder="1" applyAlignment="1">
      <alignment/>
      <protection/>
    </xf>
    <xf numFmtId="9" fontId="2" fillId="0" borderId="12" xfId="55" applyNumberFormat="1" applyFont="1" applyBorder="1" applyAlignment="1">
      <alignment/>
      <protection/>
    </xf>
    <xf numFmtId="0" fontId="8" fillId="0" borderId="10" xfId="55" applyFont="1" applyBorder="1" applyAlignment="1">
      <alignment/>
      <protection/>
    </xf>
    <xf numFmtId="3" fontId="37" fillId="0" borderId="37" xfId="54" applyNumberFormat="1" applyFont="1" applyBorder="1" applyAlignment="1">
      <alignment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/>
    <xf numFmtId="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3" fontId="0" fillId="0" borderId="0" xfId="55" applyNumberFormat="1" applyFont="1" applyAlignment="1">
      <alignment/>
      <protection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/>
    <xf numFmtId="0" fontId="3" fillId="0" borderId="0" xfId="55" applyFont="1" applyFill="1" applyAlignment="1">
      <alignment/>
      <protection/>
    </xf>
    <xf numFmtId="0" fontId="2" fillId="0" borderId="0" xfId="55" applyFont="1" applyFill="1" applyAlignment="1">
      <alignment/>
      <protection/>
    </xf>
    <xf numFmtId="3" fontId="2" fillId="0" borderId="12" xfId="0" applyNumberFormat="1" applyFont="1" applyFill="1" applyBorder="1"/>
    <xf numFmtId="3" fontId="2" fillId="0" borderId="11" xfId="0" applyNumberFormat="1" applyFont="1" applyFill="1" applyBorder="1"/>
    <xf numFmtId="3" fontId="2" fillId="0" borderId="11" xfId="0" applyNumberFormat="1" applyFont="1" applyFill="1" applyBorder="1"/>
    <xf numFmtId="3" fontId="3" fillId="0" borderId="12" xfId="0" applyNumberFormat="1" applyFont="1" applyFill="1" applyBorder="1"/>
    <xf numFmtId="0" fontId="3" fillId="0" borderId="19" xfId="57" applyFont="1" applyFill="1" applyBorder="1" applyAlignment="1">
      <alignment horizontal="center"/>
      <protection/>
    </xf>
    <xf numFmtId="0" fontId="3" fillId="0" borderId="19" xfId="57" applyFont="1" applyFill="1" applyBorder="1">
      <alignment/>
      <protection/>
    </xf>
    <xf numFmtId="0" fontId="2" fillId="0" borderId="19" xfId="57" applyFont="1" applyFill="1" applyBorder="1" applyAlignment="1">
      <alignment horizontal="right"/>
      <protection/>
    </xf>
    <xf numFmtId="0" fontId="2" fillId="0" borderId="14" xfId="57" applyFont="1" applyFill="1" applyBorder="1" applyAlignment="1">
      <alignment horizontal="center"/>
      <protection/>
    </xf>
    <xf numFmtId="0" fontId="2" fillId="0" borderId="38" xfId="57" applyFont="1" applyFill="1" applyBorder="1" applyAlignment="1">
      <alignment horizontal="center"/>
      <protection/>
    </xf>
    <xf numFmtId="0" fontId="9" fillId="0" borderId="16" xfId="57" applyFont="1" applyFill="1" applyBorder="1">
      <alignment/>
      <protection/>
    </xf>
    <xf numFmtId="0" fontId="2" fillId="0" borderId="10" xfId="57" applyFont="1" applyFill="1" applyBorder="1" applyAlignment="1">
      <alignment horizontal="center"/>
      <protection/>
    </xf>
    <xf numFmtId="0" fontId="3" fillId="0" borderId="16" xfId="57" applyFont="1" applyFill="1" applyBorder="1">
      <alignment/>
      <protection/>
    </xf>
    <xf numFmtId="0" fontId="3" fillId="0" borderId="14" xfId="57" applyFont="1" applyFill="1" applyBorder="1">
      <alignment/>
      <protection/>
    </xf>
    <xf numFmtId="0" fontId="2" fillId="0" borderId="15" xfId="57" applyFont="1" applyFill="1" applyBorder="1">
      <alignment/>
      <protection/>
    </xf>
    <xf numFmtId="3" fontId="3" fillId="0" borderId="10" xfId="57" applyNumberFormat="1" applyFont="1" applyFill="1" applyBorder="1" applyAlignment="1">
      <alignment horizontal="center"/>
      <protection/>
    </xf>
    <xf numFmtId="9" fontId="3" fillId="0" borderId="10" xfId="57" applyNumberFormat="1" applyFont="1" applyFill="1" applyBorder="1">
      <alignment/>
      <protection/>
    </xf>
    <xf numFmtId="0" fontId="5" fillId="0" borderId="16" xfId="57" applyFont="1" applyFill="1" applyBorder="1">
      <alignment/>
      <protection/>
    </xf>
    <xf numFmtId="0" fontId="3" fillId="0" borderId="16" xfId="57" applyFont="1" applyFill="1" applyBorder="1">
      <alignment/>
      <protection/>
    </xf>
    <xf numFmtId="0" fontId="3" fillId="0" borderId="10" xfId="57" applyFont="1" applyFill="1" applyBorder="1">
      <alignment/>
      <protection/>
    </xf>
    <xf numFmtId="0" fontId="3" fillId="0" borderId="14" xfId="57" applyFont="1" applyFill="1" applyBorder="1">
      <alignment/>
      <protection/>
    </xf>
    <xf numFmtId="0" fontId="2" fillId="0" borderId="15" xfId="57" applyFont="1" applyFill="1" applyBorder="1">
      <alignment/>
      <protection/>
    </xf>
    <xf numFmtId="3" fontId="2" fillId="0" borderId="10" xfId="57" applyNumberFormat="1" applyFont="1" applyFill="1" applyBorder="1" applyAlignment="1">
      <alignment horizontal="center"/>
      <protection/>
    </xf>
    <xf numFmtId="0" fontId="4" fillId="0" borderId="38" xfId="57" applyFont="1" applyFill="1" applyBorder="1" applyAlignment="1">
      <alignment vertical="center"/>
      <protection/>
    </xf>
    <xf numFmtId="0" fontId="2" fillId="0" borderId="39" xfId="57" applyFont="1" applyFill="1" applyBorder="1" applyAlignment="1">
      <alignment vertical="center"/>
      <protection/>
    </xf>
    <xf numFmtId="0" fontId="3" fillId="0" borderId="31" xfId="55" applyFont="1" applyFill="1" applyBorder="1" applyAlignment="1">
      <alignment/>
      <protection/>
    </xf>
    <xf numFmtId="0" fontId="3" fillId="0" borderId="10" xfId="55" applyFont="1" applyFill="1" applyBorder="1" applyAlignment="1">
      <alignment/>
      <protection/>
    </xf>
    <xf numFmtId="0" fontId="3" fillId="0" borderId="14" xfId="55" applyFont="1" applyFill="1" applyBorder="1" applyAlignment="1">
      <alignment/>
      <protection/>
    </xf>
    <xf numFmtId="0" fontId="4" fillId="0" borderId="38" xfId="53" applyFont="1" applyFill="1" applyBorder="1" applyAlignment="1">
      <alignment vertical="center"/>
      <protection/>
    </xf>
    <xf numFmtId="3" fontId="5" fillId="0" borderId="10" xfId="57" applyNumberFormat="1" applyFont="1" applyFill="1" applyBorder="1" applyAlignment="1">
      <alignment horizontal="center"/>
      <protection/>
    </xf>
    <xf numFmtId="0" fontId="9" fillId="0" borderId="39" xfId="53" applyFont="1" applyFill="1" applyBorder="1">
      <alignment/>
      <protection/>
    </xf>
    <xf numFmtId="0" fontId="3" fillId="0" borderId="16" xfId="53" applyFont="1" applyFill="1" applyBorder="1" applyAlignment="1">
      <alignment horizontal="left"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14" xfId="53" applyFont="1" applyFill="1" applyBorder="1" applyAlignment="1">
      <alignment horizontal="left"/>
      <protection/>
    </xf>
    <xf numFmtId="0" fontId="2" fillId="0" borderId="14" xfId="53" applyFont="1" applyFill="1" applyBorder="1" applyAlignment="1">
      <alignment horizontal="left"/>
      <protection/>
    </xf>
    <xf numFmtId="0" fontId="2" fillId="0" borderId="39" xfId="53" applyFont="1" applyFill="1" applyBorder="1" applyAlignment="1">
      <alignment horizontal="left"/>
      <protection/>
    </xf>
    <xf numFmtId="0" fontId="9" fillId="0" borderId="39" xfId="53" applyFont="1" applyFill="1" applyBorder="1" applyAlignment="1">
      <alignment horizontal="left"/>
      <protection/>
    </xf>
    <xf numFmtId="0" fontId="9" fillId="0" borderId="31" xfId="57" applyFont="1" applyFill="1" applyBorder="1">
      <alignment/>
      <protection/>
    </xf>
    <xf numFmtId="0" fontId="9" fillId="0" borderId="16" xfId="57" applyFont="1" applyFill="1" applyBorder="1" applyProtection="1">
      <alignment/>
      <protection locked="0"/>
    </xf>
    <xf numFmtId="3" fontId="9" fillId="0" borderId="31" xfId="57" applyNumberFormat="1" applyFont="1" applyFill="1" applyBorder="1" applyAlignment="1" applyProtection="1">
      <alignment horizontal="left"/>
      <protection locked="0"/>
    </xf>
    <xf numFmtId="0" fontId="9" fillId="0" borderId="39" xfId="53" applyFont="1" applyFill="1" applyBorder="1" applyAlignment="1">
      <alignment vertical="center"/>
      <protection/>
    </xf>
    <xf numFmtId="0" fontId="12" fillId="0" borderId="31" xfId="57" applyFont="1" applyFill="1" applyBorder="1" applyProtection="1">
      <alignment/>
      <protection locked="0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0" xfId="0" applyFont="1" applyFill="1"/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23" xfId="0" applyFont="1" applyFill="1" applyBorder="1"/>
    <xf numFmtId="3" fontId="2" fillId="0" borderId="11" xfId="0" applyNumberFormat="1" applyFont="1" applyFill="1" applyBorder="1" applyAlignment="1">
      <alignment horizontal="right"/>
    </xf>
    <xf numFmtId="9" fontId="2" fillId="0" borderId="12" xfId="0" applyNumberFormat="1" applyFont="1" applyFill="1" applyBorder="1"/>
    <xf numFmtId="0" fontId="2" fillId="0" borderId="11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27" xfId="0" applyFont="1" applyFill="1" applyBorder="1"/>
    <xf numFmtId="3" fontId="3" fillId="0" borderId="12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2" fillId="0" borderId="39" xfId="0" applyFont="1" applyFill="1" applyBorder="1"/>
    <xf numFmtId="0" fontId="2" fillId="0" borderId="4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18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/>
    <xf numFmtId="0" fontId="2" fillId="0" borderId="27" xfId="0" applyFont="1" applyFill="1" applyBorder="1"/>
    <xf numFmtId="3" fontId="6" fillId="0" borderId="11" xfId="0" applyNumberFormat="1" applyFont="1" applyFill="1" applyBorder="1"/>
    <xf numFmtId="3" fontId="6" fillId="0" borderId="12" xfId="0" applyNumberFormat="1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/>
    <xf numFmtId="3" fontId="3" fillId="0" borderId="0" xfId="0" applyNumberFormat="1" applyFont="1" applyFill="1"/>
    <xf numFmtId="0" fontId="1" fillId="0" borderId="0" xfId="59" applyFill="1">
      <alignment/>
      <protection/>
    </xf>
    <xf numFmtId="0" fontId="11" fillId="0" borderId="0" xfId="59" applyFont="1" applyFill="1" applyAlignment="1">
      <alignment horizontal="center"/>
      <protection/>
    </xf>
    <xf numFmtId="0" fontId="11" fillId="0" borderId="19" xfId="59" applyFont="1" applyFill="1" applyBorder="1" applyAlignment="1">
      <alignment horizontal="right"/>
      <protection/>
    </xf>
    <xf numFmtId="0" fontId="1" fillId="0" borderId="13" xfId="59" applyFill="1" applyBorder="1">
      <alignment/>
      <protection/>
    </xf>
    <xf numFmtId="0" fontId="2" fillId="0" borderId="17" xfId="59" applyFont="1" applyFill="1" applyBorder="1" applyAlignment="1">
      <alignment horizontal="center"/>
      <protection/>
    </xf>
    <xf numFmtId="0" fontId="1" fillId="0" borderId="10" xfId="59" applyFill="1" applyBorder="1">
      <alignment/>
      <protection/>
    </xf>
    <xf numFmtId="0" fontId="2" fillId="0" borderId="16" xfId="59" applyFont="1" applyFill="1" applyBorder="1" applyAlignment="1">
      <alignment horizontal="center"/>
      <protection/>
    </xf>
    <xf numFmtId="0" fontId="1" fillId="0" borderId="14" xfId="59" applyFill="1" applyBorder="1">
      <alignment/>
      <protection/>
    </xf>
    <xf numFmtId="0" fontId="2" fillId="0" borderId="38" xfId="59" applyFont="1" applyFill="1" applyBorder="1" applyAlignment="1">
      <alignment horizontal="center"/>
      <protection/>
    </xf>
    <xf numFmtId="0" fontId="8" fillId="0" borderId="14" xfId="59" applyFont="1" applyFill="1" applyBorder="1" applyAlignment="1">
      <alignment horizontal="center"/>
      <protection/>
    </xf>
    <xf numFmtId="0" fontId="2" fillId="0" borderId="14" xfId="59" applyFont="1" applyFill="1" applyBorder="1" applyAlignment="1">
      <alignment horizontal="center"/>
      <protection/>
    </xf>
    <xf numFmtId="0" fontId="11" fillId="0" borderId="10" xfId="59" applyFont="1" applyFill="1" applyBorder="1">
      <alignment/>
      <protection/>
    </xf>
    <xf numFmtId="0" fontId="4" fillId="0" borderId="16" xfId="59" applyFont="1" applyFill="1" applyBorder="1" applyAlignment="1">
      <alignment horizontal="left"/>
      <protection/>
    </xf>
    <xf numFmtId="0" fontId="2" fillId="0" borderId="10" xfId="59" applyFont="1" applyFill="1" applyBorder="1" applyAlignment="1">
      <alignment horizontal="center"/>
      <protection/>
    </xf>
    <xf numFmtId="0" fontId="1" fillId="0" borderId="31" xfId="59" applyFill="1" applyBorder="1">
      <alignment/>
      <protection/>
    </xf>
    <xf numFmtId="0" fontId="11" fillId="0" borderId="15" xfId="59" applyFont="1" applyFill="1" applyBorder="1">
      <alignment/>
      <protection/>
    </xf>
    <xf numFmtId="0" fontId="11" fillId="0" borderId="14" xfId="59" applyFont="1" applyFill="1" applyBorder="1">
      <alignment/>
      <protection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3" fillId="0" borderId="0" xfId="0" applyFont="1" applyFill="1" applyBorder="1"/>
    <xf numFmtId="3" fontId="2" fillId="0" borderId="1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right" vertical="center"/>
    </xf>
    <xf numFmtId="9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 vertical="top"/>
    </xf>
    <xf numFmtId="3" fontId="8" fillId="0" borderId="11" xfId="0" applyNumberFormat="1" applyFont="1" applyFill="1" applyBorder="1" applyAlignment="1">
      <alignment horizontal="right"/>
    </xf>
    <xf numFmtId="3" fontId="39" fillId="0" borderId="41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/>
    <xf numFmtId="3" fontId="39" fillId="0" borderId="42" xfId="0" applyNumberFormat="1" applyFont="1" applyFill="1" applyBorder="1" applyAlignment="1">
      <alignment horizontal="center"/>
    </xf>
    <xf numFmtId="3" fontId="7" fillId="0" borderId="12" xfId="0" applyNumberFormat="1" applyFont="1" applyFill="1" applyBorder="1"/>
    <xf numFmtId="0" fontId="7" fillId="0" borderId="27" xfId="0" applyFont="1" applyFill="1" applyBorder="1"/>
    <xf numFmtId="3" fontId="7" fillId="0" borderId="11" xfId="0" applyNumberFormat="1" applyFont="1" applyFill="1" applyBorder="1"/>
    <xf numFmtId="0" fontId="7" fillId="0" borderId="12" xfId="0" applyFont="1" applyFill="1" applyBorder="1"/>
    <xf numFmtId="3" fontId="39" fillId="0" borderId="43" xfId="0" applyNumberFormat="1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8" fillId="0" borderId="39" xfId="0" applyFont="1" applyFill="1" applyBorder="1"/>
    <xf numFmtId="3" fontId="39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/>
    <xf numFmtId="0" fontId="8" fillId="0" borderId="23" xfId="0" applyFont="1" applyFill="1" applyBorder="1" applyAlignment="1">
      <alignment horizontal="left" vertical="top"/>
    </xf>
    <xf numFmtId="3" fontId="36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3" fontId="39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3" fontId="39" fillId="0" borderId="1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8" fillId="0" borderId="11" xfId="0" applyFont="1" applyFill="1" applyBorder="1"/>
    <xf numFmtId="3" fontId="3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12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0" xfId="0" applyFont="1" applyFill="1" applyBorder="1"/>
    <xf numFmtId="3" fontId="2" fillId="0" borderId="14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42" fillId="0" borderId="14" xfId="0" applyNumberFormat="1" applyFont="1" applyFill="1" applyBorder="1" applyAlignment="1">
      <alignment horizontal="center"/>
    </xf>
    <xf numFmtId="3" fontId="4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23" xfId="0" applyFont="1" applyFill="1" applyBorder="1" applyAlignment="1">
      <alignment horizontal="left"/>
    </xf>
    <xf numFmtId="3" fontId="3" fillId="0" borderId="27" xfId="0" applyNumberFormat="1" applyFont="1" applyFill="1" applyBorder="1"/>
    <xf numFmtId="0" fontId="3" fillId="0" borderId="23" xfId="0" applyFont="1" applyFill="1" applyBorder="1"/>
    <xf numFmtId="164" fontId="2" fillId="0" borderId="15" xfId="0" applyNumberFormat="1" applyFont="1" applyFill="1" applyBorder="1" applyAlignment="1">
      <alignment horizontal="center"/>
    </xf>
    <xf numFmtId="3" fontId="42" fillId="0" borderId="18" xfId="0" applyNumberFormat="1" applyFont="1" applyFill="1" applyBorder="1" applyAlignment="1">
      <alignment horizontal="center"/>
    </xf>
    <xf numFmtId="3" fontId="42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27" xfId="0" applyNumberFormat="1" applyFont="1" applyFill="1" applyBorder="1"/>
    <xf numFmtId="3" fontId="42" fillId="0" borderId="21" xfId="0" applyNumberFormat="1" applyFont="1" applyFill="1" applyBorder="1" applyAlignment="1">
      <alignment horizontal="center"/>
    </xf>
    <xf numFmtId="3" fontId="42" fillId="0" borderId="11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0" fontId="4" fillId="0" borderId="41" xfId="0" applyFont="1" applyFill="1" applyBorder="1"/>
    <xf numFmtId="0" fontId="4" fillId="0" borderId="42" xfId="0" applyFont="1" applyFill="1" applyBorder="1"/>
    <xf numFmtId="0" fontId="0" fillId="0" borderId="4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42" xfId="0" applyFont="1" applyFill="1" applyBorder="1"/>
    <xf numFmtId="0" fontId="0" fillId="0" borderId="12" xfId="0" applyFont="1" applyFill="1" applyBorder="1"/>
    <xf numFmtId="0" fontId="0" fillId="0" borderId="41" xfId="0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3" fillId="0" borderId="21" xfId="0" applyNumberFormat="1" applyFont="1" applyFill="1" applyBorder="1"/>
    <xf numFmtId="3" fontId="2" fillId="0" borderId="14" xfId="0" applyNumberFormat="1" applyFont="1" applyFill="1" applyBorder="1"/>
    <xf numFmtId="3" fontId="6" fillId="0" borderId="11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/>
    <xf numFmtId="1" fontId="2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Continuous" vertical="top"/>
    </xf>
    <xf numFmtId="0" fontId="2" fillId="0" borderId="3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 vertical="top"/>
    </xf>
    <xf numFmtId="0" fontId="2" fillId="0" borderId="32" xfId="0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3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/>
    <xf numFmtId="0" fontId="2" fillId="0" borderId="12" xfId="0" applyFont="1" applyFill="1" applyBorder="1" applyAlignment="1">
      <alignment/>
    </xf>
    <xf numFmtId="0" fontId="3" fillId="0" borderId="12" xfId="0" applyFont="1" applyFill="1" applyBorder="1"/>
    <xf numFmtId="0" fontId="2" fillId="0" borderId="10" xfId="0" applyFont="1" applyFill="1" applyBorder="1" applyAlignment="1">
      <alignment/>
    </xf>
    <xf numFmtId="0" fontId="2" fillId="0" borderId="12" xfId="0" applyFont="1" applyFill="1" applyBorder="1"/>
    <xf numFmtId="0" fontId="2" fillId="0" borderId="20" xfId="0" applyFont="1" applyFill="1" applyBorder="1" applyAlignment="1">
      <alignment/>
    </xf>
    <xf numFmtId="0" fontId="2" fillId="0" borderId="10" xfId="0" applyFont="1" applyFill="1" applyBorder="1"/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1" xfId="0" applyFont="1" applyFill="1" applyBorder="1"/>
    <xf numFmtId="0" fontId="2" fillId="0" borderId="16" xfId="0" applyFont="1" applyFill="1" applyBorder="1" applyAlignment="1">
      <alignment horizontal="left"/>
    </xf>
    <xf numFmtId="3" fontId="6" fillId="0" borderId="10" xfId="0" applyNumberFormat="1" applyFont="1" applyFill="1" applyBorder="1"/>
    <xf numFmtId="3" fontId="3" fillId="0" borderId="10" xfId="0" applyNumberFormat="1" applyFont="1" applyFill="1" applyBorder="1"/>
    <xf numFmtId="3" fontId="2" fillId="0" borderId="10" xfId="0" applyNumberFormat="1" applyFont="1" applyFill="1" applyBorder="1"/>
    <xf numFmtId="3" fontId="6" fillId="0" borderId="10" xfId="0" applyNumberFormat="1" applyFont="1" applyFill="1" applyBorder="1"/>
    <xf numFmtId="0" fontId="3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9" fontId="7" fillId="0" borderId="10" xfId="0" applyNumberFormat="1" applyFont="1" applyFill="1" applyBorder="1"/>
    <xf numFmtId="0" fontId="7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9" fontId="7" fillId="0" borderId="10" xfId="65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36" fillId="0" borderId="10" xfId="0" applyFont="1" applyFill="1" applyBorder="1"/>
    <xf numFmtId="0" fontId="3" fillId="0" borderId="12" xfId="0" applyFont="1" applyFill="1" applyBorder="1" applyAlignment="1">
      <alignment horizontal="center"/>
    </xf>
    <xf numFmtId="3" fontId="3" fillId="0" borderId="21" xfId="55" applyNumberFormat="1" applyFont="1" applyFill="1" applyBorder="1" applyAlignment="1">
      <alignment/>
      <protection/>
    </xf>
    <xf numFmtId="0" fontId="3" fillId="0" borderId="21" xfId="55" applyFont="1" applyFill="1" applyBorder="1" applyAlignment="1">
      <alignment/>
      <protection/>
    </xf>
    <xf numFmtId="0" fontId="3" fillId="0" borderId="12" xfId="55" applyFont="1" applyFill="1" applyBorder="1" applyAlignment="1">
      <alignment/>
      <protection/>
    </xf>
    <xf numFmtId="0" fontId="2" fillId="0" borderId="12" xfId="55" applyFont="1" applyFill="1" applyBorder="1" applyAlignment="1">
      <alignment/>
      <protection/>
    </xf>
    <xf numFmtId="3" fontId="2" fillId="0" borderId="11" xfId="55" applyNumberFormat="1" applyFont="1" applyFill="1" applyBorder="1" applyAlignment="1">
      <alignment/>
      <protection/>
    </xf>
    <xf numFmtId="3" fontId="3" fillId="0" borderId="12" xfId="55" applyNumberFormat="1" applyFont="1" applyFill="1" applyBorder="1" applyAlignment="1">
      <alignment/>
      <protection/>
    </xf>
    <xf numFmtId="0" fontId="2" fillId="0" borderId="14" xfId="57" applyFont="1" applyFill="1" applyBorder="1" applyAlignment="1">
      <alignment horizontal="right"/>
      <protection/>
    </xf>
    <xf numFmtId="9" fontId="7" fillId="0" borderId="14" xfId="59" applyNumberFormat="1" applyFont="1" applyFill="1" applyBorder="1">
      <alignment/>
      <protection/>
    </xf>
    <xf numFmtId="9" fontId="7" fillId="0" borderId="10" xfId="59" applyNumberFormat="1" applyFont="1" applyFill="1" applyBorder="1">
      <alignment/>
      <protection/>
    </xf>
    <xf numFmtId="3" fontId="8" fillId="0" borderId="11" xfId="0" applyNumberFormat="1" applyFont="1" applyFill="1" applyBorder="1" applyAlignment="1">
      <alignment horizontal="center"/>
    </xf>
    <xf numFmtId="0" fontId="44" fillId="0" borderId="0" xfId="59" applyFont="1" applyFill="1">
      <alignment/>
      <protection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/>
    <xf numFmtId="3" fontId="41" fillId="0" borderId="12" xfId="0" applyNumberFormat="1" applyFont="1" applyFill="1" applyBorder="1" applyAlignment="1">
      <alignment horizontal="center"/>
    </xf>
    <xf numFmtId="0" fontId="45" fillId="0" borderId="42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4" xfId="55" applyFont="1" applyBorder="1" applyAlignment="1">
      <alignment/>
      <protection/>
    </xf>
    <xf numFmtId="0" fontId="5" fillId="0" borderId="16" xfId="53" applyFont="1" applyFill="1" applyBorder="1" applyAlignment="1">
      <alignment horizontal="left"/>
      <protection/>
    </xf>
    <xf numFmtId="0" fontId="5" fillId="0" borderId="38" xfId="53" applyFont="1" applyFill="1" applyBorder="1" applyAlignment="1">
      <alignment horizontal="left"/>
      <protection/>
    </xf>
    <xf numFmtId="0" fontId="2" fillId="0" borderId="16" xfId="57" applyFont="1" applyFill="1" applyBorder="1" applyAlignment="1">
      <alignment horizontal="center"/>
      <protection/>
    </xf>
    <xf numFmtId="0" fontId="3" fillId="0" borderId="38" xfId="53" applyFont="1" applyFill="1" applyBorder="1" applyAlignment="1">
      <alignment horizontal="left"/>
      <protection/>
    </xf>
    <xf numFmtId="0" fontId="11" fillId="0" borderId="0" xfId="59" applyFont="1" applyFill="1" applyBorder="1">
      <alignment/>
      <protection/>
    </xf>
    <xf numFmtId="0" fontId="5" fillId="0" borderId="10" xfId="53" applyFont="1" applyFill="1" applyBorder="1" applyAlignment="1">
      <alignment horizontal="left"/>
      <protection/>
    </xf>
    <xf numFmtId="0" fontId="11" fillId="0" borderId="38" xfId="59" applyFont="1" applyFill="1" applyBorder="1">
      <alignment/>
      <protection/>
    </xf>
    <xf numFmtId="0" fontId="11" fillId="0" borderId="16" xfId="59" applyFont="1" applyFill="1" applyBorder="1">
      <alignment/>
      <protection/>
    </xf>
    <xf numFmtId="0" fontId="2" fillId="0" borderId="10" xfId="53" applyFont="1" applyFill="1" applyBorder="1" applyAlignment="1">
      <alignment horizontal="left"/>
      <protection/>
    </xf>
    <xf numFmtId="9" fontId="2" fillId="0" borderId="0" xfId="0" applyNumberFormat="1" applyFont="1" applyBorder="1"/>
    <xf numFmtId="0" fontId="3" fillId="0" borderId="26" xfId="0" applyFont="1" applyBorder="1"/>
    <xf numFmtId="0" fontId="2" fillId="0" borderId="44" xfId="0" applyFont="1" applyBorder="1"/>
    <xf numFmtId="0" fontId="3" fillId="0" borderId="20" xfId="0" applyFont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2" fillId="0" borderId="26" xfId="0" applyFont="1" applyBorder="1"/>
    <xf numFmtId="0" fontId="2" fillId="0" borderId="20" xfId="0" applyFont="1" applyBorder="1"/>
    <xf numFmtId="0" fontId="3" fillId="0" borderId="20" xfId="0" applyFont="1" applyBorder="1" applyAlignment="1">
      <alignment horizontal="center"/>
    </xf>
    <xf numFmtId="0" fontId="2" fillId="0" borderId="45" xfId="0" applyFont="1" applyBorder="1"/>
    <xf numFmtId="0" fontId="2" fillId="0" borderId="20" xfId="0" applyFont="1" applyBorder="1"/>
    <xf numFmtId="0" fontId="2" fillId="0" borderId="45" xfId="0" applyFont="1" applyBorder="1"/>
    <xf numFmtId="0" fontId="39" fillId="0" borderId="20" xfId="0" applyFont="1" applyBorder="1"/>
    <xf numFmtId="0" fontId="6" fillId="0" borderId="20" xfId="0" applyFont="1" applyBorder="1" applyAlignment="1">
      <alignment vertical="center" wrapText="1"/>
    </xf>
    <xf numFmtId="0" fontId="2" fillId="0" borderId="41" xfId="0" applyFont="1" applyBorder="1"/>
    <xf numFmtId="0" fontId="4" fillId="0" borderId="12" xfId="55" applyFont="1" applyBorder="1" applyAlignment="1">
      <alignment/>
      <protection/>
    </xf>
    <xf numFmtId="0" fontId="12" fillId="0" borderId="14" xfId="55" applyFont="1" applyBorder="1" applyAlignment="1">
      <alignment/>
      <protection/>
    </xf>
    <xf numFmtId="0" fontId="2" fillId="0" borderId="16" xfId="57" applyFont="1" applyFill="1" applyBorder="1">
      <alignment/>
      <protection/>
    </xf>
    <xf numFmtId="0" fontId="2" fillId="0" borderId="38" xfId="57" applyFont="1" applyFill="1" applyBorder="1">
      <alignment/>
      <protection/>
    </xf>
    <xf numFmtId="0" fontId="3" fillId="0" borderId="38" xfId="57" applyFont="1" applyFill="1" applyBorder="1">
      <alignment/>
      <protection/>
    </xf>
    <xf numFmtId="3" fontId="3" fillId="0" borderId="38" xfId="59" applyNumberFormat="1" applyFont="1" applyFill="1" applyBorder="1" applyAlignment="1">
      <alignment horizontal="right"/>
      <protection/>
    </xf>
    <xf numFmtId="3" fontId="2" fillId="0" borderId="39" xfId="59" applyNumberFormat="1" applyFont="1" applyFill="1" applyBorder="1" applyAlignment="1">
      <alignment horizontal="right"/>
      <protection/>
    </xf>
    <xf numFmtId="3" fontId="3" fillId="0" borderId="16" xfId="59" applyNumberFormat="1" applyFont="1" applyFill="1" applyBorder="1" applyAlignment="1">
      <alignment horizontal="right"/>
      <protection/>
    </xf>
    <xf numFmtId="3" fontId="2" fillId="0" borderId="38" xfId="59" applyNumberFormat="1" applyFont="1" applyFill="1" applyBorder="1" applyAlignment="1">
      <alignment horizontal="right"/>
      <protection/>
    </xf>
    <xf numFmtId="3" fontId="2" fillId="0" borderId="16" xfId="59" applyNumberFormat="1" applyFont="1" applyFill="1" applyBorder="1" applyAlignment="1">
      <alignment horizontal="right"/>
      <protection/>
    </xf>
    <xf numFmtId="3" fontId="5" fillId="0" borderId="16" xfId="59" applyNumberFormat="1" applyFont="1" applyFill="1" applyBorder="1" applyAlignment="1">
      <alignment horizontal="right"/>
      <protection/>
    </xf>
    <xf numFmtId="3" fontId="5" fillId="0" borderId="38" xfId="59" applyNumberFormat="1" applyFont="1" applyFill="1" applyBorder="1" applyAlignment="1">
      <alignment horizontal="right"/>
      <protection/>
    </xf>
    <xf numFmtId="3" fontId="3" fillId="0" borderId="16" xfId="59" applyNumberFormat="1" applyFont="1" applyFill="1" applyBorder="1" applyAlignment="1">
      <alignment horizontal="right"/>
      <protection/>
    </xf>
    <xf numFmtId="3" fontId="2" fillId="0" borderId="13" xfId="0" applyNumberFormat="1" applyFont="1" applyBorder="1" applyAlignment="1">
      <alignment horizontal="center"/>
    </xf>
    <xf numFmtId="0" fontId="3" fillId="0" borderId="20" xfId="0" applyFont="1" applyBorder="1"/>
    <xf numFmtId="0" fontId="2" fillId="0" borderId="0" xfId="55" applyFont="1" applyBorder="1" applyAlignment="1">
      <alignment horizontal="right"/>
      <protection/>
    </xf>
    <xf numFmtId="0" fontId="0" fillId="0" borderId="42" xfId="0" applyFont="1" applyFill="1" applyBorder="1" applyAlignment="1">
      <alignment horizontal="center"/>
    </xf>
    <xf numFmtId="0" fontId="3" fillId="0" borderId="0" xfId="55" applyFont="1" applyFill="1" applyAlignment="1">
      <alignment/>
      <protection/>
    </xf>
    <xf numFmtId="0" fontId="2" fillId="0" borderId="11" xfId="0" applyFont="1" applyFill="1" applyBorder="1" applyAlignment="1">
      <alignment horizontal="left"/>
    </xf>
    <xf numFmtId="3" fontId="2" fillId="0" borderId="41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36" fillId="0" borderId="41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3" fontId="37" fillId="0" borderId="10" xfId="54" applyNumberFormat="1" applyFont="1" applyBorder="1" applyAlignment="1">
      <alignment vertical="center"/>
      <protection/>
    </xf>
    <xf numFmtId="0" fontId="7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0" fontId="4" fillId="0" borderId="11" xfId="0" applyFont="1" applyFill="1" applyBorder="1" applyAlignment="1">
      <alignment horizontal="left"/>
    </xf>
    <xf numFmtId="0" fontId="12" fillId="0" borderId="15" xfId="55" applyFont="1" applyBorder="1" applyAlignment="1">
      <alignment vertical="center"/>
      <protection/>
    </xf>
    <xf numFmtId="0" fontId="3" fillId="0" borderId="11" xfId="0" applyFont="1" applyFill="1" applyBorder="1" applyAlignment="1">
      <alignment horizontal="left"/>
    </xf>
    <xf numFmtId="0" fontId="2" fillId="0" borderId="14" xfId="55" applyFont="1" applyBorder="1" applyAlignment="1">
      <alignment/>
      <protection/>
    </xf>
    <xf numFmtId="3" fontId="3" fillId="12" borderId="11" xfId="55" applyNumberFormat="1" applyFont="1" applyFill="1" applyBorder="1" applyAlignment="1">
      <alignment/>
      <protection/>
    </xf>
    <xf numFmtId="3" fontId="2" fillId="12" borderId="12" xfId="55" applyNumberFormat="1" applyFont="1" applyFill="1" applyBorder="1" applyAlignment="1">
      <alignment/>
      <protection/>
    </xf>
    <xf numFmtId="3" fontId="3" fillId="12" borderId="12" xfId="55" applyNumberFormat="1" applyFont="1" applyFill="1" applyBorder="1" applyAlignment="1">
      <alignment/>
      <protection/>
    </xf>
    <xf numFmtId="3" fontId="3" fillId="12" borderId="14" xfId="55" applyNumberFormat="1" applyFont="1" applyFill="1" applyBorder="1" applyAlignment="1">
      <alignment/>
      <protection/>
    </xf>
    <xf numFmtId="3" fontId="9" fillId="12" borderId="15" xfId="55" applyNumberFormat="1" applyFont="1" applyFill="1" applyBorder="1" applyAlignment="1">
      <alignment vertical="center"/>
      <protection/>
    </xf>
    <xf numFmtId="3" fontId="3" fillId="12" borderId="21" xfId="55" applyNumberFormat="1" applyFont="1" applyFill="1" applyBorder="1" applyAlignment="1">
      <alignment/>
      <protection/>
    </xf>
    <xf numFmtId="3" fontId="2" fillId="12" borderId="15" xfId="55" applyNumberFormat="1" applyFont="1" applyFill="1" applyBorder="1" applyAlignment="1">
      <alignment/>
      <protection/>
    </xf>
    <xf numFmtId="3" fontId="3" fillId="12" borderId="15" xfId="55" applyNumberFormat="1" applyFont="1" applyFill="1" applyBorder="1" applyAlignment="1">
      <alignment/>
      <protection/>
    </xf>
    <xf numFmtId="3" fontId="9" fillId="12" borderId="15" xfId="55" applyNumberFormat="1" applyFont="1" applyFill="1" applyBorder="1" applyAlignment="1">
      <alignment/>
      <protection/>
    </xf>
    <xf numFmtId="3" fontId="2" fillId="12" borderId="14" xfId="55" applyNumberFormat="1" applyFont="1" applyFill="1" applyBorder="1" applyAlignment="1">
      <alignment/>
      <protection/>
    </xf>
    <xf numFmtId="3" fontId="2" fillId="12" borderId="15" xfId="55" applyNumberFormat="1" applyFont="1" applyFill="1" applyBorder="1" applyAlignment="1">
      <alignment vertical="center"/>
      <protection/>
    </xf>
    <xf numFmtId="3" fontId="4" fillId="12" borderId="39" xfId="55" applyNumberFormat="1" applyFont="1" applyFill="1" applyBorder="1" applyAlignment="1">
      <alignment/>
      <protection/>
    </xf>
    <xf numFmtId="0" fontId="3" fillId="12" borderId="11" xfId="55" applyFont="1" applyFill="1" applyBorder="1" applyAlignment="1">
      <alignment/>
      <protection/>
    </xf>
    <xf numFmtId="3" fontId="2" fillId="12" borderId="39" xfId="55" applyNumberFormat="1" applyFont="1" applyFill="1" applyBorder="1" applyAlignment="1">
      <alignment/>
      <protection/>
    </xf>
    <xf numFmtId="3" fontId="2" fillId="12" borderId="11" xfId="55" applyNumberFormat="1" applyFont="1" applyFill="1" applyBorder="1" applyAlignment="1">
      <alignment/>
      <protection/>
    </xf>
    <xf numFmtId="3" fontId="3" fillId="12" borderId="11" xfId="0" applyNumberFormat="1" applyFont="1" applyFill="1" applyBorder="1"/>
    <xf numFmtId="3" fontId="3" fillId="12" borderId="21" xfId="0" applyNumberFormat="1" applyFont="1" applyFill="1" applyBorder="1"/>
    <xf numFmtId="3" fontId="4" fillId="12" borderId="14" xfId="55" applyNumberFormat="1" applyFont="1" applyFill="1" applyBorder="1" applyAlignment="1">
      <alignment/>
      <protection/>
    </xf>
    <xf numFmtId="3" fontId="5" fillId="12" borderId="11" xfId="0" applyNumberFormat="1" applyFont="1" applyFill="1" applyBorder="1"/>
    <xf numFmtId="3" fontId="3" fillId="12" borderId="10" xfId="0" applyNumberFormat="1" applyFont="1" applyFill="1" applyBorder="1"/>
    <xf numFmtId="0" fontId="3" fillId="0" borderId="10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/>
    <xf numFmtId="9" fontId="3" fillId="0" borderId="14" xfId="57" applyNumberFormat="1" applyFont="1" applyFill="1" applyBorder="1">
      <alignment/>
      <protection/>
    </xf>
    <xf numFmtId="3" fontId="36" fillId="0" borderId="42" xfId="0" applyNumberFormat="1" applyFont="1" applyFill="1" applyBorder="1" applyAlignment="1">
      <alignment horizontal="center"/>
    </xf>
    <xf numFmtId="3" fontId="36" fillId="0" borderId="46" xfId="0" applyNumberFormat="1" applyFont="1" applyFill="1" applyBorder="1" applyAlignment="1">
      <alignment horizontal="center"/>
    </xf>
    <xf numFmtId="3" fontId="39" fillId="0" borderId="11" xfId="0" applyNumberFormat="1" applyFont="1" applyFill="1" applyBorder="1" applyAlignment="1">
      <alignment horizontal="center"/>
    </xf>
    <xf numFmtId="3" fontId="6" fillId="0" borderId="42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6" xfId="0" applyFont="1" applyBorder="1"/>
    <xf numFmtId="0" fontId="3" fillId="0" borderId="0" xfId="55" applyFont="1" applyAlignment="1">
      <alignment horizontal="left"/>
      <protection/>
    </xf>
    <xf numFmtId="3" fontId="35" fillId="0" borderId="25" xfId="54" applyNumberFormat="1" applyFont="1" applyBorder="1">
      <alignment/>
      <protection/>
    </xf>
    <xf numFmtId="0" fontId="35" fillId="0" borderId="12" xfId="54" applyFont="1" applyBorder="1">
      <alignment/>
      <protection/>
    </xf>
    <xf numFmtId="3" fontId="4" fillId="0" borderId="12" xfId="0" applyNumberFormat="1" applyFont="1" applyFill="1" applyBorder="1"/>
    <xf numFmtId="3" fontId="4" fillId="0" borderId="10" xfId="0" applyNumberFormat="1" applyFont="1" applyFill="1" applyBorder="1" applyAlignment="1">
      <alignment horizontal="center"/>
    </xf>
    <xf numFmtId="3" fontId="2" fillId="0" borderId="12" xfId="55" applyNumberFormat="1" applyFont="1" applyFill="1" applyBorder="1" applyAlignment="1">
      <alignment/>
      <protection/>
    </xf>
    <xf numFmtId="3" fontId="3" fillId="0" borderId="12" xfId="55" applyNumberFormat="1" applyFont="1" applyFill="1" applyBorder="1" applyAlignment="1">
      <alignment/>
      <protection/>
    </xf>
    <xf numFmtId="0" fontId="3" fillId="0" borderId="31" xfId="55" applyFont="1" applyBorder="1" applyAlignment="1">
      <alignment/>
      <protection/>
    </xf>
    <xf numFmtId="0" fontId="9" fillId="0" borderId="11" xfId="55" applyFont="1" applyBorder="1" applyAlignment="1">
      <alignment/>
      <protection/>
    </xf>
    <xf numFmtId="0" fontId="2" fillId="0" borderId="11" xfId="0" applyFont="1" applyFill="1" applyBorder="1" applyAlignment="1">
      <alignment/>
    </xf>
    <xf numFmtId="3" fontId="38" fillId="0" borderId="14" xfId="0" applyNumberFormat="1" applyFont="1" applyBorder="1" applyAlignment="1">
      <alignment vertical="center" wrapText="1"/>
    </xf>
    <xf numFmtId="0" fontId="3" fillId="0" borderId="15" xfId="55" applyFont="1" applyFill="1" applyBorder="1" applyAlignment="1">
      <alignment/>
      <protection/>
    </xf>
    <xf numFmtId="0" fontId="3" fillId="0" borderId="38" xfId="57" applyFont="1" applyFill="1" applyBorder="1" applyAlignment="1">
      <alignment vertical="center"/>
      <protection/>
    </xf>
    <xf numFmtId="0" fontId="3" fillId="0" borderId="21" xfId="55" applyFont="1" applyBorder="1" applyAlignment="1">
      <alignment/>
      <protection/>
    </xf>
    <xf numFmtId="0" fontId="3" fillId="0" borderId="40" xfId="57" applyFont="1" applyFill="1" applyBorder="1" applyAlignment="1">
      <alignment vertical="center"/>
      <protection/>
    </xf>
    <xf numFmtId="3" fontId="2" fillId="12" borderId="18" xfId="55" applyNumberFormat="1" applyFont="1" applyFill="1" applyBorder="1" applyAlignment="1">
      <alignment/>
      <protection/>
    </xf>
    <xf numFmtId="0" fontId="35" fillId="0" borderId="10" xfId="55" applyFont="1" applyBorder="1" applyAlignment="1">
      <alignment/>
      <protection/>
    </xf>
    <xf numFmtId="0" fontId="35" fillId="0" borderId="13" xfId="56" applyFont="1" applyBorder="1" applyAlignment="1">
      <alignment/>
      <protection/>
    </xf>
    <xf numFmtId="3" fontId="3" fillId="0" borderId="10" xfId="0" applyNumberFormat="1" applyFont="1" applyFill="1" applyBorder="1" applyAlignment="1">
      <alignment horizontal="center"/>
    </xf>
    <xf numFmtId="3" fontId="3" fillId="0" borderId="10" xfId="55" applyNumberFormat="1" applyFont="1" applyBorder="1" applyAlignment="1">
      <alignment/>
      <protection/>
    </xf>
    <xf numFmtId="0" fontId="8" fillId="0" borderId="27" xfId="0" applyFont="1" applyFill="1" applyBorder="1" applyAlignment="1">
      <alignment horizontal="left" vertical="center"/>
    </xf>
    <xf numFmtId="3" fontId="0" fillId="0" borderId="12" xfId="0" applyNumberFormat="1" applyFont="1" applyBorder="1"/>
    <xf numFmtId="0" fontId="7" fillId="0" borderId="16" xfId="0" applyFont="1" applyFill="1" applyBorder="1"/>
    <xf numFmtId="3" fontId="3" fillId="0" borderId="10" xfId="0" applyNumberFormat="1" applyFont="1" applyFill="1" applyBorder="1" applyAlignment="1">
      <alignment horizontal="center"/>
    </xf>
    <xf numFmtId="3" fontId="32" fillId="0" borderId="29" xfId="54" applyNumberFormat="1" applyFont="1" applyFill="1" applyBorder="1" applyAlignment="1">
      <alignment vertical="center"/>
      <protection/>
    </xf>
    <xf numFmtId="0" fontId="5" fillId="0" borderId="27" xfId="53" applyFont="1" applyFill="1" applyBorder="1" applyAlignment="1">
      <alignment horizontal="left"/>
      <protection/>
    </xf>
    <xf numFmtId="0" fontId="2" fillId="0" borderId="32" xfId="53" applyFont="1" applyFill="1" applyBorder="1" applyAlignment="1">
      <alignment horizontal="left"/>
      <protection/>
    </xf>
    <xf numFmtId="0" fontId="35" fillId="0" borderId="0" xfId="54" applyFont="1">
      <alignment/>
      <protection/>
    </xf>
    <xf numFmtId="3" fontId="2" fillId="12" borderId="13" xfId="55" applyNumberFormat="1" applyFont="1" applyFill="1" applyBorder="1" applyAlignment="1">
      <alignment/>
      <protection/>
    </xf>
    <xf numFmtId="3" fontId="5" fillId="0" borderId="41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9" fontId="7" fillId="0" borderId="10" xfId="59" applyNumberFormat="1" applyFont="1" applyFill="1" applyBorder="1">
      <alignment/>
      <protection/>
    </xf>
    <xf numFmtId="6" fontId="3" fillId="0" borderId="0" xfId="55" applyNumberFormat="1" applyFont="1" applyAlignment="1">
      <alignment/>
      <protection/>
    </xf>
    <xf numFmtId="3" fontId="3" fillId="14" borderId="10" xfId="0" applyNumberFormat="1" applyFont="1" applyFill="1" applyBorder="1" applyAlignment="1">
      <alignment horizontal="right"/>
    </xf>
    <xf numFmtId="3" fontId="3" fillId="14" borderId="10" xfId="0" applyNumberFormat="1" applyFont="1" applyFill="1" applyBorder="1"/>
    <xf numFmtId="3" fontId="7" fillId="14" borderId="10" xfId="0" applyNumberFormat="1" applyFont="1" applyFill="1" applyBorder="1"/>
    <xf numFmtId="3" fontId="3" fillId="14" borderId="10" xfId="0" applyNumberFormat="1" applyFont="1" applyFill="1" applyBorder="1" applyAlignment="1">
      <alignment horizontal="right"/>
    </xf>
    <xf numFmtId="3" fontId="3" fillId="14" borderId="11" xfId="0" applyNumberFormat="1" applyFont="1" applyFill="1" applyBorder="1" applyAlignment="1">
      <alignment horizontal="right"/>
    </xf>
    <xf numFmtId="3" fontId="7" fillId="14" borderId="10" xfId="65" applyNumberFormat="1" applyFont="1" applyFill="1" applyBorder="1" applyAlignment="1">
      <alignment horizontal="right"/>
    </xf>
    <xf numFmtId="3" fontId="3" fillId="14" borderId="12" xfId="55" applyNumberFormat="1" applyFont="1" applyFill="1" applyBorder="1" applyAlignment="1">
      <alignment/>
      <protection/>
    </xf>
    <xf numFmtId="3" fontId="2" fillId="14" borderId="12" xfId="55" applyNumberFormat="1" applyFont="1" applyFill="1" applyBorder="1" applyAlignment="1">
      <alignment/>
      <protection/>
    </xf>
    <xf numFmtId="3" fontId="2" fillId="14" borderId="14" xfId="55" applyNumberFormat="1" applyFont="1" applyFill="1" applyBorder="1" applyAlignment="1">
      <alignment/>
      <protection/>
    </xf>
    <xf numFmtId="3" fontId="3" fillId="14" borderId="27" xfId="55" applyNumberFormat="1" applyFont="1" applyFill="1" applyBorder="1" applyAlignment="1">
      <alignment/>
      <protection/>
    </xf>
    <xf numFmtId="3" fontId="3" fillId="14" borderId="23" xfId="55" applyNumberFormat="1" applyFont="1" applyFill="1" applyBorder="1" applyAlignment="1">
      <alignment/>
      <protection/>
    </xf>
    <xf numFmtId="3" fontId="2" fillId="14" borderId="39" xfId="59" applyNumberFormat="1" applyFont="1" applyFill="1" applyBorder="1" applyAlignment="1">
      <alignment horizontal="right"/>
      <protection/>
    </xf>
    <xf numFmtId="3" fontId="2" fillId="14" borderId="15" xfId="0" applyNumberFormat="1" applyFont="1" applyFill="1" applyBorder="1" applyAlignment="1">
      <alignment horizontal="right"/>
    </xf>
    <xf numFmtId="3" fontId="8" fillId="14" borderId="15" xfId="0" applyNumberFormat="1" applyFont="1" applyFill="1" applyBorder="1" applyAlignment="1">
      <alignment horizontal="right"/>
    </xf>
    <xf numFmtId="3" fontId="8" fillId="14" borderId="14" xfId="0" applyNumberFormat="1" applyFont="1" applyFill="1" applyBorder="1" applyAlignment="1">
      <alignment horizontal="right"/>
    </xf>
    <xf numFmtId="3" fontId="2" fillId="14" borderId="14" xfId="0" applyNumberFormat="1" applyFont="1" applyFill="1" applyBorder="1" applyAlignment="1">
      <alignment horizontal="right"/>
    </xf>
    <xf numFmtId="0" fontId="35" fillId="0" borderId="47" xfId="55" applyFont="1" applyBorder="1" applyAlignment="1">
      <alignment/>
      <protection/>
    </xf>
    <xf numFmtId="3" fontId="35" fillId="0" borderId="47" xfId="54" applyNumberFormat="1" applyFont="1" applyBorder="1">
      <alignment/>
      <protection/>
    </xf>
    <xf numFmtId="0" fontId="35" fillId="0" borderId="48" xfId="54" applyFont="1" applyBorder="1">
      <alignment/>
      <protection/>
    </xf>
    <xf numFmtId="3" fontId="3" fillId="14" borderId="11" xfId="0" applyNumberFormat="1" applyFont="1" applyFill="1" applyBorder="1"/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20" xfId="0" applyFont="1" applyFill="1" applyBorder="1"/>
    <xf numFmtId="3" fontId="7" fillId="14" borderId="11" xfId="0" applyNumberFormat="1" applyFont="1" applyFill="1" applyBorder="1" applyAlignment="1">
      <alignment horizontal="right"/>
    </xf>
    <xf numFmtId="3" fontId="8" fillId="14" borderId="11" xfId="0" applyNumberFormat="1" applyFont="1" applyFill="1" applyBorder="1" applyAlignment="1">
      <alignment horizontal="right"/>
    </xf>
    <xf numFmtId="3" fontId="8" fillId="14" borderId="21" xfId="0" applyNumberFormat="1" applyFont="1" applyFill="1" applyBorder="1" applyAlignment="1">
      <alignment horizontal="right"/>
    </xf>
    <xf numFmtId="3" fontId="7" fillId="14" borderId="21" xfId="0" applyNumberFormat="1" applyFont="1" applyFill="1" applyBorder="1" applyAlignment="1">
      <alignment horizontal="right"/>
    </xf>
    <xf numFmtId="3" fontId="2" fillId="14" borderId="11" xfId="0" applyNumberFormat="1" applyFont="1" applyFill="1" applyBorder="1" applyAlignment="1">
      <alignment horizontal="right"/>
    </xf>
    <xf numFmtId="3" fontId="3" fillId="14" borderId="11" xfId="0" applyNumberFormat="1" applyFont="1" applyFill="1" applyBorder="1" applyAlignment="1">
      <alignment horizontal="right"/>
    </xf>
    <xf numFmtId="3" fontId="3" fillId="14" borderId="12" xfId="0" applyNumberFormat="1" applyFont="1" applyFill="1" applyBorder="1" applyAlignment="1">
      <alignment horizontal="right"/>
    </xf>
    <xf numFmtId="3" fontId="3" fillId="14" borderId="14" xfId="0" applyNumberFormat="1" applyFont="1" applyFill="1" applyBorder="1" applyAlignment="1">
      <alignment horizontal="right"/>
    </xf>
    <xf numFmtId="3" fontId="2" fillId="14" borderId="21" xfId="0" applyNumberFormat="1" applyFont="1" applyFill="1" applyBorder="1" applyAlignment="1">
      <alignment horizontal="right"/>
    </xf>
    <xf numFmtId="3" fontId="3" fillId="14" borderId="21" xfId="0" applyNumberFormat="1" applyFont="1" applyFill="1" applyBorder="1" applyAlignment="1">
      <alignment horizontal="right"/>
    </xf>
    <xf numFmtId="3" fontId="7" fillId="14" borderId="14" xfId="0" applyNumberFormat="1" applyFont="1" applyFill="1" applyBorder="1" applyAlignment="1">
      <alignment horizontal="right"/>
    </xf>
    <xf numFmtId="3" fontId="3" fillId="14" borderId="14" xfId="0" applyNumberFormat="1" applyFont="1" applyFill="1" applyBorder="1" applyAlignment="1">
      <alignment horizontal="right"/>
    </xf>
    <xf numFmtId="3" fontId="3" fillId="14" borderId="12" xfId="0" applyNumberFormat="1" applyFont="1" applyFill="1" applyBorder="1" applyAlignment="1">
      <alignment horizontal="right"/>
    </xf>
    <xf numFmtId="3" fontId="2" fillId="14" borderId="18" xfId="0" applyNumberFormat="1" applyFont="1" applyFill="1" applyBorder="1" applyAlignment="1">
      <alignment horizontal="right"/>
    </xf>
    <xf numFmtId="3" fontId="7" fillId="14" borderId="10" xfId="0" applyNumberFormat="1" applyFont="1" applyFill="1" applyBorder="1" applyAlignment="1">
      <alignment horizontal="right"/>
    </xf>
    <xf numFmtId="3" fontId="2" fillId="14" borderId="14" xfId="0" applyNumberFormat="1" applyFont="1" applyFill="1" applyBorder="1" applyAlignment="1">
      <alignment horizontal="right"/>
    </xf>
    <xf numFmtId="3" fontId="2" fillId="14" borderId="15" xfId="0" applyNumberFormat="1" applyFont="1" applyFill="1" applyBorder="1" applyAlignment="1">
      <alignment horizontal="right" vertical="center"/>
    </xf>
    <xf numFmtId="3" fontId="2" fillId="14" borderId="11" xfId="45" applyNumberFormat="1" applyFont="1" applyFill="1" applyBorder="1" applyAlignment="1">
      <alignment horizontal="right"/>
    </xf>
    <xf numFmtId="3" fontId="2" fillId="14" borderId="12" xfId="0" applyNumberFormat="1" applyFont="1" applyFill="1" applyBorder="1" applyAlignment="1">
      <alignment horizontal="right"/>
    </xf>
    <xf numFmtId="0" fontId="0" fillId="14" borderId="10" xfId="0" applyFill="1" applyBorder="1"/>
    <xf numFmtId="3" fontId="2" fillId="14" borderId="11" xfId="0" applyNumberFormat="1" applyFont="1" applyFill="1" applyBorder="1" applyAlignment="1">
      <alignment horizontal="right"/>
    </xf>
    <xf numFmtId="3" fontId="2" fillId="14" borderId="12" xfId="0" applyNumberFormat="1" applyFont="1" applyFill="1" applyBorder="1" applyAlignment="1">
      <alignment horizontal="right"/>
    </xf>
    <xf numFmtId="3" fontId="2" fillId="14" borderId="12" xfId="0" applyNumberFormat="1" applyFont="1" applyFill="1" applyBorder="1"/>
    <xf numFmtId="3" fontId="2" fillId="14" borderId="10" xfId="0" applyNumberFormat="1" applyFont="1" applyFill="1" applyBorder="1" applyAlignment="1">
      <alignment horizontal="right"/>
    </xf>
    <xf numFmtId="3" fontId="2" fillId="14" borderId="10" xfId="0" applyNumberFormat="1" applyFont="1" applyFill="1" applyBorder="1"/>
    <xf numFmtId="3" fontId="2" fillId="14" borderId="11" xfId="0" applyNumberFormat="1" applyFont="1" applyFill="1" applyBorder="1"/>
    <xf numFmtId="3" fontId="2" fillId="14" borderId="12" xfId="0" applyNumberFormat="1" applyFont="1" applyFill="1" applyBorder="1"/>
    <xf numFmtId="3" fontId="36" fillId="0" borderId="12" xfId="54" applyNumberFormat="1" applyFont="1" applyBorder="1">
      <alignment/>
      <protection/>
    </xf>
    <xf numFmtId="3" fontId="2" fillId="0" borderId="15" xfId="0" applyNumberFormat="1" applyFont="1" applyFill="1" applyBorder="1" applyAlignment="1">
      <alignment vertical="center"/>
    </xf>
    <xf numFmtId="3" fontId="3" fillId="0" borderId="11" xfId="0" applyNumberFormat="1" applyFont="1" applyFill="1" applyBorder="1"/>
    <xf numFmtId="3" fontId="2" fillId="0" borderId="14" xfId="0" applyNumberFormat="1" applyFont="1" applyFill="1" applyBorder="1" applyAlignment="1">
      <alignment vertical="center"/>
    </xf>
    <xf numFmtId="9" fontId="3" fillId="0" borderId="12" xfId="55" applyNumberFormat="1" applyFont="1" applyBorder="1" applyAlignment="1">
      <alignment/>
      <protection/>
    </xf>
    <xf numFmtId="9" fontId="2" fillId="0" borderId="15" xfId="55" applyNumberFormat="1" applyFont="1" applyBorder="1" applyAlignment="1">
      <alignment/>
      <protection/>
    </xf>
    <xf numFmtId="9" fontId="3" fillId="0" borderId="11" xfId="55" applyNumberFormat="1" applyFont="1" applyBorder="1" applyAlignment="1">
      <alignment/>
      <protection/>
    </xf>
    <xf numFmtId="9" fontId="3" fillId="0" borderId="12" xfId="0" applyNumberFormat="1" applyFont="1" applyBorder="1"/>
    <xf numFmtId="9" fontId="2" fillId="0" borderId="15" xfId="0" applyNumberFormat="1" applyFont="1" applyBorder="1"/>
    <xf numFmtId="9" fontId="2" fillId="0" borderId="15" xfId="57" applyNumberFormat="1" applyFont="1" applyFill="1" applyBorder="1">
      <alignment/>
      <protection/>
    </xf>
    <xf numFmtId="9" fontId="3" fillId="0" borderId="12" xfId="0" applyNumberFormat="1" applyFont="1" applyFill="1" applyBorder="1"/>
    <xf numFmtId="9" fontId="2" fillId="0" borderId="11" xfId="0" applyNumberFormat="1" applyFont="1" applyFill="1" applyBorder="1"/>
    <xf numFmtId="9" fontId="3" fillId="0" borderId="21" xfId="0" applyNumberFormat="1" applyFont="1" applyFill="1" applyBorder="1"/>
    <xf numFmtId="9" fontId="2" fillId="0" borderId="15" xfId="0" applyNumberFormat="1" applyFont="1" applyFill="1" applyBorder="1"/>
    <xf numFmtId="9" fontId="2" fillId="0" borderId="21" xfId="0" applyNumberFormat="1" applyFont="1" applyFill="1" applyBorder="1"/>
    <xf numFmtId="9" fontId="2" fillId="0" borderId="10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9" fontId="8" fillId="0" borderId="12" xfId="65" applyNumberFormat="1" applyFont="1" applyFill="1" applyBorder="1" applyAlignment="1">
      <alignment horizontal="right"/>
    </xf>
    <xf numFmtId="9" fontId="3" fillId="0" borderId="15" xfId="57" applyNumberFormat="1" applyFont="1" applyFill="1" applyBorder="1">
      <alignment/>
      <protection/>
    </xf>
    <xf numFmtId="9" fontId="2" fillId="0" borderId="14" xfId="57" applyNumberFormat="1" applyFont="1" applyFill="1" applyBorder="1">
      <alignment/>
      <protection/>
    </xf>
    <xf numFmtId="0" fontId="7" fillId="0" borderId="23" xfId="0" applyFont="1" applyFill="1" applyBorder="1"/>
    <xf numFmtId="9" fontId="3" fillId="0" borderId="14" xfId="0" applyNumberFormat="1" applyFont="1" applyBorder="1"/>
    <xf numFmtId="0" fontId="3" fillId="0" borderId="11" xfId="0" applyFont="1" applyFill="1" applyBorder="1" applyAlignment="1">
      <alignment/>
    </xf>
    <xf numFmtId="3" fontId="3" fillId="14" borderId="13" xfId="55" applyNumberFormat="1" applyFont="1" applyFill="1" applyBorder="1" applyAlignment="1">
      <alignment/>
      <protection/>
    </xf>
    <xf numFmtId="3" fontId="3" fillId="14" borderId="14" xfId="55" applyNumberFormat="1" applyFont="1" applyFill="1" applyBorder="1" applyAlignment="1">
      <alignment/>
      <protection/>
    </xf>
    <xf numFmtId="3" fontId="3" fillId="14" borderId="12" xfId="55" applyNumberFormat="1" applyFont="1" applyFill="1" applyBorder="1" applyAlignment="1">
      <alignment/>
      <protection/>
    </xf>
    <xf numFmtId="9" fontId="3" fillId="0" borderId="11" xfId="0" applyNumberFormat="1" applyFont="1" applyFill="1" applyBorder="1" applyAlignment="1">
      <alignment horizontal="right" vertical="center"/>
    </xf>
    <xf numFmtId="9" fontId="2" fillId="0" borderId="21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3" fillId="0" borderId="12" xfId="0" applyNumberFormat="1" applyFont="1" applyFill="1" applyBorder="1" applyAlignment="1">
      <alignment horizontal="right" vertical="center"/>
    </xf>
    <xf numFmtId="9" fontId="3" fillId="0" borderId="21" xfId="0" applyNumberFormat="1" applyFont="1" applyFill="1" applyBorder="1" applyAlignment="1">
      <alignment horizontal="right" vertical="center"/>
    </xf>
    <xf numFmtId="9" fontId="3" fillId="0" borderId="14" xfId="0" applyNumberFormat="1" applyFont="1" applyFill="1" applyBorder="1" applyAlignment="1">
      <alignment horizontal="right" vertical="center"/>
    </xf>
    <xf numFmtId="9" fontId="2" fillId="0" borderId="14" xfId="0" applyNumberFormat="1" applyFont="1" applyBorder="1"/>
    <xf numFmtId="9" fontId="8" fillId="0" borderId="11" xfId="65" applyNumberFormat="1" applyFont="1" applyFill="1" applyBorder="1" applyAlignment="1">
      <alignment horizontal="right"/>
    </xf>
    <xf numFmtId="0" fontId="46" fillId="0" borderId="12" xfId="0" applyFont="1" applyFill="1" applyBorder="1"/>
    <xf numFmtId="3" fontId="6" fillId="0" borderId="12" xfId="0" applyNumberFormat="1" applyFont="1" applyFill="1" applyBorder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0" fillId="0" borderId="0" xfId="57" applyFont="1">
      <alignment/>
      <protection/>
    </xf>
    <xf numFmtId="49" fontId="0" fillId="0" borderId="0" xfId="57" applyNumberFormat="1" applyFont="1">
      <alignment/>
      <protection/>
    </xf>
    <xf numFmtId="49" fontId="3" fillId="0" borderId="0" xfId="55" applyNumberFormat="1" applyFont="1" applyAlignment="1">
      <alignment/>
      <protection/>
    </xf>
    <xf numFmtId="0" fontId="2" fillId="0" borderId="0" xfId="0" applyFont="1" applyFill="1"/>
    <xf numFmtId="49" fontId="4" fillId="0" borderId="0" xfId="55" applyNumberFormat="1" applyFont="1" applyAlignment="1">
      <alignment/>
      <protection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3" fontId="3" fillId="14" borderId="11" xfId="0" applyNumberFormat="1" applyFont="1" applyFill="1" applyBorder="1"/>
    <xf numFmtId="3" fontId="3" fillId="14" borderId="12" xfId="0" applyNumberFormat="1" applyFont="1" applyFill="1" applyBorder="1"/>
    <xf numFmtId="3" fontId="2" fillId="14" borderId="13" xfId="0" applyNumberFormat="1" applyFont="1" applyFill="1" applyBorder="1"/>
    <xf numFmtId="3" fontId="5" fillId="14" borderId="12" xfId="0" applyNumberFormat="1" applyFont="1" applyFill="1" applyBorder="1"/>
    <xf numFmtId="3" fontId="6" fillId="14" borderId="12" xfId="0" applyNumberFormat="1" applyFont="1" applyFill="1" applyBorder="1"/>
    <xf numFmtId="3" fontId="3" fillId="14" borderId="13" xfId="0" applyNumberFormat="1" applyFont="1" applyFill="1" applyBorder="1"/>
    <xf numFmtId="3" fontId="3" fillId="14" borderId="12" xfId="0" applyNumberFormat="1" applyFont="1" applyFill="1" applyBorder="1"/>
    <xf numFmtId="3" fontId="5" fillId="14" borderId="21" xfId="0" applyNumberFormat="1" applyFont="1" applyFill="1" applyBorder="1"/>
    <xf numFmtId="3" fontId="4" fillId="14" borderId="15" xfId="0" applyNumberFormat="1" applyFont="1" applyFill="1" applyBorder="1" applyAlignment="1">
      <alignment vertical="center"/>
    </xf>
    <xf numFmtId="3" fontId="2" fillId="14" borderId="15" xfId="0" applyNumberFormat="1" applyFont="1" applyFill="1" applyBorder="1" applyAlignment="1">
      <alignment vertical="center"/>
    </xf>
    <xf numFmtId="3" fontId="3" fillId="14" borderId="21" xfId="0" applyNumberFormat="1" applyFont="1" applyFill="1" applyBorder="1"/>
    <xf numFmtId="3" fontId="4" fillId="14" borderId="14" xfId="0" applyNumberFormat="1" applyFont="1" applyFill="1" applyBorder="1" applyAlignment="1">
      <alignment vertical="center"/>
    </xf>
    <xf numFmtId="3" fontId="3" fillId="14" borderId="16" xfId="57" applyNumberFormat="1" applyFont="1" applyFill="1" applyBorder="1" applyAlignment="1">
      <alignment horizontal="right"/>
      <protection/>
    </xf>
    <xf numFmtId="3" fontId="3" fillId="14" borderId="38" xfId="57" applyNumberFormat="1" applyFont="1" applyFill="1" applyBorder="1" applyAlignment="1">
      <alignment horizontal="right"/>
      <protection/>
    </xf>
    <xf numFmtId="3" fontId="2" fillId="14" borderId="39" xfId="57" applyNumberFormat="1" applyFont="1" applyFill="1" applyBorder="1" applyAlignment="1">
      <alignment horizontal="right"/>
      <protection/>
    </xf>
    <xf numFmtId="0" fontId="2" fillId="14" borderId="16" xfId="57" applyFont="1" applyFill="1" applyBorder="1" applyAlignment="1">
      <alignment horizontal="center"/>
      <protection/>
    </xf>
    <xf numFmtId="0" fontId="3" fillId="14" borderId="38" xfId="57" applyFont="1" applyFill="1" applyBorder="1" applyAlignment="1">
      <alignment/>
      <protection/>
    </xf>
    <xf numFmtId="0" fontId="2" fillId="14" borderId="38" xfId="57" applyFont="1" applyFill="1" applyBorder="1" applyAlignment="1">
      <alignment/>
      <protection/>
    </xf>
    <xf numFmtId="3" fontId="5" fillId="14" borderId="16" xfId="57" applyNumberFormat="1" applyFont="1" applyFill="1" applyBorder="1" applyAlignment="1">
      <alignment horizontal="right"/>
      <protection/>
    </xf>
    <xf numFmtId="3" fontId="2" fillId="14" borderId="38" xfId="57" applyNumberFormat="1" applyFont="1" applyFill="1" applyBorder="1" applyAlignment="1">
      <alignment horizontal="right"/>
      <protection/>
    </xf>
    <xf numFmtId="3" fontId="3" fillId="14" borderId="38" xfId="57" applyNumberFormat="1" applyFont="1" applyFill="1" applyBorder="1" applyAlignment="1">
      <alignment horizontal="right" vertical="center"/>
      <protection/>
    </xf>
    <xf numFmtId="3" fontId="2" fillId="14" borderId="38" xfId="57" applyNumberFormat="1" applyFont="1" applyFill="1" applyBorder="1" applyAlignment="1">
      <alignment horizontal="right" vertical="center"/>
      <protection/>
    </xf>
    <xf numFmtId="3" fontId="3" fillId="14" borderId="16" xfId="57" applyNumberFormat="1" applyFont="1" applyFill="1" applyBorder="1" applyAlignment="1">
      <alignment horizontal="right" vertical="center"/>
      <protection/>
    </xf>
    <xf numFmtId="3" fontId="3" fillId="14" borderId="39" xfId="57" applyNumberFormat="1" applyFont="1" applyFill="1" applyBorder="1" applyAlignment="1">
      <alignment horizontal="right" vertical="center"/>
      <protection/>
    </xf>
    <xf numFmtId="3" fontId="2" fillId="14" borderId="38" xfId="57" applyNumberFormat="1" applyFont="1" applyFill="1" applyBorder="1" applyAlignment="1">
      <alignment/>
      <protection/>
    </xf>
    <xf numFmtId="3" fontId="3" fillId="14" borderId="16" xfId="57" applyNumberFormat="1" applyFont="1" applyFill="1" applyBorder="1" applyAlignment="1" applyProtection="1">
      <alignment horizontal="right"/>
      <protection locked="0"/>
    </xf>
    <xf numFmtId="3" fontId="3" fillId="14" borderId="38" xfId="57" applyNumberFormat="1" applyFont="1" applyFill="1" applyBorder="1" applyAlignment="1">
      <alignment/>
      <protection/>
    </xf>
    <xf numFmtId="3" fontId="35" fillId="14" borderId="16" xfId="57" applyNumberFormat="1" applyFont="1" applyFill="1" applyBorder="1" applyAlignment="1">
      <alignment horizontal="right"/>
      <protection/>
    </xf>
    <xf numFmtId="3" fontId="2" fillId="14" borderId="38" xfId="57" applyNumberFormat="1" applyFont="1" applyFill="1" applyBorder="1" applyAlignment="1">
      <alignment horizontal="right"/>
      <protection/>
    </xf>
    <xf numFmtId="3" fontId="3" fillId="14" borderId="40" xfId="57" applyNumberFormat="1" applyFont="1" applyFill="1" applyBorder="1" applyAlignment="1">
      <alignment horizontal="right" vertical="center"/>
      <protection/>
    </xf>
    <xf numFmtId="3" fontId="2" fillId="14" borderId="39" xfId="57" applyNumberFormat="1" applyFont="1" applyFill="1" applyBorder="1" applyAlignment="1">
      <alignment horizontal="right" vertical="center"/>
      <protection/>
    </xf>
    <xf numFmtId="0" fontId="3" fillId="14" borderId="38" xfId="57" applyFont="1" applyFill="1" applyBorder="1" applyAlignment="1">
      <alignment horizontal="right"/>
      <protection/>
    </xf>
    <xf numFmtId="0" fontId="2" fillId="14" borderId="39" xfId="57" applyFont="1" applyFill="1" applyBorder="1" applyAlignment="1">
      <alignment horizontal="right"/>
      <protection/>
    </xf>
    <xf numFmtId="3" fontId="3" fillId="14" borderId="16" xfId="57" applyNumberFormat="1" applyFont="1" applyFill="1" applyBorder="1" applyAlignment="1">
      <alignment/>
      <protection/>
    </xf>
    <xf numFmtId="3" fontId="2" fillId="14" borderId="32" xfId="57" applyNumberFormat="1" applyFont="1" applyFill="1" applyBorder="1" applyAlignment="1">
      <alignment horizontal="right"/>
      <protection/>
    </xf>
    <xf numFmtId="3" fontId="5" fillId="14" borderId="27" xfId="57" applyNumberFormat="1" applyFont="1" applyFill="1" applyBorder="1" applyAlignment="1">
      <alignment horizontal="right"/>
      <protection/>
    </xf>
    <xf numFmtId="3" fontId="2" fillId="14" borderId="39" xfId="57" applyNumberFormat="1" applyFont="1" applyFill="1" applyBorder="1" applyAlignment="1">
      <alignment horizontal="right"/>
      <protection/>
    </xf>
    <xf numFmtId="3" fontId="2" fillId="14" borderId="13" xfId="0" applyNumberFormat="1" applyFont="1" applyFill="1" applyBorder="1" applyAlignment="1">
      <alignment horizontal="right"/>
    </xf>
    <xf numFmtId="3" fontId="3" fillId="14" borderId="21" xfId="0" applyNumberFormat="1" applyFont="1" applyFill="1" applyBorder="1" applyAlignment="1">
      <alignment horizontal="right"/>
    </xf>
    <xf numFmtId="3" fontId="2" fillId="14" borderId="15" xfId="0" applyNumberFormat="1" applyFont="1" applyFill="1" applyBorder="1"/>
    <xf numFmtId="3" fontId="3" fillId="14" borderId="10" xfId="65" applyNumberFormat="1" applyFont="1" applyFill="1" applyBorder="1" applyAlignment="1">
      <alignment horizontal="right"/>
    </xf>
    <xf numFmtId="3" fontId="2" fillId="14" borderId="10" xfId="0" applyNumberFormat="1" applyFont="1" applyFill="1" applyBorder="1"/>
    <xf numFmtId="3" fontId="2" fillId="14" borderId="11" xfId="0" applyNumberFormat="1" applyFont="1" applyFill="1" applyBorder="1"/>
    <xf numFmtId="3" fontId="2" fillId="14" borderId="10" xfId="0" applyNumberFormat="1" applyFont="1" applyFill="1" applyBorder="1" applyAlignment="1">
      <alignment horizontal="right"/>
    </xf>
    <xf numFmtId="3" fontId="0" fillId="14" borderId="12" xfId="0" applyNumberFormat="1" applyFill="1" applyBorder="1"/>
    <xf numFmtId="3" fontId="4" fillId="14" borderId="12" xfId="0" applyNumberFormat="1" applyFont="1" applyFill="1" applyBorder="1"/>
    <xf numFmtId="0" fontId="3" fillId="0" borderId="0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left"/>
    </xf>
    <xf numFmtId="0" fontId="36" fillId="0" borderId="23" xfId="54" applyFont="1" applyBorder="1">
      <alignment/>
      <protection/>
    </xf>
    <xf numFmtId="3" fontId="47" fillId="0" borderId="12" xfId="0" applyNumberFormat="1" applyFont="1" applyBorder="1"/>
    <xf numFmtId="3" fontId="34" fillId="0" borderId="42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5" fillId="0" borderId="46" xfId="54" applyNumberFormat="1" applyFont="1" applyBorder="1">
      <alignment/>
      <protection/>
    </xf>
    <xf numFmtId="3" fontId="46" fillId="0" borderId="12" xfId="0" applyNumberFormat="1" applyFont="1" applyBorder="1"/>
    <xf numFmtId="3" fontId="46" fillId="14" borderId="12" xfId="0" applyNumberFormat="1" applyFont="1" applyFill="1" applyBorder="1"/>
    <xf numFmtId="3" fontId="8" fillId="1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5" fillId="14" borderId="10" xfId="0" applyNumberFormat="1" applyFont="1" applyFill="1" applyBorder="1"/>
    <xf numFmtId="0" fontId="35" fillId="0" borderId="46" xfId="54" applyFont="1" applyBorder="1">
      <alignment/>
      <protection/>
    </xf>
    <xf numFmtId="9" fontId="3" fillId="0" borderId="10" xfId="0" applyNumberFormat="1" applyFont="1" applyBorder="1"/>
    <xf numFmtId="0" fontId="3" fillId="0" borderId="20" xfId="0" applyFont="1" applyFill="1" applyBorder="1"/>
    <xf numFmtId="9" fontId="3" fillId="14" borderId="10" xfId="0" applyNumberFormat="1" applyFont="1" applyFill="1" applyBorder="1"/>
    <xf numFmtId="3" fontId="4" fillId="14" borderId="11" xfId="0" applyNumberFormat="1" applyFont="1" applyFill="1" applyBorder="1"/>
    <xf numFmtId="3" fontId="2" fillId="14" borderId="21" xfId="0" applyNumberFormat="1" applyFont="1" applyFill="1" applyBorder="1"/>
    <xf numFmtId="3" fontId="6" fillId="14" borderId="14" xfId="0" applyNumberFormat="1" applyFont="1" applyFill="1" applyBorder="1"/>
    <xf numFmtId="3" fontId="6" fillId="14" borderId="10" xfId="0" applyNumberFormat="1" applyFont="1" applyFill="1" applyBorder="1"/>
    <xf numFmtId="3" fontId="3" fillId="14" borderId="14" xfId="0" applyNumberFormat="1" applyFont="1" applyFill="1" applyBorder="1"/>
    <xf numFmtId="9" fontId="2" fillId="0" borderId="10" xfId="57" applyNumberFormat="1" applyFont="1" applyFill="1" applyBorder="1">
      <alignment/>
      <protection/>
    </xf>
    <xf numFmtId="9" fontId="3" fillId="0" borderId="11" xfId="57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7" fillId="0" borderId="14" xfId="59" applyNumberFormat="1" applyFont="1" applyFill="1" applyBorder="1">
      <alignment/>
      <protection/>
    </xf>
    <xf numFmtId="9" fontId="7" fillId="0" borderId="15" xfId="59" applyNumberFormat="1" applyFont="1" applyFill="1" applyBorder="1">
      <alignment/>
      <protection/>
    </xf>
    <xf numFmtId="9" fontId="8" fillId="0" borderId="15" xfId="59" applyNumberFormat="1" applyFont="1" applyFill="1" applyBorder="1">
      <alignment/>
      <protection/>
    </xf>
    <xf numFmtId="9" fontId="41" fillId="0" borderId="10" xfId="59" applyNumberFormat="1" applyFont="1" applyFill="1" applyBorder="1">
      <alignment/>
      <protection/>
    </xf>
    <xf numFmtId="9" fontId="41" fillId="0" borderId="14" xfId="59" applyNumberFormat="1" applyFont="1" applyFill="1" applyBorder="1">
      <alignment/>
      <protection/>
    </xf>
    <xf numFmtId="0" fontId="3" fillId="0" borderId="38" xfId="55" applyFont="1" applyBorder="1" applyAlignment="1">
      <alignment/>
      <protection/>
    </xf>
    <xf numFmtId="3" fontId="4" fillId="0" borderId="10" xfId="0" applyNumberFormat="1" applyFont="1" applyBorder="1" applyAlignment="1">
      <alignment vertical="center"/>
    </xf>
    <xf numFmtId="3" fontId="2" fillId="14" borderId="10" xfId="0" applyNumberFormat="1" applyFont="1" applyFill="1" applyBorder="1" applyAlignment="1">
      <alignment vertical="center"/>
    </xf>
    <xf numFmtId="3" fontId="3" fillId="12" borderId="10" xfId="55" applyNumberFormat="1" applyFont="1" applyFill="1" applyBorder="1" applyAlignment="1">
      <alignment/>
      <protection/>
    </xf>
    <xf numFmtId="3" fontId="35" fillId="0" borderId="12" xfId="54" applyNumberFormat="1" applyFont="1" applyFill="1" applyBorder="1">
      <alignment/>
      <protection/>
    </xf>
    <xf numFmtId="0" fontId="1" fillId="0" borderId="0" xfId="54" applyFill="1">
      <alignment/>
      <protection/>
    </xf>
    <xf numFmtId="3" fontId="1" fillId="0" borderId="0" xfId="54" applyNumberFormat="1" applyFill="1">
      <alignment/>
      <protection/>
    </xf>
    <xf numFmtId="0" fontId="31" fillId="0" borderId="29" xfId="54" applyFont="1" applyFill="1" applyBorder="1" applyAlignment="1">
      <alignment vertical="center"/>
      <protection/>
    </xf>
    <xf numFmtId="3" fontId="32" fillId="0" borderId="0" xfId="54" applyNumberFormat="1" applyFont="1" applyFill="1" applyBorder="1" applyAlignment="1">
      <alignment vertical="center"/>
      <protection/>
    </xf>
    <xf numFmtId="3" fontId="3" fillId="0" borderId="0" xfId="0" applyNumberFormat="1" applyFont="1" applyFill="1" applyBorder="1"/>
    <xf numFmtId="3" fontId="3" fillId="0" borderId="21" xfId="55" applyNumberFormat="1" applyFont="1" applyFill="1" applyBorder="1" applyAlignment="1">
      <alignment/>
      <protection/>
    </xf>
    <xf numFmtId="9" fontId="3" fillId="0" borderId="21" xfId="55" applyNumberFormat="1" applyFont="1" applyBorder="1" applyAlignment="1">
      <alignment/>
      <protection/>
    </xf>
    <xf numFmtId="9" fontId="3" fillId="0" borderId="18" xfId="55" applyNumberFormat="1" applyFont="1" applyBorder="1" applyAlignment="1">
      <alignment/>
      <protection/>
    </xf>
    <xf numFmtId="9" fontId="2" fillId="0" borderId="29" xfId="55" applyNumberFormat="1" applyFont="1" applyBorder="1" applyAlignment="1">
      <alignment/>
      <protection/>
    </xf>
    <xf numFmtId="9" fontId="2" fillId="0" borderId="33" xfId="55" applyNumberFormat="1" applyFont="1" applyBorder="1" applyAlignment="1">
      <alignment/>
      <protection/>
    </xf>
    <xf numFmtId="9" fontId="3" fillId="0" borderId="21" xfId="0" applyNumberFormat="1" applyFont="1" applyBorder="1"/>
    <xf numFmtId="9" fontId="3" fillId="0" borderId="15" xfId="0" applyNumberFormat="1" applyFont="1" applyBorder="1"/>
    <xf numFmtId="9" fontId="2" fillId="0" borderId="21" xfId="0" applyNumberFormat="1" applyFont="1" applyBorder="1"/>
    <xf numFmtId="3" fontId="35" fillId="0" borderId="11" xfId="54" applyNumberFormat="1" applyFont="1" applyFill="1" applyBorder="1">
      <alignment/>
      <protection/>
    </xf>
    <xf numFmtId="3" fontId="0" fillId="0" borderId="10" xfId="0" applyNumberFormat="1" applyFont="1" applyBorder="1" applyAlignment="1">
      <alignment vertical="center"/>
    </xf>
    <xf numFmtId="3" fontId="0" fillId="14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3" fontId="5" fillId="0" borderId="10" xfId="0" applyNumberFormat="1" applyFont="1" applyBorder="1"/>
    <xf numFmtId="0" fontId="0" fillId="0" borderId="0" xfId="0" applyFill="1" applyAlignment="1">
      <alignment horizontal="center" vertical="center"/>
    </xf>
    <xf numFmtId="3" fontId="3" fillId="14" borderId="10" xfId="55" applyNumberFormat="1" applyFont="1" applyFill="1" applyBorder="1" applyAlignment="1">
      <alignment/>
      <protection/>
    </xf>
    <xf numFmtId="3" fontId="3" fillId="12" borderId="13" xfId="55" applyNumberFormat="1" applyFont="1" applyFill="1" applyBorder="1" applyAlignment="1">
      <alignment/>
      <protection/>
    </xf>
    <xf numFmtId="3" fontId="2" fillId="12" borderId="21" xfId="55" applyNumberFormat="1" applyFont="1" applyFill="1" applyBorder="1" applyAlignment="1">
      <alignment/>
      <protection/>
    </xf>
    <xf numFmtId="0" fontId="3" fillId="12" borderId="12" xfId="55" applyFont="1" applyFill="1" applyBorder="1" applyAlignment="1">
      <alignment/>
      <protection/>
    </xf>
    <xf numFmtId="0" fontId="3" fillId="12" borderId="10" xfId="55" applyFont="1" applyFill="1" applyBorder="1" applyAlignment="1">
      <alignment/>
      <protection/>
    </xf>
    <xf numFmtId="3" fontId="3" fillId="14" borderId="21" xfId="55" applyNumberFormat="1" applyFont="1" applyFill="1" applyBorder="1" applyAlignment="1">
      <alignment/>
      <protection/>
    </xf>
    <xf numFmtId="0" fontId="3" fillId="12" borderId="13" xfId="55" applyFont="1" applyFill="1" applyBorder="1" applyAlignment="1">
      <alignment/>
      <protection/>
    </xf>
    <xf numFmtId="0" fontId="3" fillId="12" borderId="15" xfId="55" applyFont="1" applyFill="1" applyBorder="1" applyAlignment="1">
      <alignment/>
      <protection/>
    </xf>
    <xf numFmtId="0" fontId="3" fillId="12" borderId="18" xfId="55" applyFont="1" applyFill="1" applyBorder="1" applyAlignment="1">
      <alignment/>
      <protection/>
    </xf>
    <xf numFmtId="3" fontId="4" fillId="12" borderId="15" xfId="55" applyNumberFormat="1" applyFont="1" applyFill="1" applyBorder="1" applyAlignment="1">
      <alignment/>
      <protection/>
    </xf>
    <xf numFmtId="3" fontId="3" fillId="12" borderId="31" xfId="55" applyNumberFormat="1" applyFont="1" applyFill="1" applyBorder="1" applyAlignment="1">
      <alignment/>
      <protection/>
    </xf>
    <xf numFmtId="0" fontId="3" fillId="12" borderId="21" xfId="55" applyFont="1" applyFill="1" applyBorder="1" applyAlignment="1">
      <alignment/>
      <protection/>
    </xf>
    <xf numFmtId="0" fontId="3" fillId="12" borderId="14" xfId="55" applyFont="1" applyFill="1" applyBorder="1" applyAlignment="1">
      <alignment/>
      <protection/>
    </xf>
    <xf numFmtId="3" fontId="9" fillId="0" borderId="15" xfId="55" applyNumberFormat="1" applyFont="1" applyFill="1" applyBorder="1" applyAlignment="1">
      <alignment vertical="center"/>
      <protection/>
    </xf>
    <xf numFmtId="3" fontId="4" fillId="12" borderId="10" xfId="55" applyNumberFormat="1" applyFont="1" applyFill="1" applyBorder="1" applyAlignment="1">
      <alignment/>
      <protection/>
    </xf>
    <xf numFmtId="3" fontId="2" fillId="12" borderId="12" xfId="55" applyNumberFormat="1" applyFont="1" applyFill="1" applyBorder="1" applyAlignment="1">
      <alignment/>
      <protection/>
    </xf>
    <xf numFmtId="3" fontId="3" fillId="12" borderId="12" xfId="55" applyNumberFormat="1" applyFont="1" applyFill="1" applyBorder="1" applyAlignment="1">
      <alignment/>
      <protection/>
    </xf>
    <xf numFmtId="3" fontId="2" fillId="12" borderId="15" xfId="55" applyNumberFormat="1" applyFont="1" applyFill="1" applyBorder="1" applyAlignment="1">
      <alignment/>
      <protection/>
    </xf>
    <xf numFmtId="3" fontId="3" fillId="12" borderId="11" xfId="55" applyNumberFormat="1" applyFont="1" applyFill="1" applyBorder="1" applyAlignment="1">
      <alignment/>
      <protection/>
    </xf>
    <xf numFmtId="3" fontId="3" fillId="12" borderId="21" xfId="55" applyNumberFormat="1" applyFont="1" applyFill="1" applyBorder="1" applyAlignment="1">
      <alignment/>
      <protection/>
    </xf>
    <xf numFmtId="3" fontId="3" fillId="14" borderId="11" xfId="55" applyNumberFormat="1" applyFont="1" applyFill="1" applyBorder="1" applyAlignment="1">
      <alignment/>
      <protection/>
    </xf>
    <xf numFmtId="3" fontId="8" fillId="14" borderId="18" xfId="0" applyNumberFormat="1" applyFont="1" applyFill="1" applyBorder="1" applyAlignment="1">
      <alignment horizontal="right"/>
    </xf>
    <xf numFmtId="3" fontId="3" fillId="14" borderId="14" xfId="0" applyNumberFormat="1" applyFont="1" applyFill="1" applyBorder="1"/>
    <xf numFmtId="3" fontId="2" fillId="14" borderId="15" xfId="0" applyNumberFormat="1" applyFont="1" applyFill="1" applyBorder="1"/>
    <xf numFmtId="3" fontId="3" fillId="14" borderId="10" xfId="0" applyNumberFormat="1" applyFont="1" applyFill="1" applyBorder="1"/>
    <xf numFmtId="3" fontId="2" fillId="14" borderId="10" xfId="0" applyNumberFormat="1" applyFont="1" applyFill="1" applyBorder="1" applyAlignment="1">
      <alignment horizontal="center"/>
    </xf>
    <xf numFmtId="3" fontId="8" fillId="14" borderId="10" xfId="0" applyNumberFormat="1" applyFont="1" applyFill="1" applyBorder="1"/>
    <xf numFmtId="3" fontId="8" fillId="14" borderId="15" xfId="0" applyNumberFormat="1" applyFont="1" applyFill="1" applyBorder="1"/>
    <xf numFmtId="3" fontId="2" fillId="0" borderId="20" xfId="0" applyNumberFormat="1" applyFont="1" applyFill="1" applyBorder="1" applyAlignment="1">
      <alignment horizontal="center"/>
    </xf>
    <xf numFmtId="3" fontId="4" fillId="0" borderId="11" xfId="55" applyNumberFormat="1" applyFont="1" applyBorder="1" applyAlignment="1">
      <alignment/>
      <protection/>
    </xf>
    <xf numFmtId="0" fontId="0" fillId="0" borderId="16" xfId="57" applyBorder="1">
      <alignment/>
      <protection/>
    </xf>
    <xf numFmtId="3" fontId="0" fillId="0" borderId="16" xfId="57" applyNumberFormat="1" applyBorder="1">
      <alignment/>
      <protection/>
    </xf>
    <xf numFmtId="3" fontId="0" fillId="0" borderId="16" xfId="57" applyNumberFormat="1" applyFont="1" applyBorder="1">
      <alignment/>
      <protection/>
    </xf>
    <xf numFmtId="0" fontId="0" fillId="0" borderId="16" xfId="57" applyFont="1" applyBorder="1">
      <alignment/>
      <protection/>
    </xf>
    <xf numFmtId="9" fontId="2" fillId="0" borderId="11" xfId="55" applyNumberFormat="1" applyFont="1" applyBorder="1" applyAlignment="1">
      <alignment/>
      <protection/>
    </xf>
    <xf numFmtId="9" fontId="2" fillId="0" borderId="21" xfId="55" applyNumberFormat="1" applyFont="1" applyBorder="1" applyAlignment="1">
      <alignment/>
      <protection/>
    </xf>
    <xf numFmtId="9" fontId="3" fillId="0" borderId="37" xfId="55" applyNumberFormat="1" applyFont="1" applyBorder="1" applyAlignment="1">
      <alignment/>
      <protection/>
    </xf>
    <xf numFmtId="9" fontId="2" fillId="0" borderId="11" xfId="0" applyNumberFormat="1" applyFont="1" applyBorder="1"/>
    <xf numFmtId="3" fontId="4" fillId="0" borderId="0" xfId="0" applyNumberFormat="1" applyFont="1" applyAlignment="1">
      <alignment horizontal="right"/>
    </xf>
    <xf numFmtId="0" fontId="0" fillId="0" borderId="42" xfId="0" applyFont="1" applyFill="1" applyBorder="1"/>
    <xf numFmtId="0" fontId="45" fillId="0" borderId="12" xfId="0" applyFont="1" applyFill="1" applyBorder="1"/>
    <xf numFmtId="9" fontId="8" fillId="0" borderId="31" xfId="59" applyNumberFormat="1" applyFont="1" applyFill="1" applyBorder="1">
      <alignment/>
      <protection/>
    </xf>
    <xf numFmtId="9" fontId="2" fillId="0" borderId="14" xfId="55" applyNumberFormat="1" applyFont="1" applyBorder="1" applyAlignment="1">
      <alignment/>
      <protection/>
    </xf>
    <xf numFmtId="3" fontId="2" fillId="0" borderId="13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14" borderId="12" xfId="0" applyNumberFormat="1" applyFont="1" applyFill="1" applyBorder="1"/>
    <xf numFmtId="9" fontId="3" fillId="0" borderId="14" xfId="55" applyNumberFormat="1" applyFont="1" applyBorder="1" applyAlignment="1">
      <alignment/>
      <protection/>
    </xf>
    <xf numFmtId="3" fontId="3" fillId="12" borderId="10" xfId="55" applyNumberFormat="1" applyFont="1" applyFill="1" applyBorder="1" applyAlignment="1">
      <alignment/>
      <protection/>
    </xf>
    <xf numFmtId="0" fontId="2" fillId="0" borderId="21" xfId="55" applyFont="1" applyBorder="1" applyAlignment="1">
      <alignment/>
      <protection/>
    </xf>
    <xf numFmtId="3" fontId="35" fillId="0" borderId="14" xfId="54" applyNumberFormat="1" applyFont="1" applyBorder="1">
      <alignment/>
      <protection/>
    </xf>
    <xf numFmtId="0" fontId="6" fillId="0" borderId="2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5" fillId="0" borderId="39" xfId="0" applyFont="1" applyFill="1" applyBorder="1"/>
    <xf numFmtId="9" fontId="3" fillId="0" borderId="15" xfId="0" applyNumberFormat="1" applyFont="1" applyFill="1" applyBorder="1" applyAlignment="1">
      <alignment horizontal="right" vertical="center"/>
    </xf>
    <xf numFmtId="9" fontId="2" fillId="0" borderId="15" xfId="0" applyNumberFormat="1" applyFont="1" applyBorder="1" applyAlignment="1">
      <alignment vertical="center"/>
    </xf>
    <xf numFmtId="3" fontId="3" fillId="14" borderId="21" xfId="55" applyNumberFormat="1" applyFont="1" applyFill="1" applyBorder="1" applyAlignment="1">
      <alignment/>
      <protection/>
    </xf>
    <xf numFmtId="3" fontId="2" fillId="14" borderId="15" xfId="55" applyNumberFormat="1" applyFont="1" applyFill="1" applyBorder="1" applyAlignment="1">
      <alignment/>
      <protection/>
    </xf>
    <xf numFmtId="3" fontId="3" fillId="14" borderId="15" xfId="55" applyNumberFormat="1" applyFont="1" applyFill="1" applyBorder="1" applyAlignment="1">
      <alignment/>
      <protection/>
    </xf>
    <xf numFmtId="3" fontId="2" fillId="14" borderId="33" xfId="55" applyNumberFormat="1" applyFont="1" applyFill="1" applyBorder="1" applyAlignment="1">
      <alignment/>
      <protection/>
    </xf>
    <xf numFmtId="3" fontId="2" fillId="14" borderId="25" xfId="55" applyNumberFormat="1" applyFont="1" applyFill="1" applyBorder="1" applyAlignment="1">
      <alignment/>
      <protection/>
    </xf>
    <xf numFmtId="3" fontId="2" fillId="14" borderId="14" xfId="55" applyNumberFormat="1" applyFont="1" applyFill="1" applyBorder="1" applyAlignment="1">
      <alignment/>
      <protection/>
    </xf>
    <xf numFmtId="3" fontId="3" fillId="14" borderId="13" xfId="55" applyNumberFormat="1" applyFont="1" applyFill="1" applyBorder="1" applyAlignment="1">
      <alignment/>
      <protection/>
    </xf>
    <xf numFmtId="3" fontId="2" fillId="14" borderId="29" xfId="55" applyNumberFormat="1" applyFont="1" applyFill="1" applyBorder="1" applyAlignment="1">
      <alignment/>
      <protection/>
    </xf>
    <xf numFmtId="3" fontId="2" fillId="14" borderId="15" xfId="55" applyNumberFormat="1" applyFont="1" applyFill="1" applyBorder="1" applyAlignment="1">
      <alignment vertical="center"/>
      <protection/>
    </xf>
    <xf numFmtId="0" fontId="0" fillId="0" borderId="0" xfId="0" applyFill="1" applyAlignment="1">
      <alignment horizontal="center" vertical="center"/>
    </xf>
    <xf numFmtId="3" fontId="2" fillId="14" borderId="14" xfId="0" applyNumberFormat="1" applyFont="1" applyFill="1" applyBorder="1"/>
    <xf numFmtId="3" fontId="2" fillId="0" borderId="11" xfId="0" applyNumberFormat="1" applyFont="1" applyFill="1" applyBorder="1" applyAlignment="1">
      <alignment horizontal="right" vertical="center"/>
    </xf>
    <xf numFmtId="3" fontId="2" fillId="14" borderId="40" xfId="57" applyNumberFormat="1" applyFont="1" applyFill="1" applyBorder="1" applyAlignment="1">
      <alignment horizontal="right"/>
      <protection/>
    </xf>
    <xf numFmtId="3" fontId="2" fillId="14" borderId="14" xfId="0" applyNumberFormat="1" applyFont="1" applyFill="1" applyBorder="1"/>
    <xf numFmtId="3" fontId="3" fillId="14" borderId="13" xfId="0" applyNumberFormat="1" applyFont="1" applyFill="1" applyBorder="1"/>
    <xf numFmtId="3" fontId="2" fillId="12" borderId="14" xfId="55" applyNumberFormat="1" applyFont="1" applyFill="1" applyBorder="1" applyAlignment="1">
      <alignment vertical="center"/>
      <protection/>
    </xf>
    <xf numFmtId="3" fontId="2" fillId="12" borderId="14" xfId="55" applyNumberFormat="1" applyFont="1" applyFill="1" applyBorder="1" applyAlignment="1">
      <alignment/>
      <protection/>
    </xf>
    <xf numFmtId="3" fontId="3" fillId="14" borderId="16" xfId="55" applyNumberFormat="1" applyFont="1" applyFill="1" applyBorder="1" applyAlignment="1">
      <alignment/>
      <protection/>
    </xf>
    <xf numFmtId="0" fontId="5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3" fontId="41" fillId="14" borderId="10" xfId="65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3" fontId="5" fillId="1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3" fontId="41" fillId="14" borderId="10" xfId="0" applyNumberFormat="1" applyFont="1" applyFill="1" applyBorder="1"/>
    <xf numFmtId="0" fontId="5" fillId="0" borderId="16" xfId="0" applyFont="1" applyFill="1" applyBorder="1" applyAlignment="1">
      <alignment/>
    </xf>
    <xf numFmtId="0" fontId="0" fillId="0" borderId="38" xfId="53" applyFont="1" applyFill="1" applyBorder="1" applyAlignment="1">
      <alignment vertical="center"/>
      <protection/>
    </xf>
    <xf numFmtId="3" fontId="35" fillId="0" borderId="35" xfId="54" applyNumberFormat="1" applyFont="1" applyBorder="1">
      <alignment/>
      <protection/>
    </xf>
    <xf numFmtId="3" fontId="35" fillId="0" borderId="0" xfId="54" applyNumberFormat="1" applyFont="1" applyBorder="1">
      <alignment/>
      <protection/>
    </xf>
    <xf numFmtId="0" fontId="35" fillId="0" borderId="0" xfId="54" applyFont="1" applyBorder="1">
      <alignment/>
      <protection/>
    </xf>
    <xf numFmtId="0" fontId="35" fillId="0" borderId="49" xfId="54" applyFont="1" applyBorder="1">
      <alignment/>
      <protection/>
    </xf>
    <xf numFmtId="0" fontId="35" fillId="0" borderId="35" xfId="54" applyFont="1" applyBorder="1">
      <alignment/>
      <protection/>
    </xf>
    <xf numFmtId="3" fontId="34" fillId="0" borderId="0" xfId="54" applyNumberFormat="1" applyFont="1" applyBorder="1">
      <alignment/>
      <protection/>
    </xf>
    <xf numFmtId="3" fontId="35" fillId="0" borderId="49" xfId="54" applyNumberFormat="1" applyFont="1" applyBorder="1">
      <alignment/>
      <protection/>
    </xf>
    <xf numFmtId="3" fontId="3" fillId="14" borderId="21" xfId="0" applyNumberFormat="1" applyFont="1" applyFill="1" applyBorder="1"/>
    <xf numFmtId="0" fontId="0" fillId="0" borderId="11" xfId="55" applyFont="1" applyBorder="1" applyAlignment="1">
      <alignment/>
      <protection/>
    </xf>
    <xf numFmtId="3" fontId="7" fillId="0" borderId="0" xfId="54" applyNumberFormat="1" applyFont="1">
      <alignment/>
      <protection/>
    </xf>
    <xf numFmtId="3" fontId="3" fillId="14" borderId="16" xfId="59" applyNumberFormat="1" applyFont="1" applyFill="1" applyBorder="1" applyAlignment="1">
      <alignment horizontal="right"/>
      <protection/>
    </xf>
    <xf numFmtId="3" fontId="2" fillId="14" borderId="16" xfId="59" applyNumberFormat="1" applyFont="1" applyFill="1" applyBorder="1" applyAlignment="1">
      <alignment horizontal="right"/>
      <protection/>
    </xf>
    <xf numFmtId="3" fontId="3" fillId="14" borderId="38" xfId="59" applyNumberFormat="1" applyFont="1" applyFill="1" applyBorder="1" applyAlignment="1">
      <alignment horizontal="right"/>
      <protection/>
    </xf>
    <xf numFmtId="3" fontId="5" fillId="14" borderId="16" xfId="59" applyNumberFormat="1" applyFont="1" applyFill="1" applyBorder="1" applyAlignment="1">
      <alignment horizontal="right"/>
      <protection/>
    </xf>
    <xf numFmtId="3" fontId="5" fillId="14" borderId="38" xfId="59" applyNumberFormat="1" applyFont="1" applyFill="1" applyBorder="1" applyAlignment="1">
      <alignment horizontal="right"/>
      <protection/>
    </xf>
    <xf numFmtId="3" fontId="3" fillId="14" borderId="16" xfId="59" applyNumberFormat="1" applyFont="1" applyFill="1" applyBorder="1" applyAlignment="1">
      <alignment horizontal="right"/>
      <protection/>
    </xf>
    <xf numFmtId="3" fontId="2" fillId="14" borderId="38" xfId="59" applyNumberFormat="1" applyFont="1" applyFill="1" applyBorder="1" applyAlignment="1">
      <alignment horizontal="right"/>
      <protection/>
    </xf>
    <xf numFmtId="0" fontId="2" fillId="0" borderId="11" xfId="0" applyFont="1" applyFill="1" applyBorder="1" applyAlignment="1">
      <alignment/>
    </xf>
    <xf numFmtId="3" fontId="5" fillId="14" borderId="14" xfId="0" applyNumberFormat="1" applyFont="1" applyFill="1" applyBorder="1"/>
    <xf numFmtId="0" fontId="3" fillId="0" borderId="26" xfId="0" applyFont="1" applyBorder="1" applyAlignment="1">
      <alignment horizontal="left"/>
    </xf>
    <xf numFmtId="0" fontId="0" fillId="0" borderId="0" xfId="0" applyFill="1" applyAlignment="1">
      <alignment horizontal="center" vertical="center"/>
    </xf>
    <xf numFmtId="9" fontId="2" fillId="0" borderId="15" xfId="55" applyNumberFormat="1" applyFont="1" applyBorder="1" applyAlignment="1">
      <alignment vertical="center"/>
      <protection/>
    </xf>
    <xf numFmtId="3" fontId="3" fillId="0" borderId="11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37" fillId="0" borderId="37" xfId="54" applyNumberFormat="1" applyFont="1" applyFill="1" applyBorder="1" applyAlignment="1">
      <alignment vertical="center"/>
      <protection/>
    </xf>
    <xf numFmtId="0" fontId="35" fillId="0" borderId="12" xfId="55" applyFont="1" applyFill="1" applyBorder="1" applyAlignment="1">
      <alignment/>
      <protection/>
    </xf>
    <xf numFmtId="3" fontId="37" fillId="0" borderId="10" xfId="54" applyNumberFormat="1" applyFont="1" applyFill="1" applyBorder="1" applyAlignment="1">
      <alignment vertical="center"/>
      <protection/>
    </xf>
    <xf numFmtId="3" fontId="35" fillId="0" borderId="11" xfId="54" applyNumberFormat="1" applyFont="1" applyFill="1" applyBorder="1" applyAlignment="1">
      <alignment vertical="center"/>
      <protection/>
    </xf>
    <xf numFmtId="3" fontId="3" fillId="14" borderId="11" xfId="55" applyNumberFormat="1" applyFont="1" applyFill="1" applyBorder="1" applyAlignment="1">
      <alignment/>
      <protection/>
    </xf>
    <xf numFmtId="3" fontId="9" fillId="14" borderId="15" xfId="55" applyNumberFormat="1" applyFont="1" applyFill="1" applyBorder="1" applyAlignment="1">
      <alignment vertical="center"/>
      <protection/>
    </xf>
    <xf numFmtId="3" fontId="3" fillId="14" borderId="15" xfId="55" applyNumberFormat="1" applyFont="1" applyFill="1" applyBorder="1" applyAlignment="1">
      <alignment/>
      <protection/>
    </xf>
    <xf numFmtId="3" fontId="9" fillId="14" borderId="15" xfId="55" applyNumberFormat="1" applyFont="1" applyFill="1" applyBorder="1" applyAlignment="1">
      <alignment/>
      <protection/>
    </xf>
    <xf numFmtId="3" fontId="2" fillId="14" borderId="21" xfId="55" applyNumberFormat="1" applyFont="1" applyFill="1" applyBorder="1" applyAlignment="1">
      <alignment/>
      <protection/>
    </xf>
    <xf numFmtId="3" fontId="2" fillId="14" borderId="15" xfId="55" applyNumberFormat="1" applyFont="1" applyFill="1" applyBorder="1" applyAlignment="1">
      <alignment/>
      <protection/>
    </xf>
    <xf numFmtId="3" fontId="2" fillId="14" borderId="11" xfId="55" applyNumberFormat="1" applyFont="1" applyFill="1" applyBorder="1" applyAlignment="1">
      <alignment/>
      <protection/>
    </xf>
    <xf numFmtId="3" fontId="2" fillId="14" borderId="13" xfId="55" applyNumberFormat="1" applyFont="1" applyFill="1" applyBorder="1" applyAlignment="1">
      <alignment/>
      <protection/>
    </xf>
    <xf numFmtId="3" fontId="2" fillId="14" borderId="15" xfId="55" applyNumberFormat="1" applyFont="1" applyFill="1" applyBorder="1" applyAlignment="1">
      <alignment vertical="center"/>
      <protection/>
    </xf>
    <xf numFmtId="0" fontId="3" fillId="14" borderId="11" xfId="55" applyFont="1" applyFill="1" applyBorder="1" applyAlignment="1">
      <alignment/>
      <protection/>
    </xf>
    <xf numFmtId="0" fontId="3" fillId="14" borderId="12" xfId="55" applyFont="1" applyFill="1" applyBorder="1" applyAlignment="1">
      <alignment/>
      <protection/>
    </xf>
    <xf numFmtId="0" fontId="3" fillId="14" borderId="10" xfId="55" applyFont="1" applyFill="1" applyBorder="1" applyAlignment="1">
      <alignment/>
      <protection/>
    </xf>
    <xf numFmtId="3" fontId="4" fillId="14" borderId="14" xfId="55" applyNumberFormat="1" applyFont="1" applyFill="1" applyBorder="1" applyAlignment="1">
      <alignment/>
      <protection/>
    </xf>
    <xf numFmtId="3" fontId="2" fillId="14" borderId="14" xfId="55" applyNumberFormat="1" applyFont="1" applyFill="1" applyBorder="1" applyAlignment="1">
      <alignment vertical="center"/>
      <protection/>
    </xf>
    <xf numFmtId="0" fontId="3" fillId="14" borderId="13" xfId="55" applyFont="1" applyFill="1" applyBorder="1" applyAlignment="1">
      <alignment/>
      <protection/>
    </xf>
    <xf numFmtId="0" fontId="3" fillId="14" borderId="15" xfId="55" applyFont="1" applyFill="1" applyBorder="1" applyAlignment="1">
      <alignment/>
      <protection/>
    </xf>
    <xf numFmtId="3" fontId="4" fillId="14" borderId="39" xfId="55" applyNumberFormat="1" applyFont="1" applyFill="1" applyBorder="1" applyAlignment="1">
      <alignment/>
      <protection/>
    </xf>
    <xf numFmtId="3" fontId="2" fillId="14" borderId="39" xfId="55" applyNumberFormat="1" applyFont="1" applyFill="1" applyBorder="1" applyAlignment="1">
      <alignment/>
      <protection/>
    </xf>
    <xf numFmtId="3" fontId="3" fillId="14" borderId="31" xfId="55" applyNumberFormat="1" applyFont="1" applyFill="1" applyBorder="1" applyAlignment="1">
      <alignment/>
      <protection/>
    </xf>
    <xf numFmtId="3" fontId="5" fillId="14" borderId="11" xfId="0" applyNumberFormat="1" applyFont="1" applyFill="1" applyBorder="1"/>
    <xf numFmtId="0" fontId="3" fillId="14" borderId="21" xfId="55" applyFont="1" applyFill="1" applyBorder="1" applyAlignment="1">
      <alignment/>
      <protection/>
    </xf>
    <xf numFmtId="0" fontId="3" fillId="14" borderId="14" xfId="55" applyFont="1" applyFill="1" applyBorder="1" applyAlignment="1">
      <alignment/>
      <protection/>
    </xf>
    <xf numFmtId="3" fontId="4" fillId="14" borderId="15" xfId="55" applyNumberFormat="1" applyFont="1" applyFill="1" applyBorder="1" applyAlignment="1">
      <alignment/>
      <protection/>
    </xf>
    <xf numFmtId="3" fontId="3" fillId="14" borderId="14" xfId="55" applyNumberFormat="1" applyFont="1" applyFill="1" applyBorder="1" applyAlignment="1">
      <alignment/>
      <protection/>
    </xf>
    <xf numFmtId="3" fontId="4" fillId="14" borderId="10" xfId="55" applyNumberFormat="1" applyFont="1" applyFill="1" applyBorder="1" applyAlignment="1">
      <alignment/>
      <protection/>
    </xf>
    <xf numFmtId="3" fontId="2" fillId="14" borderId="12" xfId="55" applyNumberFormat="1" applyFont="1" applyFill="1" applyBorder="1" applyAlignment="1">
      <alignment/>
      <protection/>
    </xf>
    <xf numFmtId="3" fontId="3" fillId="14" borderId="10" xfId="55" applyNumberFormat="1" applyFont="1" applyFill="1" applyBorder="1" applyAlignment="1">
      <alignment/>
      <protection/>
    </xf>
    <xf numFmtId="0" fontId="2" fillId="0" borderId="15" xfId="57" applyFont="1" applyFill="1" applyBorder="1" applyAlignment="1">
      <alignment horizontal="right"/>
      <protection/>
    </xf>
    <xf numFmtId="9" fontId="3" fillId="0" borderId="10" xfId="57" applyNumberFormat="1" applyFont="1" applyFill="1" applyBorder="1" applyAlignment="1">
      <alignment horizontal="right" vertical="center"/>
      <protection/>
    </xf>
    <xf numFmtId="0" fontId="3" fillId="0" borderId="14" xfId="57" applyFont="1" applyFill="1" applyBorder="1" applyAlignment="1">
      <alignment horizontal="right"/>
      <protection/>
    </xf>
    <xf numFmtId="0" fontId="3" fillId="0" borderId="10" xfId="57" applyFont="1" applyFill="1" applyBorder="1" applyAlignment="1">
      <alignment horizontal="right"/>
      <protection/>
    </xf>
    <xf numFmtId="9" fontId="3" fillId="0" borderId="15" xfId="57" applyNumberFormat="1" applyFont="1" applyFill="1" applyBorder="1" applyAlignment="1">
      <alignment horizontal="right" vertical="center"/>
      <protection/>
    </xf>
    <xf numFmtId="3" fontId="3" fillId="0" borderId="10" xfId="57" applyNumberFormat="1" applyFont="1" applyFill="1" applyBorder="1" applyAlignment="1">
      <alignment horizontal="right"/>
      <protection/>
    </xf>
    <xf numFmtId="3" fontId="5" fillId="0" borderId="10" xfId="57" applyNumberFormat="1" applyFont="1" applyFill="1" applyBorder="1" applyAlignment="1">
      <alignment horizontal="right"/>
      <protection/>
    </xf>
    <xf numFmtId="3" fontId="3" fillId="0" borderId="14" xfId="57" applyNumberFormat="1" applyFont="1" applyFill="1" applyBorder="1" applyAlignment="1">
      <alignment horizontal="right"/>
      <protection/>
    </xf>
    <xf numFmtId="3" fontId="2" fillId="0" borderId="14" xfId="57" applyNumberFormat="1" applyFont="1" applyFill="1" applyBorder="1" applyAlignment="1">
      <alignment horizontal="right"/>
      <protection/>
    </xf>
    <xf numFmtId="3" fontId="2" fillId="0" borderId="15" xfId="57" applyNumberFormat="1" applyFont="1" applyFill="1" applyBorder="1" applyAlignment="1">
      <alignment horizontal="right"/>
      <protection/>
    </xf>
    <xf numFmtId="3" fontId="2" fillId="0" borderId="15" xfId="57" applyNumberFormat="1" applyFont="1" applyFill="1" applyBorder="1" applyAlignment="1">
      <alignment horizontal="right" vertical="center"/>
      <protection/>
    </xf>
    <xf numFmtId="3" fontId="2" fillId="0" borderId="14" xfId="57" applyNumberFormat="1" applyFont="1" applyFill="1" applyBorder="1" applyAlignment="1">
      <alignment horizontal="right" vertical="center"/>
      <protection/>
    </xf>
    <xf numFmtId="3" fontId="3" fillId="0" borderId="38" xfId="57" applyNumberFormat="1" applyFont="1" applyFill="1" applyBorder="1" applyAlignment="1">
      <alignment horizontal="right" vertical="center"/>
      <protection/>
    </xf>
    <xf numFmtId="3" fontId="2" fillId="0" borderId="38" xfId="57" applyNumberFormat="1" applyFont="1" applyFill="1" applyBorder="1" applyAlignment="1">
      <alignment horizontal="right" vertical="center"/>
      <protection/>
    </xf>
    <xf numFmtId="3" fontId="3" fillId="0" borderId="16" xfId="57" applyNumberFormat="1" applyFont="1" applyFill="1" applyBorder="1" applyAlignment="1">
      <alignment horizontal="right" vertical="center"/>
      <protection/>
    </xf>
    <xf numFmtId="3" fontId="3" fillId="12" borderId="38" xfId="57" applyNumberFormat="1" applyFont="1" applyFill="1" applyBorder="1" applyAlignment="1">
      <alignment horizontal="right"/>
      <protection/>
    </xf>
    <xf numFmtId="3" fontId="3" fillId="12" borderId="16" xfId="57" applyNumberFormat="1" applyFont="1" applyFill="1" applyBorder="1" applyAlignment="1">
      <alignment horizontal="right"/>
      <protection/>
    </xf>
    <xf numFmtId="3" fontId="2" fillId="14" borderId="38" xfId="57" applyNumberFormat="1" applyFont="1" applyFill="1" applyBorder="1" applyAlignment="1">
      <alignment horizontal="right" vertical="center"/>
      <protection/>
    </xf>
    <xf numFmtId="3" fontId="3" fillId="14" borderId="16" xfId="57" applyNumberFormat="1" applyFont="1" applyFill="1" applyBorder="1" applyAlignment="1">
      <alignment horizontal="right"/>
      <protection/>
    </xf>
    <xf numFmtId="3" fontId="3" fillId="14" borderId="38" xfId="57" applyNumberFormat="1" applyFont="1" applyFill="1" applyBorder="1" applyAlignment="1">
      <alignment horizontal="right"/>
      <protection/>
    </xf>
    <xf numFmtId="9" fontId="3" fillId="0" borderId="10" xfId="57" applyNumberFormat="1" applyFont="1" applyFill="1" applyBorder="1" applyAlignment="1">
      <alignment horizontal="center"/>
      <protection/>
    </xf>
    <xf numFmtId="9" fontId="3" fillId="0" borderId="10" xfId="57" applyNumberFormat="1" applyFont="1" applyFill="1" applyBorder="1">
      <alignment/>
      <protection/>
    </xf>
    <xf numFmtId="0" fontId="3" fillId="14" borderId="38" xfId="57" applyFont="1" applyFill="1" applyBorder="1" applyAlignment="1">
      <alignment/>
      <protection/>
    </xf>
    <xf numFmtId="9" fontId="3" fillId="0" borderId="14" xfId="57" applyNumberFormat="1" applyFont="1" applyFill="1" applyBorder="1">
      <alignment/>
      <protection/>
    </xf>
    <xf numFmtId="9" fontId="3" fillId="0" borderId="15" xfId="57" applyNumberFormat="1" applyFont="1" applyFill="1" applyBorder="1">
      <alignment/>
      <protection/>
    </xf>
    <xf numFmtId="3" fontId="5" fillId="14" borderId="16" xfId="57" applyNumberFormat="1" applyFont="1" applyFill="1" applyBorder="1" applyAlignment="1">
      <alignment horizontal="right"/>
      <protection/>
    </xf>
    <xf numFmtId="3" fontId="3" fillId="14" borderId="38" xfId="57" applyNumberFormat="1" applyFont="1" applyFill="1" applyBorder="1" applyAlignment="1">
      <alignment horizontal="right" vertical="center"/>
      <protection/>
    </xf>
    <xf numFmtId="3" fontId="3" fillId="14" borderId="16" xfId="57" applyNumberFormat="1" applyFont="1" applyFill="1" applyBorder="1" applyAlignment="1">
      <alignment horizontal="right" vertical="center"/>
      <protection/>
    </xf>
    <xf numFmtId="9" fontId="2" fillId="0" borderId="15" xfId="57" applyNumberFormat="1" applyFont="1" applyFill="1" applyBorder="1">
      <alignment/>
      <protection/>
    </xf>
    <xf numFmtId="3" fontId="3" fillId="14" borderId="39" xfId="57" applyNumberFormat="1" applyFont="1" applyFill="1" applyBorder="1" applyAlignment="1">
      <alignment horizontal="right" vertical="center"/>
      <protection/>
    </xf>
    <xf numFmtId="3" fontId="2" fillId="14" borderId="39" xfId="57" applyNumberFormat="1" applyFont="1" applyFill="1" applyBorder="1" applyAlignment="1">
      <alignment horizontal="right" vertical="center"/>
      <protection/>
    </xf>
    <xf numFmtId="3" fontId="2" fillId="14" borderId="16" xfId="57" applyNumberFormat="1" applyFont="1" applyFill="1" applyBorder="1" applyAlignment="1">
      <alignment horizontal="right"/>
      <protection/>
    </xf>
    <xf numFmtId="3" fontId="2" fillId="14" borderId="15" xfId="57" applyNumberFormat="1" applyFont="1" applyFill="1" applyBorder="1" applyAlignment="1">
      <alignment horizontal="right" vertical="center"/>
      <protection/>
    </xf>
    <xf numFmtId="3" fontId="2" fillId="14" borderId="14" xfId="57" applyNumberFormat="1" applyFont="1" applyFill="1" applyBorder="1" applyAlignment="1">
      <alignment horizontal="right" vertical="center"/>
      <protection/>
    </xf>
    <xf numFmtId="9" fontId="2" fillId="0" borderId="31" xfId="57" applyNumberFormat="1" applyFont="1" applyFill="1" applyBorder="1">
      <alignment/>
      <protection/>
    </xf>
    <xf numFmtId="0" fontId="0" fillId="0" borderId="0" xfId="0" applyFill="1" applyAlignment="1">
      <alignment horizontal="center" vertical="center"/>
    </xf>
    <xf numFmtId="3" fontId="35" fillId="0" borderId="23" xfId="54" applyNumberFormat="1" applyFont="1" applyFill="1" applyBorder="1">
      <alignment/>
      <protection/>
    </xf>
    <xf numFmtId="3" fontId="35" fillId="0" borderId="23" xfId="54" applyNumberFormat="1" applyFont="1" applyBorder="1">
      <alignment/>
      <protection/>
    </xf>
    <xf numFmtId="3" fontId="35" fillId="0" borderId="16" xfId="54" applyNumberFormat="1" applyFont="1" applyBorder="1">
      <alignment/>
      <protection/>
    </xf>
    <xf numFmtId="3" fontId="35" fillId="0" borderId="27" xfId="54" applyNumberFormat="1" applyFont="1" applyBorder="1">
      <alignment/>
      <protection/>
    </xf>
    <xf numFmtId="3" fontId="34" fillId="0" borderId="22" xfId="54" applyNumberFormat="1" applyFont="1" applyBorder="1">
      <alignment/>
      <protection/>
    </xf>
    <xf numFmtId="3" fontId="32" fillId="0" borderId="22" xfId="54" applyNumberFormat="1" applyFont="1" applyBorder="1" applyAlignment="1">
      <alignment vertical="center"/>
      <protection/>
    </xf>
    <xf numFmtId="3" fontId="37" fillId="0" borderId="11" xfId="54" applyNumberFormat="1" applyFont="1" applyFill="1" applyBorder="1" applyAlignment="1">
      <alignment vertical="center"/>
      <protection/>
    </xf>
    <xf numFmtId="3" fontId="35" fillId="0" borderId="48" xfId="54" applyNumberFormat="1" applyFont="1" applyBorder="1">
      <alignment/>
      <protection/>
    </xf>
    <xf numFmtId="9" fontId="2" fillId="0" borderId="15" xfId="57" applyNumberFormat="1" applyFont="1" applyFill="1" applyBorder="1" applyAlignment="1">
      <alignment horizontal="right" vertical="center"/>
      <protection/>
    </xf>
    <xf numFmtId="9" fontId="2" fillId="0" borderId="14" xfId="57" applyNumberFormat="1" applyFont="1" applyFill="1" applyBorder="1" applyAlignment="1">
      <alignment horizontal="right" vertical="center"/>
      <protection/>
    </xf>
    <xf numFmtId="9" fontId="3" fillId="0" borderId="14" xfId="57" applyNumberFormat="1" applyFont="1" applyFill="1" applyBorder="1" applyAlignment="1">
      <alignment horizontal="right" vertical="center"/>
      <protection/>
    </xf>
    <xf numFmtId="3" fontId="41" fillId="0" borderId="10" xfId="65" applyNumberFormat="1" applyFont="1" applyFill="1" applyBorder="1" applyAlignment="1">
      <alignment horizontal="right"/>
    </xf>
    <xf numFmtId="3" fontId="5" fillId="0" borderId="10" xfId="0" applyNumberFormat="1" applyFont="1" applyFill="1" applyBorder="1"/>
    <xf numFmtId="3" fontId="4" fillId="0" borderId="11" xfId="0" applyNumberFormat="1" applyFont="1" applyFill="1" applyBorder="1"/>
    <xf numFmtId="3" fontId="4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/>
    <xf numFmtId="3" fontId="2" fillId="0" borderId="15" xfId="55" applyNumberFormat="1" applyFont="1" applyFill="1" applyBorder="1" applyAlignment="1">
      <alignment/>
      <protection/>
    </xf>
    <xf numFmtId="3" fontId="34" fillId="0" borderId="14" xfId="54" applyNumberFormat="1" applyFont="1" applyBorder="1">
      <alignment/>
      <protection/>
    </xf>
    <xf numFmtId="3" fontId="37" fillId="0" borderId="12" xfId="54" applyNumberFormat="1" applyFont="1" applyFill="1" applyBorder="1" applyAlignment="1">
      <alignment vertical="center"/>
      <protection/>
    </xf>
    <xf numFmtId="0" fontId="0" fillId="14" borderId="16" xfId="57" applyFill="1" applyBorder="1">
      <alignment/>
      <protection/>
    </xf>
    <xf numFmtId="3" fontId="0" fillId="14" borderId="16" xfId="57" applyNumberFormat="1" applyFill="1" applyBorder="1">
      <alignment/>
      <protection/>
    </xf>
    <xf numFmtId="0" fontId="49" fillId="14" borderId="0" xfId="0" applyFont="1" applyFill="1" applyBorder="1"/>
    <xf numFmtId="49" fontId="2" fillId="0" borderId="13" xfId="55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1" fillId="0" borderId="0" xfId="54" applyFont="1" applyBorder="1" applyAlignment="1">
      <alignment horizontal="center" vertical="center" wrapText="1"/>
      <protection/>
    </xf>
    <xf numFmtId="0" fontId="11" fillId="0" borderId="0" xfId="54" applyFont="1" applyBorder="1" applyAlignment="1">
      <alignment horizontal="center"/>
      <protection/>
    </xf>
    <xf numFmtId="0" fontId="11" fillId="0" borderId="13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49" fontId="2" fillId="0" borderId="25" xfId="55" applyNumberFormat="1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/>
      <protection/>
    </xf>
    <xf numFmtId="0" fontId="0" fillId="0" borderId="0" xfId="55" applyAlignment="1">
      <alignment/>
      <protection/>
    </xf>
    <xf numFmtId="0" fontId="0" fillId="0" borderId="0" xfId="0" applyAlignment="1">
      <alignment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/>
      <protection/>
    </xf>
    <xf numFmtId="0" fontId="0" fillId="0" borderId="11" xfId="55" applyBorder="1" applyAlignment="1">
      <alignment horizontal="center" vertical="center"/>
      <protection/>
    </xf>
    <xf numFmtId="3" fontId="2" fillId="0" borderId="13" xfId="55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49" fontId="2" fillId="0" borderId="11" xfId="55" applyNumberFormat="1" applyFont="1" applyBorder="1" applyAlignment="1">
      <alignment horizontal="center" vertical="center" wrapText="1"/>
      <protection/>
    </xf>
    <xf numFmtId="3" fontId="2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0" xfId="55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49" fontId="2" fillId="0" borderId="10" xfId="55" applyNumberFormat="1" applyFont="1" applyBorder="1" applyAlignment="1">
      <alignment horizontal="center" vertical="center" wrapText="1"/>
      <protection/>
    </xf>
    <xf numFmtId="49" fontId="2" fillId="0" borderId="14" xfId="55" applyNumberFormat="1" applyFont="1" applyBorder="1" applyAlignment="1">
      <alignment horizontal="center" vertical="center" wrapText="1"/>
      <protection/>
    </xf>
    <xf numFmtId="2" fontId="2" fillId="0" borderId="0" xfId="57" applyNumberFormat="1" applyFont="1" applyBorder="1" applyAlignment="1">
      <alignment horizontal="center"/>
      <protection/>
    </xf>
    <xf numFmtId="2" fontId="0" fillId="0" borderId="0" xfId="57" applyNumberFormat="1" applyAlignment="1">
      <alignment/>
      <protection/>
    </xf>
    <xf numFmtId="0" fontId="0" fillId="0" borderId="0" xfId="57" applyAlignment="1">
      <alignment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1" fillId="0" borderId="10" xfId="53" applyFill="1" applyBorder="1" applyAlignment="1">
      <alignment horizontal="center" vertical="center"/>
      <protection/>
    </xf>
    <xf numFmtId="0" fontId="1" fillId="0" borderId="14" xfId="53" applyFill="1" applyBorder="1" applyAlignment="1">
      <alignment horizontal="center" vertical="center"/>
      <protection/>
    </xf>
    <xf numFmtId="49" fontId="2" fillId="0" borderId="13" xfId="55" applyNumberFormat="1" applyFont="1" applyFill="1" applyBorder="1" applyAlignment="1">
      <alignment horizontal="center" vertical="center" wrapText="1"/>
      <protection/>
    </xf>
    <xf numFmtId="0" fontId="0" fillId="0" borderId="10" xfId="55" applyFill="1" applyBorder="1" applyAlignment="1">
      <alignment horizontal="center" vertical="center" wrapText="1"/>
      <protection/>
    </xf>
    <xf numFmtId="0" fontId="0" fillId="0" borderId="14" xfId="57" applyFill="1" applyBorder="1" applyAlignment="1">
      <alignment horizontal="center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49" fontId="2" fillId="0" borderId="14" xfId="55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59" applyFont="1" applyFill="1" applyAlignment="1">
      <alignment horizontal="center" vertical="center"/>
      <protection/>
    </xf>
    <xf numFmtId="0" fontId="12" fillId="0" borderId="0" xfId="59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49" fontId="2" fillId="14" borderId="13" xfId="55" applyNumberFormat="1" applyFont="1" applyFill="1" applyBorder="1" applyAlignment="1">
      <alignment horizontal="center" vertical="center" wrapText="1"/>
      <protection/>
    </xf>
    <xf numFmtId="49" fontId="2" fillId="14" borderId="10" xfId="55" applyNumberFormat="1" applyFont="1" applyFill="1" applyBorder="1" applyAlignment="1">
      <alignment horizontal="center" vertical="center" wrapText="1"/>
      <protection/>
    </xf>
    <xf numFmtId="49" fontId="2" fillId="14" borderId="14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8" fillId="0" borderId="13" xfId="55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" xfId="45"/>
    <cellStyle name="Figyelmeztetés" xfId="46"/>
    <cellStyle name="Hivatkozott cella" xfId="47"/>
    <cellStyle name="Jegyzet" xfId="48"/>
    <cellStyle name="Jó" xfId="49"/>
    <cellStyle name="Kimenet" xfId="50"/>
    <cellStyle name="Magyarázó szöveg" xfId="51"/>
    <cellStyle name="Normál 2" xfId="52"/>
    <cellStyle name="Normál_2.sz. melléklet javított" xfId="53"/>
    <cellStyle name="Normál_2011müködésifelhalmérlegfebr17" xfId="54"/>
    <cellStyle name="Normál_2012éviköltségvetésjan19este" xfId="55"/>
    <cellStyle name="Normál_2012éviköltségvetésjan19este 2" xfId="56"/>
    <cellStyle name="Normál_2014.évi költségvetés tervezés jan11" xfId="57"/>
    <cellStyle name="Normal_KARSZJ3" xfId="58"/>
    <cellStyle name="Normál_közterület" xfId="59"/>
    <cellStyle name="Normal_KTRSZJ" xfId="60"/>
    <cellStyle name="Összesen" xfId="61"/>
    <cellStyle name="Rossz" xfId="62"/>
    <cellStyle name="Semleges" xfId="63"/>
    <cellStyle name="Számítás" xfId="64"/>
    <cellStyle name="Százalé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83820</xdr:colOff>
          <xdr:row>0</xdr:row>
          <xdr:rowOff>38100</xdr:rowOff>
        </xdr:from>
        <xdr:to>
          <xdr:col>0</xdr:col>
          <xdr:colOff>251460</xdr:colOff>
          <xdr:row>0</xdr:row>
          <xdr:rowOff>38100</xdr:rowOff>
        </xdr:to>
        <xdr:sp macro="" textlink="">
          <xdr:nvSpPr>
            <xdr:cNvPr id="33793" name="Button 1" hidden="1">
              <a:extLst xmlns:a="http://schemas.openxmlformats.org/drawingml/2006/main"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83820</xdr:colOff>
          <xdr:row>0</xdr:row>
          <xdr:rowOff>38100</xdr:rowOff>
        </xdr:from>
        <xdr:to>
          <xdr:col>0</xdr:col>
          <xdr:colOff>251460</xdr:colOff>
          <xdr:row>0</xdr:row>
          <xdr:rowOff>38100</xdr:rowOff>
        </xdr:to>
        <xdr:sp macro="" textlink="">
          <xdr:nvSpPr>
            <xdr:cNvPr id="33794" name="Button 2" hidden="1">
              <a:extLst xmlns:a="http://schemas.openxmlformats.org/drawingml/2006/main"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83820</xdr:colOff>
          <xdr:row>0</xdr:row>
          <xdr:rowOff>38100</xdr:rowOff>
        </xdr:from>
        <xdr:to>
          <xdr:col>0</xdr:col>
          <xdr:colOff>251460</xdr:colOff>
          <xdr:row>0</xdr:row>
          <xdr:rowOff>38100</xdr:rowOff>
        </xdr:to>
        <xdr:sp macro="" textlink="">
          <xdr:nvSpPr>
            <xdr:cNvPr id="33795" name="Button 3" hidden="1">
              <a:extLst xmlns:a="http://schemas.openxmlformats.org/drawingml/2006/main"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83820</xdr:colOff>
          <xdr:row>0</xdr:row>
          <xdr:rowOff>38100</xdr:rowOff>
        </xdr:from>
        <xdr:to>
          <xdr:col>0</xdr:col>
          <xdr:colOff>251460</xdr:colOff>
          <xdr:row>0</xdr:row>
          <xdr:rowOff>38100</xdr:rowOff>
        </xdr:to>
        <xdr:sp macro="" textlink="">
          <xdr:nvSpPr>
            <xdr:cNvPr id="33796" name="Button 4" hidden="1">
              <a:extLst xmlns:a="http://schemas.openxmlformats.org/drawingml/2006/main">
                <a:ext uri="{63B3BB69-23CF-44E3-9099-C40C66FF867C}">
                  <a14:compatExt spid="_x0000_s3379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83820</xdr:colOff>
          <xdr:row>0</xdr:row>
          <xdr:rowOff>38100</xdr:rowOff>
        </xdr:from>
        <xdr:to>
          <xdr:col>0</xdr:col>
          <xdr:colOff>251460</xdr:colOff>
          <xdr:row>0</xdr:row>
          <xdr:rowOff>38100</xdr:rowOff>
        </xdr:to>
        <xdr:sp macro="" textlink="">
          <xdr:nvSpPr>
            <xdr:cNvPr id="33797" name="Button 5" hidden="1">
              <a:extLst xmlns:a="http://schemas.openxmlformats.org/drawingml/2006/main">
                <a:ext uri="{63B3BB69-23CF-44E3-9099-C40C66FF867C}">
                  <a14:compatExt spid="_x0000_s3379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83820</xdr:colOff>
          <xdr:row>0</xdr:row>
          <xdr:rowOff>38100</xdr:rowOff>
        </xdr:from>
        <xdr:to>
          <xdr:col>0</xdr:col>
          <xdr:colOff>251460</xdr:colOff>
          <xdr:row>0</xdr:row>
          <xdr:rowOff>38100</xdr:rowOff>
        </xdr:to>
        <xdr:sp macro="" textlink="">
          <xdr:nvSpPr>
            <xdr:cNvPr id="33798" name="Button 6" hidden="1">
              <a:extLst xmlns:a="http://schemas.openxmlformats.org/drawingml/2006/main">
                <a:ext uri="{63B3BB69-23CF-44E3-9099-C40C66FF867C}">
                  <a14:compatExt spid="_x0000_s3379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83820</xdr:colOff>
          <xdr:row>0</xdr:row>
          <xdr:rowOff>38100</xdr:rowOff>
        </xdr:from>
        <xdr:to>
          <xdr:col>0</xdr:col>
          <xdr:colOff>251460</xdr:colOff>
          <xdr:row>0</xdr:row>
          <xdr:rowOff>38100</xdr:rowOff>
        </xdr:to>
        <xdr:sp macro="" textlink="">
          <xdr:nvSpPr>
            <xdr:cNvPr id="33799" name="Button 7" hidden="1">
              <a:extLst xmlns:a="http://schemas.openxmlformats.org/drawingml/2006/main">
                <a:ext uri="{63B3BB69-23CF-44E3-9099-C40C66FF867C}">
                  <a14:compatExt spid="_x0000_s3379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83820</xdr:colOff>
          <xdr:row>0</xdr:row>
          <xdr:rowOff>38100</xdr:rowOff>
        </xdr:from>
        <xdr:to>
          <xdr:col>0</xdr:col>
          <xdr:colOff>251460</xdr:colOff>
          <xdr:row>0</xdr:row>
          <xdr:rowOff>38100</xdr:rowOff>
        </xdr:to>
        <xdr:sp macro="" textlink="">
          <xdr:nvSpPr>
            <xdr:cNvPr id="33800" name="Button 8" hidden="1">
              <a:extLst xmlns:a="http://schemas.openxmlformats.org/drawingml/2006/main">
                <a:ext uri="{63B3BB69-23CF-44E3-9099-C40C66FF867C}">
                  <a14:compatExt spid="_x0000_s3380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83820</xdr:colOff>
          <xdr:row>0</xdr:row>
          <xdr:rowOff>38100</xdr:rowOff>
        </xdr:from>
        <xdr:to>
          <xdr:col>0</xdr:col>
          <xdr:colOff>251460</xdr:colOff>
          <xdr:row>0</xdr:row>
          <xdr:rowOff>38100</xdr:rowOff>
        </xdr:to>
        <xdr:sp macro="" textlink="">
          <xdr:nvSpPr>
            <xdr:cNvPr id="33801" name="Button 9" hidden="1">
              <a:extLst xmlns:a="http://schemas.openxmlformats.org/drawingml/2006/main">
                <a:ext uri="{63B3BB69-23CF-44E3-9099-C40C66FF867C}">
                  <a14:compatExt spid="_x0000_s3380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83820</xdr:colOff>
          <xdr:row>0</xdr:row>
          <xdr:rowOff>38100</xdr:rowOff>
        </xdr:from>
        <xdr:to>
          <xdr:col>0</xdr:col>
          <xdr:colOff>251460</xdr:colOff>
          <xdr:row>0</xdr:row>
          <xdr:rowOff>38100</xdr:rowOff>
        </xdr:to>
        <xdr:sp macro="" textlink="">
          <xdr:nvSpPr>
            <xdr:cNvPr id="33802" name="Button 10" hidden="1">
              <a:extLst xmlns:a="http://schemas.openxmlformats.org/drawingml/2006/main">
                <a:ext uri="{63B3BB69-23CF-44E3-9099-C40C66FF867C}">
                  <a14:compatExt spid="_x0000_s3380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83820</xdr:colOff>
          <xdr:row>0</xdr:row>
          <xdr:rowOff>38100</xdr:rowOff>
        </xdr:from>
        <xdr:to>
          <xdr:col>0</xdr:col>
          <xdr:colOff>251460</xdr:colOff>
          <xdr:row>0</xdr:row>
          <xdr:rowOff>38100</xdr:rowOff>
        </xdr:to>
        <xdr:sp macro="" textlink="">
          <xdr:nvSpPr>
            <xdr:cNvPr id="33803" name="Button 11" hidden="1">
              <a:extLst xmlns:a="http://schemas.openxmlformats.org/drawingml/2006/main">
                <a:ext uri="{63B3BB69-23CF-44E3-9099-C40C66FF867C}">
                  <a14:compatExt spid="_x0000_s3380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83820</xdr:colOff>
          <xdr:row>0</xdr:row>
          <xdr:rowOff>38100</xdr:rowOff>
        </xdr:from>
        <xdr:to>
          <xdr:col>0</xdr:col>
          <xdr:colOff>251460</xdr:colOff>
          <xdr:row>0</xdr:row>
          <xdr:rowOff>38100</xdr:rowOff>
        </xdr:to>
        <xdr:sp macro="" textlink="">
          <xdr:nvSpPr>
            <xdr:cNvPr id="33804" name="Button 12" hidden="1">
              <a:extLst xmlns:a="http://schemas.openxmlformats.org/drawingml/2006/main">
                <a:ext uri="{63B3BB69-23CF-44E3-9099-C40C66FF867C}">
                  <a14:compatExt spid="_x0000_s3380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83820</xdr:colOff>
          <xdr:row>0</xdr:row>
          <xdr:rowOff>38100</xdr:rowOff>
        </xdr:from>
        <xdr:to>
          <xdr:col>0</xdr:col>
          <xdr:colOff>251460</xdr:colOff>
          <xdr:row>0</xdr:row>
          <xdr:rowOff>38100</xdr:rowOff>
        </xdr:to>
        <xdr:sp macro="" textlink="">
          <xdr:nvSpPr>
            <xdr:cNvPr id="33805" name="Button 13" hidden="1">
              <a:extLst xmlns:a="http://schemas.openxmlformats.org/drawingml/2006/main">
                <a:ext uri="{63B3BB69-23CF-44E3-9099-C40C66FF867C}">
                  <a14:compatExt spid="_x0000_s3380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83820</xdr:colOff>
          <xdr:row>0</xdr:row>
          <xdr:rowOff>38100</xdr:rowOff>
        </xdr:from>
        <xdr:to>
          <xdr:col>0</xdr:col>
          <xdr:colOff>251460</xdr:colOff>
          <xdr:row>0</xdr:row>
          <xdr:rowOff>38100</xdr:rowOff>
        </xdr:to>
        <xdr:sp macro="" textlink="">
          <xdr:nvSpPr>
            <xdr:cNvPr id="33806" name="Button 14" hidden="1">
              <a:extLst xmlns:a="http://schemas.openxmlformats.org/drawingml/2006/main">
                <a:ext uri="{63B3BB69-23CF-44E3-9099-C40C66FF867C}">
                  <a14:compatExt spid="_x0000_s3380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83820</xdr:colOff>
          <xdr:row>0</xdr:row>
          <xdr:rowOff>38100</xdr:rowOff>
        </xdr:from>
        <xdr:to>
          <xdr:col>0</xdr:col>
          <xdr:colOff>251460</xdr:colOff>
          <xdr:row>0</xdr:row>
          <xdr:rowOff>38100</xdr:rowOff>
        </xdr:to>
        <xdr:sp macro="" textlink="">
          <xdr:nvSpPr>
            <xdr:cNvPr id="33807" name="Button 15" hidden="1">
              <a:extLst xmlns:a="http://schemas.openxmlformats.org/drawingml/2006/main">
                <a:ext uri="{63B3BB69-23CF-44E3-9099-C40C66FF867C}">
                  <a14:compatExt spid="_x0000_s3380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83820</xdr:colOff>
          <xdr:row>0</xdr:row>
          <xdr:rowOff>38100</xdr:rowOff>
        </xdr:from>
        <xdr:to>
          <xdr:col>0</xdr:col>
          <xdr:colOff>251460</xdr:colOff>
          <xdr:row>0</xdr:row>
          <xdr:rowOff>38100</xdr:rowOff>
        </xdr:to>
        <xdr:sp macro="" textlink="">
          <xdr:nvSpPr>
            <xdr:cNvPr id="33808" name="Button 16" hidden="1">
              <a:extLst xmlns:a="http://schemas.openxmlformats.org/drawingml/2006/main">
                <a:ext uri="{63B3BB69-23CF-44E3-9099-C40C66FF867C}">
                  <a14:compatExt spid="_x0000_s3380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0</xdr:rowOff>
        </xdr:from>
        <xdr:to>
          <xdr:col>1</xdr:col>
          <xdr:colOff>30480</xdr:colOff>
          <xdr:row>0</xdr:row>
          <xdr:rowOff>0</xdr:rowOff>
        </xdr:to>
        <xdr:sp macro="" textlink="">
          <xdr:nvSpPr>
            <xdr:cNvPr id="17409" name="Button 1" hidden="1">
              <a:extLst xmlns:a="http://schemas.openxmlformats.org/drawingml/2006/main"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251460</xdr:colOff>
          <xdr:row>0</xdr:row>
          <xdr:rowOff>0</xdr:rowOff>
        </xdr:from>
        <xdr:to>
          <xdr:col>1</xdr:col>
          <xdr:colOff>274320</xdr:colOff>
          <xdr:row>0</xdr:row>
          <xdr:rowOff>0</xdr:rowOff>
        </xdr:to>
        <xdr:sp macro="" textlink="">
          <xdr:nvSpPr>
            <xdr:cNvPr id="17410" name="Button 2" hidden="1">
              <a:extLst xmlns:a="http://schemas.openxmlformats.org/drawingml/2006/main"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erencZsoltE\Asztal\Szakmai_ig&#233;nye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67\sys\Documents%20and%20Settings\FerencZsoltE\Asztal\Szakmai_ig&#233;nye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ZOS\Gl_riportok\Formazott_hide\02RIPOR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0" Type="http://schemas.openxmlformats.org/officeDocument/2006/relationships/ctrlProp" Target="../ctrlProps/ctrlProp7.xml" /><Relationship Id="rId4" Type="http://schemas.openxmlformats.org/officeDocument/2006/relationships/ctrlProp" Target="../ctrlProps/ctrlProp1.xml" /><Relationship Id="rId17" Type="http://schemas.openxmlformats.org/officeDocument/2006/relationships/ctrlProp" Target="../ctrlProps/ctrlProp14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4" Type="http://schemas.openxmlformats.org/officeDocument/2006/relationships/ctrlProp" Target="../ctrlProps/ctrlProp11.xml" /><Relationship Id="rId12" Type="http://schemas.openxmlformats.org/officeDocument/2006/relationships/ctrlProp" Target="../ctrlProps/ctrlProp9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15" Type="http://schemas.openxmlformats.org/officeDocument/2006/relationships/ctrlProp" Target="../ctrlProps/ctrlProp12.xml" /><Relationship Id="rId13" Type="http://schemas.openxmlformats.org/officeDocument/2006/relationships/ctrlProp" Target="../ctrlProps/ctrlProp10.xml" /><Relationship Id="rId9" Type="http://schemas.openxmlformats.org/officeDocument/2006/relationships/ctrlProp" Target="../ctrlProps/ctrlProp6.xml" /><Relationship Id="rId8" Type="http://schemas.openxmlformats.org/officeDocument/2006/relationships/ctrlProp" Target="../ctrlProps/ctrlProp5.xml" /><Relationship Id="rId16" Type="http://schemas.openxmlformats.org/officeDocument/2006/relationships/ctrlProp" Target="../ctrlProps/ctrlProp13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8.xml" /><Relationship Id="rId4" Type="http://schemas.openxmlformats.org/officeDocument/2006/relationships/ctrlProp" Target="../ctrlProps/ctrlProp17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 topLeftCell="A28">
      <selection activeCell="G31" sqref="G31"/>
    </sheetView>
  </sheetViews>
  <sheetFormatPr defaultColWidth="9.125" defaultRowHeight="12.75"/>
  <cols>
    <col min="1" max="1" width="60.375" style="95" customWidth="1"/>
    <col min="2" max="2" width="14.125" style="95" customWidth="1"/>
    <col min="3" max="3" width="13.00390625" style="95" customWidth="1"/>
    <col min="4" max="4" width="14.50390625" style="95" customWidth="1"/>
    <col min="5" max="5" width="13.00390625" style="95" customWidth="1"/>
    <col min="6" max="6" width="51.875" style="95" customWidth="1"/>
    <col min="7" max="8" width="12.375" style="95" customWidth="1"/>
    <col min="9" max="10" width="12.625" style="95" customWidth="1"/>
    <col min="11" max="16384" width="9.125" style="95" customWidth="1"/>
  </cols>
  <sheetData>
    <row r="1" spans="1:6" ht="12.75">
      <c r="A1" s="1070" t="s">
        <v>90</v>
      </c>
      <c r="B1" s="1070"/>
      <c r="C1" s="1070"/>
      <c r="D1" s="1070"/>
      <c r="E1" s="1070"/>
      <c r="F1" s="1070"/>
    </row>
    <row r="2" spans="1:6" ht="12.75" customHeight="1">
      <c r="A2" s="1069" t="s">
        <v>91</v>
      </c>
      <c r="B2" s="1069"/>
      <c r="C2" s="1069"/>
      <c r="D2" s="1069"/>
      <c r="E2" s="1069"/>
      <c r="F2" s="1069"/>
    </row>
    <row r="3" spans="1:6" ht="12.75" customHeight="1">
      <c r="A3" s="182"/>
      <c r="B3" s="182"/>
      <c r="C3" s="182"/>
      <c r="D3" s="182"/>
      <c r="E3" s="182"/>
      <c r="F3" s="182"/>
    </row>
    <row r="4" spans="1:10" ht="12.75" customHeight="1">
      <c r="A4" s="1071" t="s">
        <v>275</v>
      </c>
      <c r="B4" s="1067" t="s">
        <v>616</v>
      </c>
      <c r="C4" s="1067" t="s">
        <v>648</v>
      </c>
      <c r="D4" s="1067" t="s">
        <v>655</v>
      </c>
      <c r="E4" s="1067" t="s">
        <v>660</v>
      </c>
      <c r="F4" s="1071" t="s">
        <v>276</v>
      </c>
      <c r="G4" s="1067" t="s">
        <v>616</v>
      </c>
      <c r="H4" s="1067" t="s">
        <v>649</v>
      </c>
      <c r="I4" s="1067" t="s">
        <v>655</v>
      </c>
      <c r="J4" s="1067" t="s">
        <v>660</v>
      </c>
    </row>
    <row r="5" spans="1:10" ht="24.75" customHeight="1" thickBot="1">
      <c r="A5" s="1072"/>
      <c r="B5" s="1068"/>
      <c r="C5" s="1068"/>
      <c r="D5" s="1068"/>
      <c r="E5" s="1073"/>
      <c r="F5" s="1072"/>
      <c r="G5" s="1068"/>
      <c r="H5" s="1068"/>
      <c r="I5" s="1068"/>
      <c r="J5" s="1068"/>
    </row>
    <row r="6" spans="1:10" s="148" customFormat="1" ht="12.6" thickTop="1">
      <c r="A6" s="161"/>
      <c r="B6" s="193"/>
      <c r="C6" s="193"/>
      <c r="D6" s="193"/>
      <c r="E6" s="193"/>
      <c r="F6" s="164" t="s">
        <v>277</v>
      </c>
      <c r="G6" s="860">
        <f>SUM('1c.mell '!C138)</f>
        <v>4973438</v>
      </c>
      <c r="H6" s="860">
        <f>SUM('1c.mell '!D138)</f>
        <v>5136315</v>
      </c>
      <c r="I6" s="860">
        <f>SUM('1c.mell '!E138)</f>
        <v>5191871</v>
      </c>
      <c r="J6" s="860">
        <f>SUM('1c.mell '!F138)</f>
        <v>3499186</v>
      </c>
    </row>
    <row r="7" spans="1:10" s="148" customFormat="1" ht="12">
      <c r="A7" s="242" t="s">
        <v>188</v>
      </c>
      <c r="B7" s="846">
        <f>SUM('1b.mell '!C243)</f>
        <v>2580221</v>
      </c>
      <c r="C7" s="846">
        <f>SUM('1b.mell '!D243)</f>
        <v>2758074</v>
      </c>
      <c r="D7" s="846">
        <f>SUM('1b.mell '!E243)</f>
        <v>2788827</v>
      </c>
      <c r="E7" s="1045">
        <f>SUM('1b.mell '!F243)</f>
        <v>2175329</v>
      </c>
      <c r="F7" s="165" t="s">
        <v>325</v>
      </c>
      <c r="G7" s="860">
        <f>SUM('1c.mell '!C139)</f>
        <v>826986</v>
      </c>
      <c r="H7" s="860">
        <f>SUM('1c.mell '!D139)</f>
        <v>871320</v>
      </c>
      <c r="I7" s="860">
        <f>SUM('1c.mell '!E139)</f>
        <v>878650</v>
      </c>
      <c r="J7" s="860">
        <f>SUM('1c.mell '!F139)</f>
        <v>591980</v>
      </c>
    </row>
    <row r="8" spans="1:10" s="148" customFormat="1" ht="12">
      <c r="A8" s="242" t="s">
        <v>192</v>
      </c>
      <c r="B8" s="846">
        <f>SUM('1b.mell '!C17)</f>
        <v>0</v>
      </c>
      <c r="C8" s="846">
        <f>SUM('1b.mell '!D17)</f>
        <v>0</v>
      </c>
      <c r="D8" s="846">
        <f>SUM('1b.mell '!E17)</f>
        <v>0</v>
      </c>
      <c r="E8" s="1045">
        <f>SUM('1b.mell '!F17)</f>
        <v>1</v>
      </c>
      <c r="F8" s="154" t="s">
        <v>278</v>
      </c>
      <c r="G8" s="155">
        <f>SUM('1c.mell '!C140)</f>
        <v>5569273</v>
      </c>
      <c r="H8" s="155">
        <f>SUM('1c.mell '!D140)</f>
        <v>6739414</v>
      </c>
      <c r="I8" s="155">
        <f>SUM('1c.mell '!E140)</f>
        <v>6779025</v>
      </c>
      <c r="J8" s="155">
        <f>SUM('1c.mell '!F140)</f>
        <v>3813467</v>
      </c>
    </row>
    <row r="9" spans="1:10" s="148" customFormat="1" ht="12">
      <c r="A9" s="242" t="s">
        <v>580</v>
      </c>
      <c r="B9" s="155">
        <f>SUM('1b.mell '!C245)</f>
        <v>0</v>
      </c>
      <c r="C9" s="155">
        <f>SUM('1b.mell '!D245)</f>
        <v>32034</v>
      </c>
      <c r="D9" s="155">
        <f>SUM('1b.mell '!E245)</f>
        <v>51554</v>
      </c>
      <c r="E9" s="1046">
        <f>SUM('1b.mell '!F245)</f>
        <v>51779</v>
      </c>
      <c r="F9" s="154" t="s">
        <v>93</v>
      </c>
      <c r="G9" s="155">
        <f>SUM('1c.mell '!C141)</f>
        <v>240124</v>
      </c>
      <c r="H9" s="155">
        <f>SUM('1c.mell '!D141)</f>
        <v>252917</v>
      </c>
      <c r="I9" s="155">
        <f>SUM('1c.mell '!E141)</f>
        <v>257917</v>
      </c>
      <c r="J9" s="155">
        <f>SUM('1c.mell '!F141)</f>
        <v>112466</v>
      </c>
    </row>
    <row r="10" spans="1:10" s="148" customFormat="1" ht="12.6" thickBot="1">
      <c r="A10" s="250" t="s">
        <v>581</v>
      </c>
      <c r="B10" s="915">
        <f>SUM('1b.mell '!C246)</f>
        <v>19324</v>
      </c>
      <c r="C10" s="915">
        <f>SUM('1b.mell '!D246)</f>
        <v>19324</v>
      </c>
      <c r="D10" s="915">
        <f>SUM('1b.mell '!E246)</f>
        <v>19324</v>
      </c>
      <c r="E10" s="251">
        <f>SUM('1b.mell '!F246)</f>
        <v>0</v>
      </c>
      <c r="F10" s="154" t="s">
        <v>92</v>
      </c>
      <c r="G10" s="155">
        <f>SUM('1c.mell '!C142)</f>
        <v>2042786</v>
      </c>
      <c r="H10" s="155">
        <f>SUM('1c.mell '!D142)</f>
        <v>2424935</v>
      </c>
      <c r="I10" s="155">
        <f>SUM('1c.mell '!E142)</f>
        <v>2407676</v>
      </c>
      <c r="J10" s="155">
        <f>SUM('1c.mell '!F142)</f>
        <v>1539430</v>
      </c>
    </row>
    <row r="11" spans="1:10" s="148" customFormat="1" ht="12.6" thickBot="1">
      <c r="A11" s="244" t="s">
        <v>193</v>
      </c>
      <c r="B11" s="252">
        <f>SUM(B7:B10)</f>
        <v>2599545</v>
      </c>
      <c r="C11" s="252">
        <f>SUM(C7:C10)</f>
        <v>2809432</v>
      </c>
      <c r="D11" s="252">
        <f>SUM(D7:D10)</f>
        <v>2859705</v>
      </c>
      <c r="E11" s="252">
        <f>SUM(E7:E10)</f>
        <v>2227109</v>
      </c>
      <c r="F11" s="809" t="s">
        <v>455</v>
      </c>
      <c r="G11" s="713">
        <v>28111</v>
      </c>
      <c r="H11" s="713">
        <v>34168</v>
      </c>
      <c r="I11" s="713">
        <v>25834</v>
      </c>
      <c r="J11" s="713"/>
    </row>
    <row r="12" spans="1:10" s="148" customFormat="1" ht="12">
      <c r="A12" s="187" t="s">
        <v>194</v>
      </c>
      <c r="B12" s="162">
        <f>SUM('1b.mell '!C248)</f>
        <v>3610000</v>
      </c>
      <c r="C12" s="162">
        <f>SUM('1b.mell '!D248)</f>
        <v>3610000</v>
      </c>
      <c r="D12" s="162">
        <f>SUM('1b.mell '!E248)</f>
        <v>3610000</v>
      </c>
      <c r="E12" s="1048">
        <f>SUM('1b.mell '!F248)</f>
        <v>3524331</v>
      </c>
      <c r="F12" s="809" t="s">
        <v>542</v>
      </c>
      <c r="G12" s="713">
        <v>17680</v>
      </c>
      <c r="H12" s="713">
        <v>147680</v>
      </c>
      <c r="I12" s="713">
        <v>139952</v>
      </c>
      <c r="J12" s="713"/>
    </row>
    <row r="13" spans="1:10" s="148" customFormat="1" ht="12.75">
      <c r="A13" s="187" t="s">
        <v>195</v>
      </c>
      <c r="B13" s="162">
        <f>SUM('1b.mell '!C249)</f>
        <v>4364575</v>
      </c>
      <c r="C13" s="162">
        <f>SUM('1b.mell '!D249)</f>
        <v>4289575</v>
      </c>
      <c r="D13" s="162">
        <f>SUM('1b.mell '!E249)</f>
        <v>4289575</v>
      </c>
      <c r="E13" s="162">
        <f>SUM('1b.mell '!F249)</f>
        <v>2758730</v>
      </c>
      <c r="F13" s="810"/>
      <c r="G13" s="713"/>
      <c r="H13" s="713"/>
      <c r="I13" s="713"/>
      <c r="J13" s="713"/>
    </row>
    <row r="14" spans="1:10" s="148" customFormat="1" ht="13.8" thickBot="1">
      <c r="A14" s="243" t="s">
        <v>5</v>
      </c>
      <c r="B14" s="162">
        <f>SUM('1b.mell '!C250)</f>
        <v>793300</v>
      </c>
      <c r="C14" s="162">
        <f>SUM('1b.mell '!D250)</f>
        <v>519120</v>
      </c>
      <c r="D14" s="162">
        <f>SUM('1b.mell '!E250)</f>
        <v>519120</v>
      </c>
      <c r="E14" s="251">
        <f>SUM('1b.mell '!F250)</f>
        <v>455476</v>
      </c>
      <c r="F14" s="810"/>
      <c r="G14" s="713"/>
      <c r="H14" s="713"/>
      <c r="I14" s="713"/>
      <c r="J14" s="713"/>
    </row>
    <row r="15" spans="1:10" s="148" customFormat="1" ht="13.8" thickBot="1">
      <c r="A15" s="245" t="s">
        <v>201</v>
      </c>
      <c r="B15" s="252">
        <f aca="true" t="shared" si="0" ref="B15">SUM(B12:B14)</f>
        <v>8767875</v>
      </c>
      <c r="C15" s="252">
        <f aca="true" t="shared" si="1" ref="C15:D15">SUM(C12:C14)</f>
        <v>8418695</v>
      </c>
      <c r="D15" s="252">
        <f t="shared" si="1"/>
        <v>8418695</v>
      </c>
      <c r="E15" s="252">
        <f aca="true" t="shared" si="2" ref="E15">SUM(E12:E14)</f>
        <v>6738537</v>
      </c>
      <c r="F15" s="810"/>
      <c r="G15" s="155"/>
      <c r="H15" s="155"/>
      <c r="I15" s="155"/>
      <c r="J15" s="155"/>
    </row>
    <row r="16" spans="1:10" s="148" customFormat="1" ht="12.75">
      <c r="A16" s="249" t="s">
        <v>412</v>
      </c>
      <c r="B16" s="259">
        <f>SUM('1b.mell '!C252)</f>
        <v>0</v>
      </c>
      <c r="C16" s="259">
        <f>SUM('1b.mell '!D252)</f>
        <v>0</v>
      </c>
      <c r="D16" s="259">
        <f>SUM('1b.mell '!E252)</f>
        <v>7</v>
      </c>
      <c r="E16" s="162">
        <f>SUM('1b.mell '!F252)</f>
        <v>27</v>
      </c>
      <c r="F16" s="810"/>
      <c r="G16" s="713"/>
      <c r="H16" s="713"/>
      <c r="I16" s="713"/>
      <c r="J16" s="713"/>
    </row>
    <row r="17" spans="1:10" s="148" customFormat="1" ht="12.75">
      <c r="A17" s="187" t="s">
        <v>202</v>
      </c>
      <c r="B17" s="162">
        <f>SUM('1b.mell '!C253)</f>
        <v>1351569</v>
      </c>
      <c r="C17" s="162">
        <f>SUM('1b.mell '!D253)</f>
        <v>1125294</v>
      </c>
      <c r="D17" s="162">
        <f>SUM('1b.mell '!E253)</f>
        <v>1114023</v>
      </c>
      <c r="E17" s="162">
        <f>SUM('1b.mell '!F253)</f>
        <v>816998</v>
      </c>
      <c r="F17" s="810"/>
      <c r="G17" s="713"/>
      <c r="H17" s="713"/>
      <c r="I17" s="713"/>
      <c r="J17" s="713"/>
    </row>
    <row r="18" spans="1:10" s="148" customFormat="1" ht="12.75">
      <c r="A18" s="242" t="s">
        <v>203</v>
      </c>
      <c r="B18" s="162">
        <f>SUM('1b.mell '!C254)</f>
        <v>198448</v>
      </c>
      <c r="C18" s="162">
        <f>SUM('1b.mell '!D254)</f>
        <v>195354</v>
      </c>
      <c r="D18" s="162">
        <f>SUM('1b.mell '!E254)</f>
        <v>195795</v>
      </c>
      <c r="E18" s="162">
        <f>SUM('1b.mell '!F254)</f>
        <v>147280</v>
      </c>
      <c r="F18" s="810"/>
      <c r="G18" s="713"/>
      <c r="H18" s="713"/>
      <c r="I18" s="713"/>
      <c r="J18" s="713"/>
    </row>
    <row r="19" spans="1:10" s="148" customFormat="1" ht="12">
      <c r="A19" s="242" t="s">
        <v>81</v>
      </c>
      <c r="B19" s="162">
        <f>SUM('1b.mell '!C255)</f>
        <v>0</v>
      </c>
      <c r="C19" s="162">
        <f>SUM('1b.mell '!D255)</f>
        <v>0</v>
      </c>
      <c r="D19" s="162">
        <f>SUM('1b.mell '!E255)</f>
        <v>0</v>
      </c>
      <c r="E19" s="155">
        <f>SUM('1b.mell '!F255)</f>
        <v>0</v>
      </c>
      <c r="F19" s="269"/>
      <c r="G19" s="949"/>
      <c r="H19" s="949"/>
      <c r="I19" s="950"/>
      <c r="J19" s="818"/>
    </row>
    <row r="20" spans="1:10" s="148" customFormat="1" ht="12">
      <c r="A20" s="242" t="s">
        <v>206</v>
      </c>
      <c r="B20" s="162">
        <f>SUM('1b.mell '!C256)</f>
        <v>191068</v>
      </c>
      <c r="C20" s="162">
        <f>SUM('1b.mell '!D256)</f>
        <v>191068</v>
      </c>
      <c r="D20" s="162">
        <f>SUM('1b.mell '!E256)</f>
        <v>191068</v>
      </c>
      <c r="E20" s="155">
        <f>SUM('1b.mell '!F256)</f>
        <v>108481</v>
      </c>
      <c r="F20" s="269"/>
      <c r="G20" s="950"/>
      <c r="H20" s="950"/>
      <c r="I20" s="950"/>
      <c r="J20" s="203"/>
    </row>
    <row r="21" spans="1:10" s="148" customFormat="1" ht="12">
      <c r="A21" s="242" t="s">
        <v>207</v>
      </c>
      <c r="B21" s="162">
        <f>SUM('1b.mell '!C257)</f>
        <v>476412</v>
      </c>
      <c r="C21" s="162">
        <f>SUM('1b.mell '!D257)</f>
        <v>414431</v>
      </c>
      <c r="D21" s="162">
        <f>SUM('1b.mell '!E257)</f>
        <v>411312</v>
      </c>
      <c r="E21" s="155">
        <f>SUM('1b.mell '!F257)</f>
        <v>294976</v>
      </c>
      <c r="F21" s="149"/>
      <c r="G21" s="951"/>
      <c r="H21" s="951"/>
      <c r="I21" s="951"/>
      <c r="J21" s="152"/>
    </row>
    <row r="22" spans="1:10" s="148" customFormat="1" ht="12">
      <c r="A22" s="187" t="s">
        <v>208</v>
      </c>
      <c r="B22" s="162">
        <f>SUM('1b.mell '!C258)</f>
        <v>5070</v>
      </c>
      <c r="C22" s="162">
        <f>SUM('1b.mell '!D258)</f>
        <v>5082</v>
      </c>
      <c r="D22" s="162">
        <f>SUM('1b.mell '!E258)</f>
        <v>10969</v>
      </c>
      <c r="E22" s="155">
        <f>SUM('1b.mell '!F258)</f>
        <v>13872</v>
      </c>
      <c r="F22" s="149"/>
      <c r="G22" s="951"/>
      <c r="H22" s="951"/>
      <c r="I22" s="951"/>
      <c r="J22" s="152"/>
    </row>
    <row r="23" spans="1:10" s="148" customFormat="1" ht="12">
      <c r="A23" s="187" t="s">
        <v>413</v>
      </c>
      <c r="B23" s="162">
        <f>SUM('1b.mell '!C259)</f>
        <v>3010</v>
      </c>
      <c r="C23" s="162">
        <f>SUM('1b.mell '!D259)</f>
        <v>3012</v>
      </c>
      <c r="D23" s="162">
        <f>SUM('1b.mell '!E259)</f>
        <v>3012</v>
      </c>
      <c r="E23" s="155">
        <f>SUM('1b.mell '!F259)</f>
        <v>2693</v>
      </c>
      <c r="F23" s="149"/>
      <c r="G23" s="951"/>
      <c r="H23" s="951"/>
      <c r="I23" s="951"/>
      <c r="J23" s="152"/>
    </row>
    <row r="24" spans="1:10" s="148" customFormat="1" ht="12">
      <c r="A24" s="647" t="s">
        <v>447</v>
      </c>
      <c r="B24" s="162"/>
      <c r="C24" s="162"/>
      <c r="D24" s="162"/>
      <c r="E24" s="155"/>
      <c r="F24" s="149"/>
      <c r="G24" s="951"/>
      <c r="H24" s="951"/>
      <c r="I24" s="951"/>
      <c r="J24" s="152"/>
    </row>
    <row r="25" spans="1:10" s="148" customFormat="1" ht="12.6" thickBot="1">
      <c r="A25" s="243" t="s">
        <v>209</v>
      </c>
      <c r="B25" s="162">
        <f>SUM('1b.mell '!C260)</f>
        <v>87727</v>
      </c>
      <c r="C25" s="162">
        <f>SUM('1b.mell '!D260)</f>
        <v>155157</v>
      </c>
      <c r="D25" s="162">
        <f>SUM('1b.mell '!E260)</f>
        <v>155157</v>
      </c>
      <c r="E25" s="155">
        <f>SUM('1b.mell '!F260)</f>
        <v>130755</v>
      </c>
      <c r="F25" s="149"/>
      <c r="G25" s="951"/>
      <c r="H25" s="951"/>
      <c r="I25" s="951"/>
      <c r="J25" s="152"/>
    </row>
    <row r="26" spans="1:10" s="148" customFormat="1" ht="13.8" thickBot="1">
      <c r="A26" s="245" t="s">
        <v>324</v>
      </c>
      <c r="B26" s="252">
        <f aca="true" t="shared" si="3" ref="B26">SUM(B16:B25)</f>
        <v>2313304</v>
      </c>
      <c r="C26" s="252">
        <f aca="true" t="shared" si="4" ref="C26:D26">SUM(C16:C25)</f>
        <v>2089398</v>
      </c>
      <c r="D26" s="252">
        <f t="shared" si="4"/>
        <v>2081343</v>
      </c>
      <c r="E26" s="1062">
        <f aca="true" t="shared" si="5" ref="E26">SUM(E16:E25)</f>
        <v>1515082</v>
      </c>
      <c r="F26" s="149"/>
      <c r="G26" s="951"/>
      <c r="H26" s="951"/>
      <c r="I26" s="951"/>
      <c r="J26" s="152"/>
    </row>
    <row r="27" spans="1:10" s="148" customFormat="1" ht="12.6" thickBot="1">
      <c r="A27" s="246" t="s">
        <v>210</v>
      </c>
      <c r="B27" s="253">
        <f>SUM('1b.mell '!C262)</f>
        <v>0</v>
      </c>
      <c r="C27" s="253">
        <f>SUM('1b.mell '!D262)</f>
        <v>81455</v>
      </c>
      <c r="D27" s="253">
        <f>SUM('1b.mell '!E262)</f>
        <v>81455</v>
      </c>
      <c r="E27" s="253">
        <f>SUM('1b.mell '!F262)</f>
        <v>85316</v>
      </c>
      <c r="F27" s="149"/>
      <c r="G27" s="951"/>
      <c r="H27" s="951"/>
      <c r="I27" s="951"/>
      <c r="J27" s="152"/>
    </row>
    <row r="28" spans="1:10" s="148" customFormat="1" ht="13.8" thickBot="1">
      <c r="A28" s="247" t="s">
        <v>211</v>
      </c>
      <c r="B28" s="261">
        <f aca="true" t="shared" si="6" ref="B28">SUM(B27)</f>
        <v>0</v>
      </c>
      <c r="C28" s="261">
        <f aca="true" t="shared" si="7" ref="C28:D28">SUM(C27)</f>
        <v>81455</v>
      </c>
      <c r="D28" s="261">
        <f t="shared" si="7"/>
        <v>81455</v>
      </c>
      <c r="E28" s="261">
        <f aca="true" t="shared" si="8" ref="E28">SUM(E27)</f>
        <v>85316</v>
      </c>
      <c r="F28" s="150"/>
      <c r="G28" s="952"/>
      <c r="H28" s="952"/>
      <c r="I28" s="952"/>
      <c r="J28" s="153"/>
    </row>
    <row r="29" spans="1:10" s="148" customFormat="1" ht="16.8" thickBot="1" thickTop="1">
      <c r="A29" s="248" t="s">
        <v>58</v>
      </c>
      <c r="B29" s="208">
        <f aca="true" t="shared" si="9" ref="B29">SUM(B28,B26,B15,B11)</f>
        <v>13680724</v>
      </c>
      <c r="C29" s="208">
        <f aca="true" t="shared" si="10" ref="C29:D29">SUM(C28,C26,C15,C11)</f>
        <v>13398980</v>
      </c>
      <c r="D29" s="208">
        <f t="shared" si="10"/>
        <v>13441198</v>
      </c>
      <c r="E29" s="1049">
        <f aca="true" t="shared" si="11" ref="E29">SUM(E28,E26,E15,E11)</f>
        <v>10566044</v>
      </c>
      <c r="F29" s="169" t="s">
        <v>51</v>
      </c>
      <c r="G29" s="156">
        <f>SUM(G6:G10)</f>
        <v>13652607</v>
      </c>
      <c r="H29" s="156">
        <f>SUM(H6:H10)</f>
        <v>15424901</v>
      </c>
      <c r="I29" s="156">
        <f>SUM(I6:I10)</f>
        <v>15515139</v>
      </c>
      <c r="J29" s="156">
        <f>SUM(J6:J10)</f>
        <v>9556529</v>
      </c>
    </row>
    <row r="30" spans="1:10" s="148" customFormat="1" ht="12.6" thickTop="1">
      <c r="A30" s="187" t="s">
        <v>212</v>
      </c>
      <c r="B30" s="162">
        <f>SUM('1b.mell '!C265)</f>
        <v>0</v>
      </c>
      <c r="C30" s="162">
        <f>SUM('1b.mell '!D265)</f>
        <v>0</v>
      </c>
      <c r="D30" s="162">
        <f>SUM('1b.mell '!E265)</f>
        <v>0</v>
      </c>
      <c r="E30" s="1047">
        <f>SUM('1b.mell '!F265)</f>
        <v>0</v>
      </c>
      <c r="F30" s="149"/>
      <c r="G30" s="267"/>
      <c r="H30" s="267"/>
      <c r="I30" s="267"/>
      <c r="J30" s="267"/>
    </row>
    <row r="31" spans="1:10" s="148" customFormat="1" ht="12">
      <c r="A31" s="242" t="s">
        <v>213</v>
      </c>
      <c r="B31" s="155">
        <f>SUM('1b.mell '!C266)</f>
        <v>0</v>
      </c>
      <c r="C31" s="155">
        <f>SUM('1b.mell '!D266)</f>
        <v>0</v>
      </c>
      <c r="D31" s="155">
        <f>SUM('1b.mell '!E266)</f>
        <v>0</v>
      </c>
      <c r="E31" s="1046">
        <f>SUM('1b.mell '!F266)</f>
        <v>0</v>
      </c>
      <c r="F31" s="151" t="s">
        <v>226</v>
      </c>
      <c r="G31" s="155">
        <f>SUM('1c.mell '!C145)</f>
        <v>266710</v>
      </c>
      <c r="H31" s="155">
        <f>SUM('1c.mell '!D145)</f>
        <v>605871</v>
      </c>
      <c r="I31" s="155">
        <f>SUM('1c.mell '!E145)</f>
        <v>1339204</v>
      </c>
      <c r="J31" s="155">
        <f>SUM('1c.mell '!F145)</f>
        <v>153763</v>
      </c>
    </row>
    <row r="32" spans="1:10" s="148" customFormat="1" ht="12">
      <c r="A32" s="242" t="s">
        <v>214</v>
      </c>
      <c r="B32" s="155">
        <f>SUM('1b.mell '!C267)</f>
        <v>400000</v>
      </c>
      <c r="C32" s="155">
        <f>SUM('1b.mell '!D267)</f>
        <v>400000</v>
      </c>
      <c r="D32" s="155">
        <f>SUM('1b.mell '!E267)</f>
        <v>400000</v>
      </c>
      <c r="E32" s="1048">
        <f>SUM('1b.mell '!F267)</f>
        <v>0</v>
      </c>
      <c r="F32" s="254" t="s">
        <v>227</v>
      </c>
      <c r="G32" s="155">
        <f>SUM('1c.mell '!C146)</f>
        <v>1845874</v>
      </c>
      <c r="H32" s="155">
        <f>SUM('1c.mell '!D146)</f>
        <v>2959059</v>
      </c>
      <c r="I32" s="155">
        <f>SUM('1c.mell '!E146)</f>
        <v>2185678</v>
      </c>
      <c r="J32" s="155">
        <f>SUM('1c.mell '!F146)</f>
        <v>180169</v>
      </c>
    </row>
    <row r="33" spans="1:10" s="148" customFormat="1" ht="12.6" thickBot="1">
      <c r="A33" s="242" t="s">
        <v>456</v>
      </c>
      <c r="B33" s="155">
        <f>SUM('1b.mell '!C268)</f>
        <v>0</v>
      </c>
      <c r="C33" s="155">
        <f>SUM('1b.mell '!D268)</f>
        <v>0</v>
      </c>
      <c r="D33" s="155">
        <f>SUM('1b.mell '!E268)</f>
        <v>0</v>
      </c>
      <c r="E33" s="251">
        <f>SUM('1b.mell '!F268)</f>
        <v>0</v>
      </c>
      <c r="F33" s="151" t="s">
        <v>361</v>
      </c>
      <c r="G33" s="155">
        <f>SUM('1c.mell '!C147)</f>
        <v>122700</v>
      </c>
      <c r="H33" s="155">
        <f>SUM('1c.mell '!D147)</f>
        <v>1134624</v>
      </c>
      <c r="I33" s="155">
        <f>SUM('1c.mell '!E147)</f>
        <v>1126652</v>
      </c>
      <c r="J33" s="155">
        <f>SUM('1c.mell '!F147)</f>
        <v>434685</v>
      </c>
    </row>
    <row r="34" spans="1:10" s="148" customFormat="1" ht="13.8" thickBot="1">
      <c r="A34" s="245" t="s">
        <v>215</v>
      </c>
      <c r="B34" s="252">
        <f aca="true" t="shared" si="12" ref="B34">SUM(B30:B33)</f>
        <v>400000</v>
      </c>
      <c r="C34" s="252">
        <f aca="true" t="shared" si="13" ref="C34:D34">SUM(C30:C33)</f>
        <v>400000</v>
      </c>
      <c r="D34" s="252">
        <f t="shared" si="13"/>
        <v>400000</v>
      </c>
      <c r="E34" s="252">
        <f aca="true" t="shared" si="14" ref="E34">SUM(E30:E33)</f>
        <v>0</v>
      </c>
      <c r="F34" s="632" t="s">
        <v>543</v>
      </c>
      <c r="G34" s="713"/>
      <c r="H34" s="713">
        <v>121268</v>
      </c>
      <c r="I34" s="713">
        <v>121268</v>
      </c>
      <c r="J34" s="713"/>
    </row>
    <row r="35" spans="1:10" s="148" customFormat="1" ht="12">
      <c r="A35" s="187" t="s">
        <v>216</v>
      </c>
      <c r="B35" s="259">
        <f>SUM('1b.mell '!C270)</f>
        <v>476100</v>
      </c>
      <c r="C35" s="259">
        <f>SUM('1b.mell '!D270)</f>
        <v>491849</v>
      </c>
      <c r="D35" s="259">
        <f>SUM('1b.mell '!E270)</f>
        <v>491849</v>
      </c>
      <c r="E35" s="162">
        <f>SUM('1b.mell '!F270)</f>
        <v>296707</v>
      </c>
      <c r="F35" s="149"/>
      <c r="G35" s="953"/>
      <c r="H35" s="953"/>
      <c r="I35" s="953"/>
      <c r="J35" s="824"/>
    </row>
    <row r="36" spans="1:10" s="148" customFormat="1" ht="12">
      <c r="A36" s="242" t="s">
        <v>224</v>
      </c>
      <c r="B36" s="155">
        <f>SUM('1b.mell '!C271)</f>
        <v>0</v>
      </c>
      <c r="C36" s="155">
        <f>SUM('1b.mell '!D271)</f>
        <v>0</v>
      </c>
      <c r="D36" s="155">
        <f>SUM('1b.mell '!E271)</f>
        <v>0</v>
      </c>
      <c r="E36" s="155">
        <f>SUM('1b.mell '!F271)</f>
        <v>60</v>
      </c>
      <c r="F36" s="149"/>
      <c r="G36" s="951"/>
      <c r="H36" s="951"/>
      <c r="I36" s="951"/>
      <c r="J36" s="152"/>
    </row>
    <row r="37" spans="1:10" s="148" customFormat="1" ht="12.6" thickBot="1">
      <c r="A37" s="646" t="s">
        <v>446</v>
      </c>
      <c r="B37" s="275"/>
      <c r="C37" s="275"/>
      <c r="D37" s="275"/>
      <c r="E37" s="251"/>
      <c r="F37" s="149"/>
      <c r="G37" s="951"/>
      <c r="H37" s="951"/>
      <c r="I37" s="951"/>
      <c r="J37" s="152"/>
    </row>
    <row r="38" spans="1:10" s="148" customFormat="1" ht="13.8" thickBot="1">
      <c r="A38" s="245" t="s">
        <v>217</v>
      </c>
      <c r="B38" s="252">
        <f aca="true" t="shared" si="15" ref="B38">SUM(B35:B36)</f>
        <v>476100</v>
      </c>
      <c r="C38" s="252">
        <f aca="true" t="shared" si="16" ref="C38:D38">SUM(C35:C36)</f>
        <v>491849</v>
      </c>
      <c r="D38" s="252">
        <f t="shared" si="16"/>
        <v>491849</v>
      </c>
      <c r="E38" s="1062">
        <f aca="true" t="shared" si="17" ref="E38">SUM(E35:E36)</f>
        <v>296767</v>
      </c>
      <c r="F38" s="269"/>
      <c r="G38" s="954"/>
      <c r="H38" s="954"/>
      <c r="I38" s="954"/>
      <c r="J38" s="262"/>
    </row>
    <row r="39" spans="1:10" s="148" customFormat="1" ht="12.75" customHeight="1">
      <c r="A39" s="249" t="s">
        <v>402</v>
      </c>
      <c r="B39" s="259">
        <f>SUM('1b.mell '!C273)</f>
        <v>19000</v>
      </c>
      <c r="C39" s="259">
        <f>SUM('1b.mell '!D273)</f>
        <v>19000</v>
      </c>
      <c r="D39" s="259">
        <f>SUM('1b.mell '!E273)</f>
        <v>19000</v>
      </c>
      <c r="E39" s="259">
        <f>SUM('1b.mell '!F273)</f>
        <v>15173</v>
      </c>
      <c r="F39" s="270"/>
      <c r="G39" s="951"/>
      <c r="H39" s="951"/>
      <c r="I39" s="951"/>
      <c r="J39" s="152"/>
    </row>
    <row r="40" spans="1:10" s="148" customFormat="1" ht="12.75" customHeight="1" thickBot="1">
      <c r="A40" s="250" t="s">
        <v>221</v>
      </c>
      <c r="B40" s="251">
        <f>SUM('1b.mell '!C274+'1b.mell '!C275)</f>
        <v>0</v>
      </c>
      <c r="C40" s="251">
        <f>SUM('1b.mell '!D274+'1b.mell '!D275)</f>
        <v>0</v>
      </c>
      <c r="D40" s="251">
        <f>SUM('1b.mell '!E274+'1b.mell '!E275)</f>
        <v>0</v>
      </c>
      <c r="E40" s="915">
        <f>SUM('1b.mell '!F274+'1b.mell '!F275)</f>
        <v>35205</v>
      </c>
      <c r="F40" s="270"/>
      <c r="G40" s="950"/>
      <c r="H40" s="950"/>
      <c r="I40" s="950"/>
      <c r="J40" s="203"/>
    </row>
    <row r="41" spans="1:10" s="148" customFormat="1" ht="13.8" thickBot="1">
      <c r="A41" s="247" t="s">
        <v>222</v>
      </c>
      <c r="B41" s="261">
        <f aca="true" t="shared" si="18" ref="B41">SUM(B39:B40)</f>
        <v>19000</v>
      </c>
      <c r="C41" s="261">
        <f aca="true" t="shared" si="19" ref="C41:D41">SUM(C39:C40)</f>
        <v>19000</v>
      </c>
      <c r="D41" s="261">
        <f t="shared" si="19"/>
        <v>19000</v>
      </c>
      <c r="E41" s="1049">
        <f aca="true" t="shared" si="20" ref="E41">SUM(E39:E40)</f>
        <v>50378</v>
      </c>
      <c r="F41" s="271"/>
      <c r="G41" s="955"/>
      <c r="H41" s="955"/>
      <c r="I41" s="955"/>
      <c r="J41" s="157"/>
    </row>
    <row r="42" spans="1:10" s="148" customFormat="1" ht="20.25" customHeight="1" thickBot="1" thickTop="1">
      <c r="A42" s="260" t="s">
        <v>59</v>
      </c>
      <c r="B42" s="168">
        <f aca="true" t="shared" si="21" ref="B42">SUM(B41,B38,B34)</f>
        <v>895100</v>
      </c>
      <c r="C42" s="168">
        <f aca="true" t="shared" si="22" ref="C42:D42">SUM(C41,C38,C34)</f>
        <v>910849</v>
      </c>
      <c r="D42" s="168">
        <f t="shared" si="22"/>
        <v>910849</v>
      </c>
      <c r="E42" s="1050">
        <f aca="true" t="shared" si="23" ref="E42">SUM(E41,E38,E34)</f>
        <v>347145</v>
      </c>
      <c r="F42" s="170" t="s">
        <v>57</v>
      </c>
      <c r="G42" s="168">
        <f>SUM(G30:G33)</f>
        <v>2235284</v>
      </c>
      <c r="H42" s="168">
        <f>SUM(H30:H33)</f>
        <v>4699554</v>
      </c>
      <c r="I42" s="168">
        <f>SUM(I30:I33)</f>
        <v>4651534</v>
      </c>
      <c r="J42" s="168">
        <f>SUM(J30:J33)</f>
        <v>768617</v>
      </c>
    </row>
    <row r="43" spans="1:10" s="148" customFormat="1" ht="12.75" customHeight="1" thickTop="1">
      <c r="A43" s="187" t="s">
        <v>397</v>
      </c>
      <c r="B43" s="281">
        <f>SUM('1b.mell '!C278)</f>
        <v>171513</v>
      </c>
      <c r="C43" s="281">
        <f>SUM('1b.mell '!D278)</f>
        <v>3725517</v>
      </c>
      <c r="D43" s="978">
        <f>SUM('1b.mell '!E278)</f>
        <v>3725517</v>
      </c>
      <c r="E43" s="1051">
        <f>SUM('1b.mell '!F278)</f>
        <v>3725517</v>
      </c>
      <c r="F43" s="979" t="s">
        <v>570</v>
      </c>
      <c r="G43" s="978"/>
      <c r="H43" s="978"/>
      <c r="I43" s="978">
        <f>'1c.mell '!E149</f>
        <v>339900</v>
      </c>
      <c r="J43" s="978">
        <f>'1c.mell '!F149</f>
        <v>361622</v>
      </c>
    </row>
    <row r="44" spans="1:10" s="148" customFormat="1" ht="12.75" customHeight="1">
      <c r="A44" s="242" t="s">
        <v>570</v>
      </c>
      <c r="B44" s="590">
        <f>SUM('1b.mell '!C280)</f>
        <v>0</v>
      </c>
      <c r="C44" s="590">
        <f>SUM('1b.mell '!D280)</f>
        <v>0</v>
      </c>
      <c r="D44" s="980">
        <f>SUM('1b.mell '!E280)</f>
        <v>339900</v>
      </c>
      <c r="E44" s="1063">
        <f>SUM('1b.mell '!F280)</f>
        <v>361622</v>
      </c>
      <c r="F44" s="979" t="s">
        <v>422</v>
      </c>
      <c r="G44" s="981">
        <f>SUM('1c.mell '!C151)</f>
        <v>96485</v>
      </c>
      <c r="H44" s="981">
        <f>SUM('1c.mell '!D151)</f>
        <v>96485</v>
      </c>
      <c r="I44" s="981">
        <f>SUM('1c.mell '!E151)</f>
        <v>96485</v>
      </c>
      <c r="J44" s="981">
        <f>SUM('1c.mell '!F151)</f>
        <v>96485</v>
      </c>
    </row>
    <row r="45" spans="1:10" s="148" customFormat="1" ht="12.75" customHeight="1">
      <c r="A45" s="242" t="s">
        <v>430</v>
      </c>
      <c r="B45" s="155">
        <f>SUM('1b.mell '!C279)</f>
        <v>7230074</v>
      </c>
      <c r="C45" s="155">
        <f>SUM('1b.mell '!D279)</f>
        <v>7456748</v>
      </c>
      <c r="D45" s="155">
        <f>SUM('1b.mell '!E279)</f>
        <v>7590653</v>
      </c>
      <c r="E45" s="950">
        <f>SUM('1b.mell '!F279)</f>
        <v>4682103</v>
      </c>
      <c r="F45" s="657" t="s">
        <v>431</v>
      </c>
      <c r="G45" s="155">
        <f>SUM('1c.mell '!C150)</f>
        <v>7230074</v>
      </c>
      <c r="H45" s="155">
        <f>SUM('1c.mell '!D150)</f>
        <v>7456748</v>
      </c>
      <c r="I45" s="155">
        <f>SUM('1c.mell '!E150)</f>
        <v>7590653</v>
      </c>
      <c r="J45" s="155">
        <f>SUM('1c.mell '!F150)</f>
        <v>4682103</v>
      </c>
    </row>
    <row r="46" spans="1:10" s="148" customFormat="1" ht="12.75" customHeight="1">
      <c r="A46" s="242" t="s">
        <v>569</v>
      </c>
      <c r="B46" s="155"/>
      <c r="C46" s="155"/>
      <c r="D46" s="155"/>
      <c r="E46" s="155"/>
      <c r="F46" s="632" t="s">
        <v>429</v>
      </c>
      <c r="G46" s="155"/>
      <c r="H46" s="155"/>
      <c r="I46" s="155"/>
      <c r="J46" s="155"/>
    </row>
    <row r="47" spans="1:10" s="148" customFormat="1" ht="12.75" customHeight="1" thickBot="1">
      <c r="A47" s="272" t="s">
        <v>644</v>
      </c>
      <c r="B47" s="631">
        <f>SUM('1b.mell '!C281)</f>
        <v>0</v>
      </c>
      <c r="C47" s="631">
        <f>SUM('1b.mell '!D281)</f>
        <v>13</v>
      </c>
      <c r="D47" s="631">
        <f>SUM('1b.mell '!E281)</f>
        <v>13</v>
      </c>
      <c r="E47" s="631">
        <f>SUM('1b.mell '!F281)</f>
        <v>13</v>
      </c>
      <c r="F47" s="268"/>
      <c r="G47" s="275"/>
      <c r="H47" s="275"/>
      <c r="I47" s="275"/>
      <c r="J47" s="275"/>
    </row>
    <row r="48" spans="1:10" s="148" customFormat="1" ht="15" thickBot="1" thickTop="1">
      <c r="A48" s="167" t="s">
        <v>52</v>
      </c>
      <c r="B48" s="156">
        <f aca="true" t="shared" si="24" ref="B48">SUM(B43:B47)</f>
        <v>7401587</v>
      </c>
      <c r="C48" s="156">
        <f aca="true" t="shared" si="25" ref="C48:D48">SUM(C43:C47)</f>
        <v>11182278</v>
      </c>
      <c r="D48" s="156">
        <f t="shared" si="25"/>
        <v>11656083</v>
      </c>
      <c r="E48" s="156">
        <f aca="true" t="shared" si="26" ref="E48">SUM(E43:E47)</f>
        <v>8769255</v>
      </c>
      <c r="F48" s="167" t="s">
        <v>53</v>
      </c>
      <c r="G48" s="208">
        <f>SUM(G43:G46)</f>
        <v>7326559</v>
      </c>
      <c r="H48" s="208">
        <f>SUM(H43:H46)</f>
        <v>7553233</v>
      </c>
      <c r="I48" s="208">
        <f>SUM(I43:I46)</f>
        <v>8027038</v>
      </c>
      <c r="J48" s="208">
        <f>SUM(J43:J46)</f>
        <v>5140210</v>
      </c>
    </row>
    <row r="49" spans="1:10" s="148" customFormat="1" ht="12.75" thickBot="1" thickTop="1">
      <c r="A49" s="679" t="s">
        <v>397</v>
      </c>
      <c r="B49" s="680">
        <f>SUM('1b.mell '!C283)</f>
        <v>1285039</v>
      </c>
      <c r="C49" s="680">
        <f>SUM('1b.mell '!D283)</f>
        <v>2233581</v>
      </c>
      <c r="D49" s="680">
        <f>SUM('1b.mell '!E283)</f>
        <v>2233581</v>
      </c>
      <c r="E49" s="1052">
        <f>SUM('1b.mell '!F283)</f>
        <v>2233581</v>
      </c>
      <c r="F49" s="681" t="s">
        <v>415</v>
      </c>
      <c r="G49" s="680">
        <f>SUM('1c.mell '!C153)</f>
        <v>48000</v>
      </c>
      <c r="H49" s="680">
        <f>SUM('1c.mell '!D153)</f>
        <v>48000</v>
      </c>
      <c r="I49" s="680">
        <f>SUM('1c.mell '!E153)</f>
        <v>48000</v>
      </c>
      <c r="J49" s="680">
        <f>SUM('1c.mell '!F153)</f>
        <v>36000</v>
      </c>
    </row>
    <row r="50" spans="1:10" s="148" customFormat="1" ht="16.5" customHeight="1" thickBot="1">
      <c r="A50" s="274" t="s">
        <v>223</v>
      </c>
      <c r="B50" s="156">
        <f aca="true" t="shared" si="27" ref="B50">SUM(B49:B49)</f>
        <v>1285039</v>
      </c>
      <c r="C50" s="156">
        <f aca="true" t="shared" si="28" ref="C50:D50">SUM(C49:C49)</f>
        <v>2233581</v>
      </c>
      <c r="D50" s="156">
        <f t="shared" si="28"/>
        <v>2233581</v>
      </c>
      <c r="E50" s="1049">
        <f aca="true" t="shared" si="29" ref="E50">SUM(E49:E49)</f>
        <v>2233581</v>
      </c>
      <c r="F50" s="169" t="s">
        <v>36</v>
      </c>
      <c r="G50" s="261">
        <f aca="true" t="shared" si="30" ref="G50">SUM(G49:G49)</f>
        <v>48000</v>
      </c>
      <c r="H50" s="276">
        <f aca="true" t="shared" si="31" ref="H50">SUM(H49:H49)</f>
        <v>48000</v>
      </c>
      <c r="I50" s="276">
        <f aca="true" t="shared" si="32" ref="I50">SUM(I49:I49)</f>
        <v>48000</v>
      </c>
      <c r="J50" s="276">
        <f aca="true" t="shared" si="33" ref="J50">SUM(J49:J49)</f>
        <v>36000</v>
      </c>
    </row>
    <row r="51" spans="1:10" s="148" customFormat="1" ht="14.4" thickBot="1" thickTop="1">
      <c r="A51" s="263"/>
      <c r="B51" s="264"/>
      <c r="C51" s="264"/>
      <c r="D51" s="264"/>
      <c r="E51" s="1049"/>
      <c r="F51" s="277"/>
      <c r="G51" s="273"/>
      <c r="H51" s="273"/>
      <c r="I51" s="273"/>
      <c r="J51" s="273"/>
    </row>
    <row r="52" spans="1:11" s="148" customFormat="1" ht="20.25" customHeight="1" thickBot="1" thickTop="1">
      <c r="A52" s="185" t="s">
        <v>414</v>
      </c>
      <c r="B52" s="654">
        <f>SUM(B29+B42+B49+B43+B46+B47+B44)</f>
        <v>16032376</v>
      </c>
      <c r="C52" s="654">
        <f>SUM(C29+C42+C49+C43+C46+C47+C44)</f>
        <v>20268940</v>
      </c>
      <c r="D52" s="654">
        <f>SUM(D29+D42+D49+D43+D46+D47+D44)</f>
        <v>20651058</v>
      </c>
      <c r="E52" s="654">
        <f>SUM(E29+E42+E49+E43+E46+E47+E44)</f>
        <v>17233922</v>
      </c>
      <c r="F52" s="849" t="s">
        <v>416</v>
      </c>
      <c r="G52" s="654">
        <f>SUM(G29+G42+G49+G44+G46)+G43</f>
        <v>16032376</v>
      </c>
      <c r="H52" s="654">
        <f>SUM(H29+H42+H49+H44+H46)+H43</f>
        <v>20268940</v>
      </c>
      <c r="I52" s="654">
        <f>SUM(I29+I42+I49+I44+I46)+I43</f>
        <v>20651058</v>
      </c>
      <c r="J52" s="654">
        <f>SUM(J29+J42+J49+J44+J46)+J43</f>
        <v>10819253</v>
      </c>
      <c r="K52" s="958"/>
    </row>
    <row r="53" spans="1:6" ht="14.4" thickTop="1">
      <c r="A53" s="147"/>
      <c r="B53" s="850"/>
      <c r="C53" s="850"/>
      <c r="D53" s="850"/>
      <c r="E53" s="850"/>
      <c r="F53" s="847"/>
    </row>
    <row r="54" spans="1:6" ht="13.8">
      <c r="A54" s="147"/>
      <c r="B54" s="848"/>
      <c r="C54" s="848"/>
      <c r="D54" s="848"/>
      <c r="E54" s="848"/>
      <c r="F54" s="847"/>
    </row>
    <row r="55" ht="13.8">
      <c r="A55" s="147"/>
    </row>
  </sheetData>
  <mergeCells count="12">
    <mergeCell ref="A1:F1"/>
    <mergeCell ref="A4:A5"/>
    <mergeCell ref="F4:F5"/>
    <mergeCell ref="B4:B5"/>
    <mergeCell ref="C4:C5"/>
    <mergeCell ref="D4:D5"/>
    <mergeCell ref="E4:E5"/>
    <mergeCell ref="J4:J5"/>
    <mergeCell ref="I4:I5"/>
    <mergeCell ref="H4:H5"/>
    <mergeCell ref="G4:G5"/>
    <mergeCell ref="A2:F2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3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7"/>
  <sheetViews>
    <sheetView showZeros="0" workbookViewId="0" topLeftCell="A16">
      <selection activeCell="F49" sqref="F49"/>
    </sheetView>
  </sheetViews>
  <sheetFormatPr defaultColWidth="9.125" defaultRowHeight="12.75"/>
  <cols>
    <col min="1" max="1" width="6.125" style="40" customWidth="1"/>
    <col min="2" max="2" width="52.00390625" style="40" customWidth="1"/>
    <col min="3" max="3" width="14.125" style="19" customWidth="1"/>
    <col min="4" max="6" width="12.50390625" style="19" customWidth="1"/>
    <col min="7" max="7" width="10.50390625" style="213" customWidth="1"/>
    <col min="8" max="8" width="44.625" style="40" customWidth="1"/>
    <col min="9" max="16384" width="9.125" style="40" customWidth="1"/>
  </cols>
  <sheetData>
    <row r="1" spans="1:8" s="38" customFormat="1" ht="13.2">
      <c r="A1" s="1136" t="s">
        <v>135</v>
      </c>
      <c r="B1" s="1076"/>
      <c r="C1" s="1076"/>
      <c r="D1" s="1076"/>
      <c r="E1" s="1076"/>
      <c r="F1" s="1076"/>
      <c r="G1" s="1076"/>
      <c r="H1" s="1076"/>
    </row>
    <row r="2" spans="1:8" s="38" customFormat="1" ht="13.2">
      <c r="A2" s="1126" t="s">
        <v>613</v>
      </c>
      <c r="B2" s="1127"/>
      <c r="C2" s="1127"/>
      <c r="D2" s="1127"/>
      <c r="E2" s="1127"/>
      <c r="F2" s="1127"/>
      <c r="G2" s="1127"/>
      <c r="H2" s="1127"/>
    </row>
    <row r="3" spans="1:7" s="38" customFormat="1" ht="9.75" customHeight="1">
      <c r="A3" s="31"/>
      <c r="B3" s="31"/>
      <c r="C3" s="62"/>
      <c r="D3" s="62"/>
      <c r="E3" s="62"/>
      <c r="F3" s="62"/>
      <c r="G3" s="212"/>
    </row>
    <row r="4" spans="1:8" s="38" customFormat="1" ht="12">
      <c r="A4" s="511"/>
      <c r="B4" s="511"/>
      <c r="C4" s="512"/>
      <c r="D4" s="512"/>
      <c r="E4" s="512"/>
      <c r="F4" s="512"/>
      <c r="G4" s="513"/>
      <c r="H4" s="388" t="s">
        <v>164</v>
      </c>
    </row>
    <row r="5" spans="1:8" ht="12" customHeight="1">
      <c r="A5" s="467"/>
      <c r="B5" s="478"/>
      <c r="C5" s="1102" t="s">
        <v>617</v>
      </c>
      <c r="D5" s="1102" t="s">
        <v>651</v>
      </c>
      <c r="E5" s="1102" t="s">
        <v>657</v>
      </c>
      <c r="F5" s="1102" t="s">
        <v>660</v>
      </c>
      <c r="G5" s="1137" t="s">
        <v>659</v>
      </c>
      <c r="H5" s="390" t="s">
        <v>513</v>
      </c>
    </row>
    <row r="6" spans="1:8" ht="12" customHeight="1">
      <c r="A6" s="72" t="s">
        <v>258</v>
      </c>
      <c r="B6" s="480" t="s">
        <v>130</v>
      </c>
      <c r="C6" s="1117"/>
      <c r="D6" s="1117"/>
      <c r="E6" s="1117"/>
      <c r="F6" s="1105"/>
      <c r="G6" s="1138"/>
      <c r="H6" s="72" t="s">
        <v>131</v>
      </c>
    </row>
    <row r="7" spans="1:8" s="38" customFormat="1" ht="12.75" customHeight="1" thickBot="1">
      <c r="A7" s="72"/>
      <c r="B7" s="359"/>
      <c r="C7" s="1118"/>
      <c r="D7" s="1118"/>
      <c r="E7" s="1118"/>
      <c r="F7" s="1106"/>
      <c r="G7" s="1139"/>
      <c r="H7" s="359"/>
    </row>
    <row r="8" spans="1:8" s="38" customFormat="1" ht="12">
      <c r="A8" s="360" t="s">
        <v>149</v>
      </c>
      <c r="B8" s="360" t="s">
        <v>150</v>
      </c>
      <c r="C8" s="390" t="s">
        <v>151</v>
      </c>
      <c r="D8" s="390" t="s">
        <v>561</v>
      </c>
      <c r="E8" s="390" t="s">
        <v>562</v>
      </c>
      <c r="F8" s="390" t="s">
        <v>582</v>
      </c>
      <c r="G8" s="390" t="s">
        <v>583</v>
      </c>
      <c r="H8" s="390" t="s">
        <v>461</v>
      </c>
    </row>
    <row r="9" spans="1:8" s="38" customFormat="1" ht="13.2">
      <c r="A9" s="437"/>
      <c r="B9" s="514" t="s">
        <v>250</v>
      </c>
      <c r="C9" s="395"/>
      <c r="D9" s="395"/>
      <c r="E9" s="395"/>
      <c r="F9" s="395"/>
      <c r="G9" s="471"/>
      <c r="H9" s="433"/>
    </row>
    <row r="10" spans="1:8" ht="12">
      <c r="A10" s="72"/>
      <c r="B10" s="487" t="s">
        <v>237</v>
      </c>
      <c r="C10" s="827"/>
      <c r="D10" s="827"/>
      <c r="E10" s="827"/>
      <c r="F10" s="827"/>
      <c r="G10" s="515"/>
      <c r="H10" s="354"/>
    </row>
    <row r="11" spans="1:8" ht="12.75">
      <c r="A11" s="415">
        <v>5012</v>
      </c>
      <c r="B11" s="620" t="s">
        <v>470</v>
      </c>
      <c r="C11" s="668"/>
      <c r="D11" s="668">
        <v>8</v>
      </c>
      <c r="E11" s="668">
        <v>8</v>
      </c>
      <c r="F11" s="668"/>
      <c r="G11" s="518">
        <f>F11/E11</f>
        <v>0</v>
      </c>
      <c r="H11" s="812" t="s">
        <v>532</v>
      </c>
    </row>
    <row r="12" spans="1:8" ht="12.75">
      <c r="A12" s="415">
        <v>5013</v>
      </c>
      <c r="B12" s="620" t="s">
        <v>473</v>
      </c>
      <c r="C12" s="668"/>
      <c r="D12" s="668">
        <v>25000</v>
      </c>
      <c r="E12" s="668">
        <v>25000</v>
      </c>
      <c r="F12" s="668"/>
      <c r="G12" s="518">
        <f aca="true" t="shared" si="0" ref="G12:G57">F12/E12</f>
        <v>0</v>
      </c>
      <c r="H12" s="350" t="s">
        <v>533</v>
      </c>
    </row>
    <row r="13" spans="1:8" ht="12.75">
      <c r="A13" s="415">
        <v>5014</v>
      </c>
      <c r="B13" s="620" t="s">
        <v>477</v>
      </c>
      <c r="C13" s="668"/>
      <c r="D13" s="668">
        <v>17000</v>
      </c>
      <c r="E13" s="668">
        <v>17000</v>
      </c>
      <c r="F13" s="668">
        <v>6999</v>
      </c>
      <c r="G13" s="518">
        <f t="shared" si="0"/>
        <v>0.4117058823529412</v>
      </c>
      <c r="H13" s="648" t="s">
        <v>529</v>
      </c>
    </row>
    <row r="14" spans="1:8" ht="12.75">
      <c r="A14" s="415">
        <v>5015</v>
      </c>
      <c r="B14" s="620" t="s">
        <v>643</v>
      </c>
      <c r="C14" s="668">
        <v>5000</v>
      </c>
      <c r="D14" s="668">
        <v>13157</v>
      </c>
      <c r="E14" s="668">
        <v>13157</v>
      </c>
      <c r="F14" s="668">
        <v>2959</v>
      </c>
      <c r="G14" s="518">
        <f t="shared" si="0"/>
        <v>0.22489929315193433</v>
      </c>
      <c r="H14" s="648" t="s">
        <v>529</v>
      </c>
    </row>
    <row r="15" spans="1:8" ht="12.75">
      <c r="A15" s="415">
        <v>5016</v>
      </c>
      <c r="B15" s="620" t="s">
        <v>571</v>
      </c>
      <c r="C15" s="668">
        <v>35000</v>
      </c>
      <c r="D15" s="668">
        <v>35000</v>
      </c>
      <c r="E15" s="668">
        <v>35000</v>
      </c>
      <c r="F15" s="668"/>
      <c r="G15" s="518">
        <f t="shared" si="0"/>
        <v>0</v>
      </c>
      <c r="H15" s="812" t="s">
        <v>512</v>
      </c>
    </row>
    <row r="16" spans="1:8" ht="12.75">
      <c r="A16" s="415">
        <v>5017</v>
      </c>
      <c r="B16" s="620" t="s">
        <v>509</v>
      </c>
      <c r="C16" s="668">
        <v>20000</v>
      </c>
      <c r="D16" s="668">
        <v>45000</v>
      </c>
      <c r="E16" s="668">
        <v>45000</v>
      </c>
      <c r="F16" s="668"/>
      <c r="G16" s="518">
        <f t="shared" si="0"/>
        <v>0</v>
      </c>
      <c r="H16" s="812" t="s">
        <v>512</v>
      </c>
    </row>
    <row r="17" spans="1:8" ht="12.75">
      <c r="A17" s="415">
        <v>5018</v>
      </c>
      <c r="B17" s="620" t="s">
        <v>626</v>
      </c>
      <c r="C17" s="668"/>
      <c r="D17" s="668">
        <v>20000</v>
      </c>
      <c r="E17" s="668">
        <v>20000</v>
      </c>
      <c r="F17" s="668"/>
      <c r="G17" s="518">
        <f t="shared" si="0"/>
        <v>0</v>
      </c>
      <c r="H17" s="812"/>
    </row>
    <row r="18" spans="1:8" ht="12.75">
      <c r="A18" s="415">
        <v>5019</v>
      </c>
      <c r="B18" s="620" t="s">
        <v>627</v>
      </c>
      <c r="C18" s="668"/>
      <c r="D18" s="668">
        <v>60000</v>
      </c>
      <c r="E18" s="668">
        <v>60000</v>
      </c>
      <c r="F18" s="668"/>
      <c r="G18" s="518">
        <f t="shared" si="0"/>
        <v>0</v>
      </c>
      <c r="H18" s="812"/>
    </row>
    <row r="19" spans="1:8" ht="12">
      <c r="A19" s="437">
        <v>5010</v>
      </c>
      <c r="B19" s="619" t="s">
        <v>158</v>
      </c>
      <c r="C19" s="712">
        <f aca="true" t="shared" si="1" ref="C19">SUM(C11:C16)</f>
        <v>60000</v>
      </c>
      <c r="D19" s="712">
        <f>SUM(D11:D18)</f>
        <v>215165</v>
      </c>
      <c r="E19" s="712">
        <f>SUM(E11:E18)</f>
        <v>215165</v>
      </c>
      <c r="F19" s="712">
        <f>SUM(F11:F18)</f>
        <v>9958</v>
      </c>
      <c r="G19" s="732"/>
      <c r="H19" s="71"/>
    </row>
    <row r="20" spans="1:8" s="38" customFormat="1" ht="12">
      <c r="A20" s="72"/>
      <c r="B20" s="501" t="s">
        <v>564</v>
      </c>
      <c r="C20" s="800"/>
      <c r="D20" s="800"/>
      <c r="E20" s="800"/>
      <c r="F20" s="800"/>
      <c r="G20" s="518"/>
      <c r="H20" s="496"/>
    </row>
    <row r="21" spans="1:8" ht="12.75">
      <c r="A21" s="415">
        <v>5021</v>
      </c>
      <c r="B21" s="516" t="s">
        <v>11</v>
      </c>
      <c r="C21" s="668"/>
      <c r="D21" s="668">
        <v>3560</v>
      </c>
      <c r="E21" s="668">
        <v>3560</v>
      </c>
      <c r="F21" s="668"/>
      <c r="G21" s="518">
        <f t="shared" si="0"/>
        <v>0</v>
      </c>
      <c r="H21" s="817" t="s">
        <v>487</v>
      </c>
    </row>
    <row r="22" spans="1:8" ht="12.75">
      <c r="A22" s="415">
        <v>5024</v>
      </c>
      <c r="B22" s="516" t="s">
        <v>377</v>
      </c>
      <c r="C22" s="668"/>
      <c r="D22" s="668">
        <f>D23</f>
        <v>4977</v>
      </c>
      <c r="E22" s="668">
        <f>E23</f>
        <v>4977</v>
      </c>
      <c r="F22" s="668">
        <f>F23</f>
        <v>318</v>
      </c>
      <c r="G22" s="518">
        <f t="shared" si="0"/>
        <v>0.06389391199517781</v>
      </c>
      <c r="H22" s="816" t="s">
        <v>534</v>
      </c>
    </row>
    <row r="23" spans="1:8" ht="12.75">
      <c r="A23" s="415"/>
      <c r="B23" s="940" t="s">
        <v>278</v>
      </c>
      <c r="C23" s="668"/>
      <c r="D23" s="941">
        <v>4977</v>
      </c>
      <c r="E23" s="941">
        <v>4977</v>
      </c>
      <c r="F23" s="1056">
        <v>318</v>
      </c>
      <c r="G23" s="518">
        <f t="shared" si="0"/>
        <v>0.06389391199517781</v>
      </c>
      <c r="H23" s="816"/>
    </row>
    <row r="24" spans="1:8" ht="12.75">
      <c r="A24" s="415">
        <v>5027</v>
      </c>
      <c r="B24" s="516" t="s">
        <v>459</v>
      </c>
      <c r="C24" s="668"/>
      <c r="D24" s="668">
        <v>4374</v>
      </c>
      <c r="E24" s="668">
        <v>4374</v>
      </c>
      <c r="F24" s="668"/>
      <c r="G24" s="518">
        <f t="shared" si="0"/>
        <v>0</v>
      </c>
      <c r="H24" s="354"/>
    </row>
    <row r="25" spans="1:8" ht="12.75">
      <c r="A25" s="415">
        <v>5028</v>
      </c>
      <c r="B25" s="516" t="s">
        <v>565</v>
      </c>
      <c r="C25" s="668">
        <v>3000</v>
      </c>
      <c r="D25" s="668">
        <v>3000</v>
      </c>
      <c r="E25" s="668">
        <v>3000</v>
      </c>
      <c r="F25" s="668">
        <v>3000</v>
      </c>
      <c r="G25" s="518">
        <f t="shared" si="0"/>
        <v>1</v>
      </c>
      <c r="H25" s="354"/>
    </row>
    <row r="26" spans="1:8" ht="12.75">
      <c r="A26" s="415">
        <v>5029</v>
      </c>
      <c r="B26" s="591" t="s">
        <v>640</v>
      </c>
      <c r="C26" s="668"/>
      <c r="D26" s="668">
        <v>5000</v>
      </c>
      <c r="E26" s="668">
        <v>5000</v>
      </c>
      <c r="F26" s="668"/>
      <c r="G26" s="518">
        <f t="shared" si="0"/>
        <v>0</v>
      </c>
      <c r="H26" s="354"/>
    </row>
    <row r="27" spans="1:8" s="38" customFormat="1" ht="12">
      <c r="A27" s="437">
        <v>5020</v>
      </c>
      <c r="B27" s="585" t="s">
        <v>158</v>
      </c>
      <c r="C27" s="712">
        <f>SUM(C25)</f>
        <v>3000</v>
      </c>
      <c r="D27" s="712">
        <f>D21+D22+D24+D25+D26</f>
        <v>20911</v>
      </c>
      <c r="E27" s="712">
        <f>E21+E22+E24+E25+E26</f>
        <v>20911</v>
      </c>
      <c r="F27" s="712">
        <f>F21+F22+F24+F25+F26</f>
        <v>3318</v>
      </c>
      <c r="G27" s="732">
        <f t="shared" si="0"/>
        <v>0.1586724690354359</v>
      </c>
      <c r="H27" s="494"/>
    </row>
    <row r="28" spans="1:8" s="38" customFormat="1" ht="12" customHeight="1">
      <c r="A28" s="72"/>
      <c r="B28" s="519" t="s">
        <v>472</v>
      </c>
      <c r="C28" s="800"/>
      <c r="D28" s="800"/>
      <c r="E28" s="800"/>
      <c r="F28" s="800"/>
      <c r="G28" s="518"/>
      <c r="H28" s="496"/>
    </row>
    <row r="29" spans="1:8" ht="12.75">
      <c r="A29" s="415">
        <v>5033</v>
      </c>
      <c r="B29" s="620" t="s">
        <v>24</v>
      </c>
      <c r="C29" s="668"/>
      <c r="D29" s="668">
        <v>70993</v>
      </c>
      <c r="E29" s="668">
        <f>70993+10000</f>
        <v>80993</v>
      </c>
      <c r="F29" s="668">
        <v>37233</v>
      </c>
      <c r="G29" s="518">
        <f t="shared" si="0"/>
        <v>0.45970639437976124</v>
      </c>
      <c r="H29" s="812" t="s">
        <v>530</v>
      </c>
    </row>
    <row r="30" spans="1:8" ht="12" customHeight="1">
      <c r="A30" s="415">
        <v>5035</v>
      </c>
      <c r="B30" s="620" t="s">
        <v>458</v>
      </c>
      <c r="C30" s="668">
        <v>150000</v>
      </c>
      <c r="D30" s="668">
        <v>150000</v>
      </c>
      <c r="E30" s="668">
        <v>150000</v>
      </c>
      <c r="F30" s="668"/>
      <c r="G30" s="518">
        <f t="shared" si="0"/>
        <v>0</v>
      </c>
      <c r="H30" s="350" t="s">
        <v>535</v>
      </c>
    </row>
    <row r="31" spans="1:8" ht="12" hidden="1">
      <c r="A31" s="415">
        <v>5038</v>
      </c>
      <c r="B31" s="806" t="s">
        <v>505</v>
      </c>
      <c r="C31" s="668"/>
      <c r="D31" s="668"/>
      <c r="E31" s="668"/>
      <c r="F31" s="668"/>
      <c r="G31" s="518" t="e">
        <f t="shared" si="0"/>
        <v>#DIV/0!</v>
      </c>
      <c r="H31" s="520"/>
    </row>
    <row r="32" spans="1:8" ht="12" hidden="1">
      <c r="A32" s="415">
        <v>5037</v>
      </c>
      <c r="B32" s="806" t="s">
        <v>548</v>
      </c>
      <c r="C32" s="668"/>
      <c r="D32" s="668"/>
      <c r="E32" s="668"/>
      <c r="F32" s="668"/>
      <c r="G32" s="518" t="e">
        <f t="shared" si="0"/>
        <v>#DIV/0!</v>
      </c>
      <c r="H32" s="520"/>
    </row>
    <row r="33" spans="1:8" ht="12" hidden="1">
      <c r="A33" s="415">
        <v>5039</v>
      </c>
      <c r="B33" s="806" t="s">
        <v>547</v>
      </c>
      <c r="C33" s="668"/>
      <c r="D33" s="668"/>
      <c r="E33" s="668"/>
      <c r="F33" s="668"/>
      <c r="G33" s="518" t="e">
        <f t="shared" si="0"/>
        <v>#DIV/0!</v>
      </c>
      <c r="H33" s="520"/>
    </row>
    <row r="34" spans="1:8" ht="12" hidden="1">
      <c r="A34" s="415">
        <v>5049</v>
      </c>
      <c r="B34" s="516" t="s">
        <v>457</v>
      </c>
      <c r="C34" s="668"/>
      <c r="D34" s="668"/>
      <c r="E34" s="668"/>
      <c r="F34" s="668"/>
      <c r="G34" s="518" t="e">
        <f t="shared" si="0"/>
        <v>#DIV/0!</v>
      </c>
      <c r="H34" s="520"/>
    </row>
    <row r="35" spans="1:8" ht="12" customHeight="1">
      <c r="A35" s="437">
        <v>5050</v>
      </c>
      <c r="B35" s="517" t="s">
        <v>158</v>
      </c>
      <c r="C35" s="712">
        <f>SUM(C29:C34)</f>
        <v>150000</v>
      </c>
      <c r="D35" s="712">
        <f>SUM(D29:D34)</f>
        <v>220993</v>
      </c>
      <c r="E35" s="712">
        <f>SUM(E29:E34)</f>
        <v>230993</v>
      </c>
      <c r="F35" s="712">
        <f>SUM(F29:F34)</f>
        <v>37233</v>
      </c>
      <c r="G35" s="732">
        <f t="shared" si="0"/>
        <v>0.16118670262735235</v>
      </c>
      <c r="H35" s="494"/>
    </row>
    <row r="36" spans="1:8" ht="12" customHeight="1">
      <c r="A36" s="467"/>
      <c r="B36" s="592" t="s">
        <v>572</v>
      </c>
      <c r="C36" s="801"/>
      <c r="D36" s="801"/>
      <c r="E36" s="801"/>
      <c r="F36" s="801"/>
      <c r="G36" s="518"/>
      <c r="H36" s="593"/>
    </row>
    <row r="37" spans="1:8" ht="12" customHeight="1">
      <c r="A37" s="489">
        <v>5062</v>
      </c>
      <c r="B37" s="621" t="s">
        <v>373</v>
      </c>
      <c r="C37" s="664">
        <v>7165</v>
      </c>
      <c r="D37" s="664">
        <v>7165</v>
      </c>
      <c r="E37" s="664">
        <f>E38+E39</f>
        <v>7165</v>
      </c>
      <c r="F37" s="664">
        <f>F38+F39</f>
        <v>5897</v>
      </c>
      <c r="G37" s="518">
        <f t="shared" si="0"/>
        <v>0.8230286113049546</v>
      </c>
      <c r="H37" s="622"/>
    </row>
    <row r="38" spans="1:8" ht="12" customHeight="1">
      <c r="A38" s="489"/>
      <c r="B38" s="939" t="s">
        <v>278</v>
      </c>
      <c r="C38" s="664"/>
      <c r="D38" s="664"/>
      <c r="E38" s="823">
        <v>200</v>
      </c>
      <c r="F38" s="823">
        <v>200</v>
      </c>
      <c r="G38" s="518">
        <f t="shared" si="0"/>
        <v>1</v>
      </c>
      <c r="H38" s="622"/>
    </row>
    <row r="39" spans="1:8" ht="12" customHeight="1">
      <c r="A39" s="489"/>
      <c r="B39" s="939" t="s">
        <v>226</v>
      </c>
      <c r="C39" s="664"/>
      <c r="D39" s="664"/>
      <c r="E39" s="823">
        <f>7165-200</f>
        <v>6965</v>
      </c>
      <c r="F39" s="823">
        <v>5697</v>
      </c>
      <c r="G39" s="518">
        <f t="shared" si="0"/>
        <v>0.8179468772433597</v>
      </c>
      <c r="H39" s="622"/>
    </row>
    <row r="40" spans="1:8" ht="12" customHeight="1">
      <c r="A40" s="489">
        <v>5069</v>
      </c>
      <c r="B40" s="621" t="s">
        <v>549</v>
      </c>
      <c r="C40" s="664"/>
      <c r="D40" s="664">
        <f>D41+D42</f>
        <v>12852</v>
      </c>
      <c r="E40" s="664">
        <f>E41+E42</f>
        <v>12852</v>
      </c>
      <c r="F40" s="664">
        <f>F41+F42</f>
        <v>12852</v>
      </c>
      <c r="G40" s="518">
        <f t="shared" si="0"/>
        <v>1</v>
      </c>
      <c r="H40" s="622"/>
    </row>
    <row r="41" spans="1:8" ht="12" customHeight="1">
      <c r="A41" s="489"/>
      <c r="B41" s="939" t="s">
        <v>278</v>
      </c>
      <c r="C41" s="664"/>
      <c r="D41" s="823">
        <v>2194</v>
      </c>
      <c r="E41" s="823">
        <f>2194+34</f>
        <v>2228</v>
      </c>
      <c r="F41" s="823">
        <v>2228</v>
      </c>
      <c r="G41" s="518">
        <f t="shared" si="0"/>
        <v>1</v>
      </c>
      <c r="H41" s="622"/>
    </row>
    <row r="42" spans="1:8" ht="12" customHeight="1">
      <c r="A42" s="489"/>
      <c r="B42" s="939" t="s">
        <v>226</v>
      </c>
      <c r="C42" s="664"/>
      <c r="D42" s="823">
        <v>10658</v>
      </c>
      <c r="E42" s="823">
        <f>10658-34</f>
        <v>10624</v>
      </c>
      <c r="F42" s="823">
        <v>10624</v>
      </c>
      <c r="G42" s="518">
        <f t="shared" si="0"/>
        <v>1</v>
      </c>
      <c r="H42" s="622"/>
    </row>
    <row r="43" spans="1:8" ht="12" customHeight="1">
      <c r="A43" s="489">
        <v>5070</v>
      </c>
      <c r="B43" s="621" t="s">
        <v>573</v>
      </c>
      <c r="C43" s="664"/>
      <c r="D43" s="664">
        <v>11000</v>
      </c>
      <c r="E43" s="664">
        <v>11000</v>
      </c>
      <c r="F43" s="664"/>
      <c r="G43" s="518">
        <f t="shared" si="0"/>
        <v>0</v>
      </c>
      <c r="H43" s="622"/>
    </row>
    <row r="44" spans="1:8" ht="12" customHeight="1">
      <c r="A44" s="437">
        <v>5060</v>
      </c>
      <c r="B44" s="517" t="s">
        <v>158</v>
      </c>
      <c r="C44" s="712">
        <f>SUM(C37:C43)</f>
        <v>7165</v>
      </c>
      <c r="D44" s="712">
        <f>D37+D40+D43</f>
        <v>31017</v>
      </c>
      <c r="E44" s="712">
        <f>E37+E40+E43</f>
        <v>31017</v>
      </c>
      <c r="F44" s="712">
        <f>F37+F40+F43</f>
        <v>18749</v>
      </c>
      <c r="G44" s="732">
        <f t="shared" si="0"/>
        <v>0.6044749653415868</v>
      </c>
      <c r="H44" s="494"/>
    </row>
    <row r="45" spans="1:8" ht="15.75" customHeight="1">
      <c r="A45" s="345"/>
      <c r="B45" s="594" t="s">
        <v>250</v>
      </c>
      <c r="C45" s="802">
        <f>SUM(C35+C27+C19+C44)</f>
        <v>220165</v>
      </c>
      <c r="D45" s="802">
        <f>SUM(D35+D27+D19+D44)</f>
        <v>488086</v>
      </c>
      <c r="E45" s="802">
        <f>SUM(E35+E27+E19+E44)</f>
        <v>498086</v>
      </c>
      <c r="F45" s="802">
        <f>SUM(F35+F27+F19+F44)</f>
        <v>69258</v>
      </c>
      <c r="G45" s="732">
        <f t="shared" si="0"/>
        <v>0.1390482768036042</v>
      </c>
      <c r="H45" s="504"/>
    </row>
    <row r="46" spans="1:8" ht="12">
      <c r="A46" s="72"/>
      <c r="B46" s="506" t="s">
        <v>61</v>
      </c>
      <c r="C46" s="801"/>
      <c r="D46" s="801"/>
      <c r="E46" s="801"/>
      <c r="F46" s="801"/>
      <c r="G46" s="518"/>
      <c r="H46" s="354"/>
    </row>
    <row r="47" spans="1:8" ht="12">
      <c r="A47" s="72"/>
      <c r="B47" s="354" t="s">
        <v>104</v>
      </c>
      <c r="C47" s="664"/>
      <c r="D47" s="664"/>
      <c r="E47" s="664"/>
      <c r="F47" s="664"/>
      <c r="G47" s="518"/>
      <c r="H47" s="354"/>
    </row>
    <row r="48" spans="1:8" ht="12">
      <c r="A48" s="72"/>
      <c r="B48" s="507" t="s">
        <v>99</v>
      </c>
      <c r="C48" s="664"/>
      <c r="D48" s="664"/>
      <c r="E48" s="664"/>
      <c r="F48" s="664"/>
      <c r="G48" s="518"/>
      <c r="H48" s="354"/>
    </row>
    <row r="49" spans="1:8" ht="12" customHeight="1">
      <c r="A49" s="350"/>
      <c r="B49" s="507" t="s">
        <v>100</v>
      </c>
      <c r="C49" s="664"/>
      <c r="D49" s="664">
        <f>D23+D41</f>
        <v>7171</v>
      </c>
      <c r="E49" s="664">
        <f>E23+E41</f>
        <v>7205</v>
      </c>
      <c r="F49" s="664">
        <f>F23+F41+F38</f>
        <v>2746</v>
      </c>
      <c r="G49" s="518">
        <f t="shared" si="0"/>
        <v>0.38112421929215823</v>
      </c>
      <c r="H49" s="354"/>
    </row>
    <row r="50" spans="1:8" ht="12" customHeight="1">
      <c r="A50" s="350"/>
      <c r="B50" s="507" t="s">
        <v>269</v>
      </c>
      <c r="C50" s="663"/>
      <c r="D50" s="663"/>
      <c r="E50" s="663"/>
      <c r="F50" s="663"/>
      <c r="G50" s="518"/>
      <c r="H50" s="354"/>
    </row>
    <row r="51" spans="1:8" ht="12" customHeight="1">
      <c r="A51" s="350"/>
      <c r="B51" s="508" t="s">
        <v>51</v>
      </c>
      <c r="C51" s="803">
        <f aca="true" t="shared" si="2" ref="C51">SUM(C47:C50)</f>
        <v>0</v>
      </c>
      <c r="D51" s="803">
        <f aca="true" t="shared" si="3" ref="D51:E51">SUM(D47:D50)</f>
        <v>7171</v>
      </c>
      <c r="E51" s="803">
        <f t="shared" si="3"/>
        <v>7205</v>
      </c>
      <c r="F51" s="803">
        <f aca="true" t="shared" si="4" ref="F51">SUM(F47:F50)</f>
        <v>2746</v>
      </c>
      <c r="G51" s="518">
        <f t="shared" si="0"/>
        <v>0.38112421929215823</v>
      </c>
      <c r="H51" s="354"/>
    </row>
    <row r="52" spans="1:8" ht="12" customHeight="1">
      <c r="A52" s="350"/>
      <c r="B52" s="509" t="s">
        <v>62</v>
      </c>
      <c r="C52" s="663"/>
      <c r="D52" s="663"/>
      <c r="E52" s="663"/>
      <c r="F52" s="663"/>
      <c r="G52" s="518"/>
      <c r="H52" s="354"/>
    </row>
    <row r="53" spans="1:8" ht="12" customHeight="1">
      <c r="A53" s="350"/>
      <c r="B53" s="507" t="s">
        <v>229</v>
      </c>
      <c r="C53" s="663"/>
      <c r="D53" s="663"/>
      <c r="E53" s="663"/>
      <c r="F53" s="663"/>
      <c r="G53" s="518"/>
      <c r="H53" s="354"/>
    </row>
    <row r="54" spans="1:8" ht="12" customHeight="1">
      <c r="A54" s="350"/>
      <c r="B54" s="507" t="s">
        <v>378</v>
      </c>
      <c r="C54" s="663">
        <f>SUM(C35+C27+C19+C44)-C49-C47-C48-C55-C53</f>
        <v>220165</v>
      </c>
      <c r="D54" s="663">
        <f>SUM(D35+D27+D19+D44)-D49-D47-D48-D55-D53</f>
        <v>480915</v>
      </c>
      <c r="E54" s="663">
        <f>SUM(E35+E27+E19+E44)-E49-E47-E48-E55-E53</f>
        <v>490881</v>
      </c>
      <c r="F54" s="663">
        <f>SUM(F35+F27+F19+F44)-F49-F47-F48-F55-F53</f>
        <v>66512</v>
      </c>
      <c r="G54" s="518">
        <f t="shared" si="0"/>
        <v>0.1354951607416054</v>
      </c>
      <c r="H54" s="354"/>
    </row>
    <row r="55" spans="1:8" ht="12" customHeight="1">
      <c r="A55" s="350"/>
      <c r="B55" s="507" t="s">
        <v>302</v>
      </c>
      <c r="C55" s="663"/>
      <c r="D55" s="663"/>
      <c r="E55" s="663"/>
      <c r="F55" s="663"/>
      <c r="G55" s="518"/>
      <c r="H55" s="354"/>
    </row>
    <row r="56" spans="1:8" ht="12" customHeight="1">
      <c r="A56" s="500"/>
      <c r="B56" s="293" t="s">
        <v>57</v>
      </c>
      <c r="C56" s="706">
        <f aca="true" t="shared" si="5" ref="C56">SUM(C53:C55)</f>
        <v>220165</v>
      </c>
      <c r="D56" s="706">
        <f aca="true" t="shared" si="6" ref="D56:E56">SUM(D53:D55)</f>
        <v>480915</v>
      </c>
      <c r="E56" s="706">
        <f t="shared" si="6"/>
        <v>490881</v>
      </c>
      <c r="F56" s="706">
        <f aca="true" t="shared" si="7" ref="F56">SUM(F53:F55)</f>
        <v>66512</v>
      </c>
      <c r="G56" s="748">
        <f t="shared" si="0"/>
        <v>0.1354951607416054</v>
      </c>
      <c r="H56" s="351"/>
    </row>
    <row r="57" spans="1:8" ht="12" customHeight="1">
      <c r="A57" s="521"/>
      <c r="B57" s="494" t="s">
        <v>103</v>
      </c>
      <c r="C57" s="704">
        <f>SUM(C35+C27+C19+C44)</f>
        <v>220165</v>
      </c>
      <c r="D57" s="706">
        <f>SUM(D35+D27+D19+D44)</f>
        <v>488086</v>
      </c>
      <c r="E57" s="706">
        <f>SUM(E35+E27+E19+E44)</f>
        <v>498086</v>
      </c>
      <c r="F57" s="706">
        <f>SUM(F35+F27+F19+F44)</f>
        <v>69258</v>
      </c>
      <c r="G57" s="748">
        <f t="shared" si="0"/>
        <v>0.1390482768036042</v>
      </c>
      <c r="H57" s="71"/>
    </row>
  </sheetData>
  <mergeCells count="7">
    <mergeCell ref="A2:H2"/>
    <mergeCell ref="A1:H1"/>
    <mergeCell ref="G5:G7"/>
    <mergeCell ref="C5:C7"/>
    <mergeCell ref="D5:D7"/>
    <mergeCell ref="E5:E7"/>
    <mergeCell ref="F5:F7"/>
  </mergeCells>
  <printOptions horizontalCentered="1"/>
  <pageMargins left="0" right="0" top="0.3937007874015748" bottom="0.07874015748031496" header="0.5118110236220472" footer="0"/>
  <pageSetup firstPageNumber="43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Zeros="0" workbookViewId="0" topLeftCell="A1">
      <selection activeCell="D34" sqref="D34"/>
    </sheetView>
  </sheetViews>
  <sheetFormatPr defaultColWidth="9.125" defaultRowHeight="12.75"/>
  <cols>
    <col min="1" max="1" width="10.125" style="59" customWidth="1"/>
    <col min="2" max="2" width="52.50390625" style="58" customWidth="1"/>
    <col min="3" max="5" width="13.375" style="58" customWidth="1"/>
    <col min="6" max="16384" width="9.125" style="58" customWidth="1"/>
  </cols>
  <sheetData>
    <row r="1" spans="1:5" ht="12.9" customHeight="1">
      <c r="A1" s="1141" t="s">
        <v>102</v>
      </c>
      <c r="B1" s="1141"/>
      <c r="C1" s="1141"/>
      <c r="D1" s="1141"/>
      <c r="E1" s="1141"/>
    </row>
    <row r="2" ht="12.75">
      <c r="B2" s="59"/>
    </row>
    <row r="3" spans="1:5" s="55" customFormat="1" ht="12.9" customHeight="1">
      <c r="A3" s="1140" t="s">
        <v>614</v>
      </c>
      <c r="B3" s="1140"/>
      <c r="C3" s="1140"/>
      <c r="D3" s="1140"/>
      <c r="E3" s="1140"/>
    </row>
    <row r="4" s="55" customFormat="1" ht="12.75"/>
    <row r="5" s="55" customFormat="1" ht="12.75"/>
    <row r="6" spans="4:5" s="55" customFormat="1" ht="12.75">
      <c r="D6" s="904"/>
      <c r="E6" s="904" t="s">
        <v>563</v>
      </c>
    </row>
    <row r="7" spans="1:5" s="55" customFormat="1" ht="12.75" customHeight="1">
      <c r="A7" s="1142" t="s">
        <v>258</v>
      </c>
      <c r="B7" s="1142" t="s">
        <v>148</v>
      </c>
      <c r="C7" s="1102" t="s">
        <v>617</v>
      </c>
      <c r="D7" s="1102" t="s">
        <v>651</v>
      </c>
      <c r="E7" s="1102" t="s">
        <v>657</v>
      </c>
    </row>
    <row r="8" spans="1:5" s="55" customFormat="1" ht="12.75">
      <c r="A8" s="1145"/>
      <c r="B8" s="1143"/>
      <c r="C8" s="1117"/>
      <c r="D8" s="1117"/>
      <c r="E8" s="1117"/>
    </row>
    <row r="9" spans="1:5" s="55" customFormat="1" ht="13.8" thickBot="1">
      <c r="A9" s="1146"/>
      <c r="B9" s="1144"/>
      <c r="C9" s="1118"/>
      <c r="D9" s="1118"/>
      <c r="E9" s="1118"/>
    </row>
    <row r="10" spans="1:5" s="55" customFormat="1" ht="12.75">
      <c r="A10" s="67" t="s">
        <v>149</v>
      </c>
      <c r="B10" s="67" t="s">
        <v>150</v>
      </c>
      <c r="C10" s="67" t="s">
        <v>151</v>
      </c>
      <c r="D10" s="67" t="s">
        <v>561</v>
      </c>
      <c r="E10" s="67" t="s">
        <v>562</v>
      </c>
    </row>
    <row r="11" spans="1:5" s="55" customFormat="1" ht="12.75">
      <c r="A11" s="11"/>
      <c r="B11" s="11"/>
      <c r="C11" s="634"/>
      <c r="D11" s="634"/>
      <c r="E11" s="634"/>
    </row>
    <row r="12" spans="1:5" s="27" customFormat="1" ht="12.75">
      <c r="A12" s="16">
        <v>6110</v>
      </c>
      <c r="B12" s="14" t="s">
        <v>49</v>
      </c>
      <c r="C12" s="805">
        <v>28111</v>
      </c>
      <c r="D12" s="805">
        <v>34168</v>
      </c>
      <c r="E12" s="805">
        <v>25834</v>
      </c>
    </row>
    <row r="13" spans="1:6" ht="12.75">
      <c r="A13" s="56"/>
      <c r="B13" s="57"/>
      <c r="C13" s="804"/>
      <c r="D13" s="804"/>
      <c r="E13" s="804"/>
      <c r="F13" s="27"/>
    </row>
    <row r="14" spans="1:5" s="27" customFormat="1" ht="12.75">
      <c r="A14" s="16">
        <v>6120</v>
      </c>
      <c r="B14" s="14" t="s">
        <v>50</v>
      </c>
      <c r="C14" s="805">
        <f>SUM(C15+C19)</f>
        <v>17680</v>
      </c>
      <c r="D14" s="805">
        <f>SUM(D15+D19)</f>
        <v>268948</v>
      </c>
      <c r="E14" s="805">
        <f>SUM(E15+E19)</f>
        <v>261220</v>
      </c>
    </row>
    <row r="15" spans="1:5" s="27" customFormat="1" ht="12.75">
      <c r="A15" s="16"/>
      <c r="B15" s="819" t="s">
        <v>539</v>
      </c>
      <c r="C15" s="820">
        <f>SUM(C16:C17)</f>
        <v>17680</v>
      </c>
      <c r="D15" s="820">
        <f>SUM(D16:D18)</f>
        <v>147680</v>
      </c>
      <c r="E15" s="820">
        <f>SUM(E16:E18)</f>
        <v>139952</v>
      </c>
    </row>
    <row r="16" spans="1:5" s="27" customFormat="1" ht="12.75">
      <c r="A16" s="910">
        <v>6116</v>
      </c>
      <c r="B16" s="651" t="s">
        <v>577</v>
      </c>
      <c r="C16" s="911">
        <v>7680</v>
      </c>
      <c r="D16" s="911">
        <v>7680</v>
      </c>
      <c r="E16" s="911">
        <v>7680</v>
      </c>
    </row>
    <row r="17" spans="1:5" s="27" customFormat="1" ht="12.75">
      <c r="A17" s="56">
        <v>6121</v>
      </c>
      <c r="B17" s="57" t="s">
        <v>540</v>
      </c>
      <c r="C17" s="804">
        <v>10000</v>
      </c>
      <c r="D17" s="804">
        <v>10000</v>
      </c>
      <c r="E17" s="804">
        <f>10000-7728</f>
        <v>2272</v>
      </c>
    </row>
    <row r="18" spans="1:5" s="27" customFormat="1" ht="12.75">
      <c r="A18" s="56">
        <v>6123</v>
      </c>
      <c r="B18" s="57" t="s">
        <v>628</v>
      </c>
      <c r="C18" s="804"/>
      <c r="D18" s="804">
        <v>130000</v>
      </c>
      <c r="E18" s="804">
        <v>130000</v>
      </c>
    </row>
    <row r="19" spans="1:5" s="27" customFormat="1" ht="12.75">
      <c r="A19" s="145"/>
      <c r="B19" s="819" t="s">
        <v>541</v>
      </c>
      <c r="C19" s="820"/>
      <c r="D19" s="820">
        <f>SUM(D20)</f>
        <v>121268</v>
      </c>
      <c r="E19" s="820">
        <f>SUM(E20)</f>
        <v>121268</v>
      </c>
    </row>
    <row r="20" spans="1:6" ht="12.75">
      <c r="A20" s="56">
        <v>6135</v>
      </c>
      <c r="B20" s="651" t="s">
        <v>618</v>
      </c>
      <c r="C20" s="804"/>
      <c r="D20" s="804">
        <v>121268</v>
      </c>
      <c r="E20" s="804">
        <v>121268</v>
      </c>
      <c r="F20" s="27"/>
    </row>
    <row r="21" spans="1:5" s="27" customFormat="1" ht="12.75">
      <c r="A21" s="16">
        <v>6100</v>
      </c>
      <c r="B21" s="14" t="s">
        <v>137</v>
      </c>
      <c r="C21" s="633">
        <f>SUM(C15+C19+C12)</f>
        <v>45791</v>
      </c>
      <c r="D21" s="805">
        <f>SUM(D15+D19+D12)</f>
        <v>303116</v>
      </c>
      <c r="E21" s="805">
        <f>SUM(E15+E19+E12)</f>
        <v>287054</v>
      </c>
    </row>
    <row r="24" ht="12.75">
      <c r="A24" s="541"/>
    </row>
    <row r="25" ht="12.75">
      <c r="A25" s="541"/>
    </row>
  </sheetData>
  <mergeCells count="7">
    <mergeCell ref="A3:E3"/>
    <mergeCell ref="A1:E1"/>
    <mergeCell ref="E7:E9"/>
    <mergeCell ref="D7:D9"/>
    <mergeCell ref="C7:C9"/>
    <mergeCell ref="B7:B9"/>
    <mergeCell ref="A7:A9"/>
  </mergeCells>
  <printOptions horizontalCentered="1"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85"/>
  <sheetViews>
    <sheetView showZeros="0" view="pageBreakPreview" zoomScaleSheetLayoutView="100" workbookViewId="0" topLeftCell="A247">
      <selection activeCell="B257" sqref="B257"/>
    </sheetView>
  </sheetViews>
  <sheetFormatPr defaultColWidth="9.125" defaultRowHeight="12.75"/>
  <cols>
    <col min="1" max="1" width="8.50390625" style="144" customWidth="1"/>
    <col min="2" max="2" width="72.125" style="102" customWidth="1"/>
    <col min="3" max="3" width="14.125" style="102" customWidth="1"/>
    <col min="4" max="4" width="13.375" style="102" customWidth="1"/>
    <col min="5" max="5" width="15.625" style="102" customWidth="1"/>
    <col min="6" max="6" width="13.375" style="102" customWidth="1"/>
    <col min="7" max="7" width="8.625" style="102" customWidth="1"/>
    <col min="8" max="8" width="10.50390625" style="102" customWidth="1"/>
    <col min="9" max="16384" width="9.125" style="102" customWidth="1"/>
  </cols>
  <sheetData>
    <row r="1" spans="1:7" ht="13.2">
      <c r="A1" s="1074" t="s">
        <v>163</v>
      </c>
      <c r="B1" s="1074"/>
      <c r="C1" s="1075"/>
      <c r="D1" s="1075"/>
      <c r="E1" s="1075"/>
      <c r="F1" s="1075"/>
      <c r="G1" s="1076"/>
    </row>
    <row r="2" spans="1:7" ht="13.2">
      <c r="A2" s="1074" t="s">
        <v>476</v>
      </c>
      <c r="B2" s="1074"/>
      <c r="C2" s="1075"/>
      <c r="D2" s="1075"/>
      <c r="E2" s="1075"/>
      <c r="F2" s="1075"/>
      <c r="G2" s="1076"/>
    </row>
    <row r="3" spans="1:2" ht="13.2">
      <c r="A3" s="100"/>
      <c r="B3" s="101"/>
    </row>
    <row r="4" spans="1:7" ht="11.25" customHeight="1">
      <c r="A4" s="100"/>
      <c r="B4" s="100"/>
      <c r="C4" s="103"/>
      <c r="D4" s="103"/>
      <c r="E4" s="103"/>
      <c r="F4" s="103"/>
      <c r="G4" s="582" t="s">
        <v>164</v>
      </c>
    </row>
    <row r="5" spans="1:7" s="104" customFormat="1" ht="19.5" customHeight="1">
      <c r="A5" s="1081" t="s">
        <v>171</v>
      </c>
      <c r="B5" s="1079" t="s">
        <v>159</v>
      </c>
      <c r="C5" s="1067" t="s">
        <v>617</v>
      </c>
      <c r="D5" s="1067" t="s">
        <v>650</v>
      </c>
      <c r="E5" s="1067" t="s">
        <v>656</v>
      </c>
      <c r="F5" s="1067" t="s">
        <v>660</v>
      </c>
      <c r="G5" s="1077" t="s">
        <v>661</v>
      </c>
    </row>
    <row r="6" spans="1:7" s="104" customFormat="1" ht="17.25" customHeight="1">
      <c r="A6" s="1080"/>
      <c r="B6" s="1080"/>
      <c r="C6" s="1082"/>
      <c r="D6" s="1082"/>
      <c r="E6" s="1083"/>
      <c r="F6" s="1083"/>
      <c r="G6" s="1078"/>
    </row>
    <row r="7" spans="1:7" s="104" customFormat="1" ht="11.25" customHeight="1">
      <c r="A7" s="105" t="s">
        <v>149</v>
      </c>
      <c r="B7" s="106" t="s">
        <v>150</v>
      </c>
      <c r="C7" s="206" t="s">
        <v>151</v>
      </c>
      <c r="D7" s="206" t="s">
        <v>561</v>
      </c>
      <c r="E7" s="206" t="s">
        <v>562</v>
      </c>
      <c r="F7" s="206" t="s">
        <v>582</v>
      </c>
      <c r="G7" s="206" t="s">
        <v>583</v>
      </c>
    </row>
    <row r="8" spans="1:7" s="109" customFormat="1" ht="16.5" customHeight="1">
      <c r="A8" s="107"/>
      <c r="B8" s="231" t="s">
        <v>320</v>
      </c>
      <c r="C8" s="895"/>
      <c r="D8" s="895"/>
      <c r="E8" s="895"/>
      <c r="F8" s="895"/>
      <c r="G8" s="179"/>
    </row>
    <row r="9" spans="1:7" ht="12" customHeight="1">
      <c r="A9" s="110"/>
      <c r="B9" s="111"/>
      <c r="C9" s="110"/>
      <c r="D9" s="110"/>
      <c r="E9" s="110"/>
      <c r="F9" s="110"/>
      <c r="G9" s="111"/>
    </row>
    <row r="10" spans="1:7" ht="12" customHeight="1">
      <c r="A10" s="114">
        <v>1010</v>
      </c>
      <c r="B10" s="124" t="s">
        <v>188</v>
      </c>
      <c r="C10" s="670">
        <f aca="true" t="shared" si="0" ref="C10">SUM(C11:C16)</f>
        <v>2580221</v>
      </c>
      <c r="D10" s="670">
        <f aca="true" t="shared" si="1" ref="D10:E10">SUM(D11:D16)</f>
        <v>2758074</v>
      </c>
      <c r="E10" s="670">
        <f t="shared" si="1"/>
        <v>2788827</v>
      </c>
      <c r="F10" s="670">
        <f>SUM(F11:F16)</f>
        <v>2175329</v>
      </c>
      <c r="G10" s="279">
        <f>SUM(F10/E10)</f>
        <v>0.7800157557281251</v>
      </c>
    </row>
    <row r="11" spans="1:7" ht="12" customHeight="1">
      <c r="A11" s="110">
        <v>1011</v>
      </c>
      <c r="B11" s="111" t="s">
        <v>189</v>
      </c>
      <c r="C11" s="636">
        <v>784648</v>
      </c>
      <c r="D11" s="636">
        <v>787929</v>
      </c>
      <c r="E11" s="669">
        <f>787929+539</f>
        <v>788468</v>
      </c>
      <c r="F11" s="669">
        <v>598068</v>
      </c>
      <c r="G11" s="717">
        <f aca="true" t="shared" si="2" ref="G11:G74">SUM(F11/E11)</f>
        <v>0.7585190521365484</v>
      </c>
    </row>
    <row r="12" spans="1:7" ht="12" customHeight="1">
      <c r="A12" s="110">
        <v>1012</v>
      </c>
      <c r="B12" s="111" t="s">
        <v>190</v>
      </c>
      <c r="C12" s="527">
        <v>888585</v>
      </c>
      <c r="D12" s="527">
        <v>918750</v>
      </c>
      <c r="E12" s="740">
        <f>918750-14254</f>
        <v>904496</v>
      </c>
      <c r="F12" s="740">
        <v>691123</v>
      </c>
      <c r="G12" s="717">
        <f t="shared" si="2"/>
        <v>0.7640973536643612</v>
      </c>
    </row>
    <row r="13" spans="1:8" ht="12" customHeight="1">
      <c r="A13" s="110">
        <v>1013</v>
      </c>
      <c r="B13" s="111" t="s">
        <v>417</v>
      </c>
      <c r="C13" s="527">
        <v>659401</v>
      </c>
      <c r="D13" s="527">
        <v>782200</v>
      </c>
      <c r="E13" s="740">
        <f>782200+38378+6090</f>
        <v>826668</v>
      </c>
      <c r="F13" s="740">
        <v>676455</v>
      </c>
      <c r="G13" s="717">
        <f t="shared" si="2"/>
        <v>0.8182910188854534</v>
      </c>
      <c r="H13" s="290"/>
    </row>
    <row r="14" spans="1:8" ht="12" customHeight="1">
      <c r="A14" s="110">
        <v>1014</v>
      </c>
      <c r="B14" s="111" t="s">
        <v>191</v>
      </c>
      <c r="C14" s="636">
        <v>247587</v>
      </c>
      <c r="D14" s="636">
        <v>247967</v>
      </c>
      <c r="E14" s="669">
        <v>247967</v>
      </c>
      <c r="F14" s="669">
        <v>188455</v>
      </c>
      <c r="G14" s="717">
        <f t="shared" si="2"/>
        <v>0.7600003226235749</v>
      </c>
      <c r="H14" s="290"/>
    </row>
    <row r="15" spans="1:8" ht="12" customHeight="1">
      <c r="A15" s="110">
        <v>1015</v>
      </c>
      <c r="B15" s="111" t="s">
        <v>2</v>
      </c>
      <c r="C15" s="636"/>
      <c r="D15" s="636"/>
      <c r="E15" s="669"/>
      <c r="F15" s="669"/>
      <c r="G15" s="717"/>
      <c r="H15" s="584"/>
    </row>
    <row r="16" spans="1:8" ht="12" customHeight="1">
      <c r="A16" s="110">
        <v>1016</v>
      </c>
      <c r="B16" s="111" t="s">
        <v>3</v>
      </c>
      <c r="C16" s="600"/>
      <c r="D16" s="600">
        <v>21228</v>
      </c>
      <c r="E16" s="669">
        <v>21228</v>
      </c>
      <c r="F16" s="669">
        <v>21228</v>
      </c>
      <c r="G16" s="717">
        <f t="shared" si="2"/>
        <v>1</v>
      </c>
      <c r="H16" s="290"/>
    </row>
    <row r="17" spans="1:8" ht="15" customHeight="1">
      <c r="A17" s="114">
        <v>1020</v>
      </c>
      <c r="B17" s="124" t="s">
        <v>192</v>
      </c>
      <c r="C17" s="600"/>
      <c r="D17" s="600"/>
      <c r="E17" s="669"/>
      <c r="F17" s="669">
        <v>1</v>
      </c>
      <c r="G17" s="717"/>
      <c r="H17" s="290"/>
    </row>
    <row r="18" spans="1:8" ht="15" customHeight="1">
      <c r="A18" s="114">
        <v>1030</v>
      </c>
      <c r="B18" s="124" t="s">
        <v>387</v>
      </c>
      <c r="C18" s="600"/>
      <c r="D18" s="600"/>
      <c r="E18" s="670">
        <v>19235</v>
      </c>
      <c r="F18" s="670">
        <v>19061</v>
      </c>
      <c r="G18" s="717">
        <f t="shared" si="2"/>
        <v>0.9909539901221731</v>
      </c>
      <c r="H18" s="290"/>
    </row>
    <row r="19" spans="1:8" ht="15" customHeight="1" thickBot="1">
      <c r="A19" s="138">
        <v>1031</v>
      </c>
      <c r="B19" s="914" t="s">
        <v>578</v>
      </c>
      <c r="C19" s="607">
        <v>19324</v>
      </c>
      <c r="D19" s="607">
        <v>19324</v>
      </c>
      <c r="E19" s="671">
        <v>19324</v>
      </c>
      <c r="F19" s="671"/>
      <c r="G19" s="912">
        <f t="shared" si="2"/>
        <v>0</v>
      </c>
      <c r="H19" s="290"/>
    </row>
    <row r="20" spans="1:8" ht="16.5" customHeight="1" thickBot="1">
      <c r="A20" s="138"/>
      <c r="B20" s="223" t="s">
        <v>388</v>
      </c>
      <c r="C20" s="607">
        <f>SUM(C19)+C10</f>
        <v>2599545</v>
      </c>
      <c r="D20" s="607">
        <f>SUM(D19)+D10</f>
        <v>2777398</v>
      </c>
      <c r="E20" s="671">
        <f>SUM(E19)+E10+E18</f>
        <v>2827386</v>
      </c>
      <c r="F20" s="671">
        <f>SUM(F19)+F10+F18</f>
        <v>2194390</v>
      </c>
      <c r="G20" s="718">
        <f t="shared" si="2"/>
        <v>0.7761197091589193</v>
      </c>
      <c r="H20" s="290"/>
    </row>
    <row r="21" spans="1:7" ht="12" customHeight="1">
      <c r="A21" s="133"/>
      <c r="B21" s="146"/>
      <c r="C21" s="598"/>
      <c r="D21" s="598"/>
      <c r="E21" s="982"/>
      <c r="F21" s="982"/>
      <c r="G21" s="900"/>
    </row>
    <row r="22" spans="1:7" ht="12" customHeight="1">
      <c r="A22" s="112">
        <v>1040</v>
      </c>
      <c r="B22" s="113" t="s">
        <v>194</v>
      </c>
      <c r="C22" s="599">
        <f aca="true" t="shared" si="3" ref="C22">SUM(C23:C24)</f>
        <v>3610000</v>
      </c>
      <c r="D22" s="599">
        <f aca="true" t="shared" si="4" ref="D22:E22">SUM(D23:D24)</f>
        <v>3610000</v>
      </c>
      <c r="E22" s="670">
        <f t="shared" si="4"/>
        <v>3610000</v>
      </c>
      <c r="F22" s="670">
        <f>SUM(F23:F24)</f>
        <v>3524331</v>
      </c>
      <c r="G22" s="279">
        <f t="shared" si="2"/>
        <v>0.976268975069252</v>
      </c>
    </row>
    <row r="23" spans="1:8" ht="12" customHeight="1">
      <c r="A23" s="121">
        <v>1041</v>
      </c>
      <c r="B23" s="119" t="s">
        <v>28</v>
      </c>
      <c r="C23" s="669">
        <v>3180000</v>
      </c>
      <c r="D23" s="669">
        <v>3180000</v>
      </c>
      <c r="E23" s="669">
        <v>3180000</v>
      </c>
      <c r="F23" s="669">
        <v>3057447</v>
      </c>
      <c r="G23" s="717">
        <f t="shared" si="2"/>
        <v>0.961461320754717</v>
      </c>
      <c r="H23" s="144"/>
    </row>
    <row r="24" spans="1:7" ht="12" customHeight="1">
      <c r="A24" s="121">
        <v>1042</v>
      </c>
      <c r="B24" s="119" t="s">
        <v>29</v>
      </c>
      <c r="C24" s="669">
        <v>430000</v>
      </c>
      <c r="D24" s="669">
        <v>430000</v>
      </c>
      <c r="E24" s="669">
        <v>430000</v>
      </c>
      <c r="F24" s="669">
        <v>466884</v>
      </c>
      <c r="G24" s="717">
        <f t="shared" si="2"/>
        <v>1.0857767441860464</v>
      </c>
    </row>
    <row r="25" spans="1:7" ht="12" customHeight="1">
      <c r="A25" s="116">
        <v>1050</v>
      </c>
      <c r="B25" s="115" t="s">
        <v>195</v>
      </c>
      <c r="C25" s="599">
        <f aca="true" t="shared" si="5" ref="C25">SUM(C26:C28)</f>
        <v>4364575</v>
      </c>
      <c r="D25" s="599">
        <f aca="true" t="shared" si="6" ref="D25:E25">SUM(D26:D28)</f>
        <v>4289575</v>
      </c>
      <c r="E25" s="670">
        <f t="shared" si="6"/>
        <v>4289575</v>
      </c>
      <c r="F25" s="670">
        <f>SUM(F26:F29)</f>
        <v>2758730</v>
      </c>
      <c r="G25" s="279">
        <f t="shared" si="2"/>
        <v>0.6431243188427758</v>
      </c>
    </row>
    <row r="26" spans="1:7" ht="12.75" customHeight="1">
      <c r="A26" s="122">
        <v>1051</v>
      </c>
      <c r="B26" s="111" t="s">
        <v>165</v>
      </c>
      <c r="C26" s="669">
        <v>4289575</v>
      </c>
      <c r="D26" s="669">
        <v>4289575</v>
      </c>
      <c r="E26" s="669">
        <v>4289575</v>
      </c>
      <c r="F26" s="669">
        <v>2744072</v>
      </c>
      <c r="G26" s="717">
        <f t="shared" si="2"/>
        <v>0.6397071970999458</v>
      </c>
    </row>
    <row r="27" spans="1:7" ht="12.75" customHeight="1">
      <c r="A27" s="122">
        <v>1052</v>
      </c>
      <c r="B27" s="123" t="s">
        <v>389</v>
      </c>
      <c r="C27" s="669"/>
      <c r="D27" s="669"/>
      <c r="E27" s="669"/>
      <c r="F27" s="669"/>
      <c r="G27" s="717"/>
    </row>
    <row r="28" spans="1:7" ht="12.75" customHeight="1">
      <c r="A28" s="122">
        <v>1053</v>
      </c>
      <c r="B28" s="118" t="s">
        <v>161</v>
      </c>
      <c r="C28" s="669">
        <v>75000</v>
      </c>
      <c r="D28" s="669"/>
      <c r="E28" s="669"/>
      <c r="F28" s="669">
        <v>14424</v>
      </c>
      <c r="G28" s="717"/>
    </row>
    <row r="29" spans="1:7" ht="12.75" customHeight="1">
      <c r="A29" s="122">
        <v>1054</v>
      </c>
      <c r="B29" s="118" t="s">
        <v>667</v>
      </c>
      <c r="C29" s="669"/>
      <c r="D29" s="669"/>
      <c r="E29" s="669"/>
      <c r="F29" s="669">
        <v>234</v>
      </c>
      <c r="G29" s="717"/>
    </row>
    <row r="30" spans="1:7" ht="12" customHeight="1">
      <c r="A30" s="116">
        <v>1070</v>
      </c>
      <c r="B30" s="115" t="s">
        <v>167</v>
      </c>
      <c r="C30" s="635">
        <f>SUM(C31:C40)</f>
        <v>758300</v>
      </c>
      <c r="D30" s="635">
        <f>SUM(D31:D40)</f>
        <v>484120</v>
      </c>
      <c r="E30" s="670">
        <f>SUM(E31:E40)</f>
        <v>484120</v>
      </c>
      <c r="F30" s="670">
        <f>SUM(F31:F40)</f>
        <v>422499</v>
      </c>
      <c r="G30" s="279">
        <f t="shared" si="2"/>
        <v>0.8727154424522846</v>
      </c>
    </row>
    <row r="31" spans="1:7" ht="12" customHeight="1">
      <c r="A31" s="122">
        <v>1071</v>
      </c>
      <c r="B31" s="119" t="s">
        <v>196</v>
      </c>
      <c r="C31" s="669">
        <v>10000</v>
      </c>
      <c r="D31" s="669">
        <v>10000</v>
      </c>
      <c r="E31" s="669">
        <v>10000</v>
      </c>
      <c r="F31" s="669">
        <v>123</v>
      </c>
      <c r="G31" s="717">
        <f t="shared" si="2"/>
        <v>0.0123</v>
      </c>
    </row>
    <row r="32" spans="1:7" ht="12" customHeight="1">
      <c r="A32" s="122">
        <v>1073</v>
      </c>
      <c r="B32" s="111" t="s">
        <v>197</v>
      </c>
      <c r="C32" s="636"/>
      <c r="D32" s="636"/>
      <c r="E32" s="669"/>
      <c r="F32" s="669">
        <v>300</v>
      </c>
      <c r="G32" s="717">
        <v>1</v>
      </c>
    </row>
    <row r="33" spans="1:8" ht="12" customHeight="1">
      <c r="A33" s="122">
        <v>1074</v>
      </c>
      <c r="B33" s="111" t="s">
        <v>198</v>
      </c>
      <c r="C33" s="636"/>
      <c r="D33" s="636"/>
      <c r="E33" s="669"/>
      <c r="F33" s="669">
        <v>-13</v>
      </c>
      <c r="G33" s="717"/>
      <c r="H33" s="662">
        <v>0</v>
      </c>
    </row>
    <row r="34" spans="1:7" ht="12" customHeight="1">
      <c r="A34" s="122">
        <v>1075</v>
      </c>
      <c r="B34" s="118" t="s">
        <v>390</v>
      </c>
      <c r="C34" s="669">
        <v>10000</v>
      </c>
      <c r="D34" s="669">
        <v>10000</v>
      </c>
      <c r="E34" s="669">
        <v>10000</v>
      </c>
      <c r="F34" s="669">
        <v>18942</v>
      </c>
      <c r="G34" s="717">
        <f t="shared" si="2"/>
        <v>1.8942</v>
      </c>
    </row>
    <row r="35" spans="1:7" ht="12" customHeight="1">
      <c r="A35" s="122">
        <v>1076</v>
      </c>
      <c r="B35" s="118" t="s">
        <v>391</v>
      </c>
      <c r="C35" s="669">
        <v>7493</v>
      </c>
      <c r="D35" s="669">
        <v>7493</v>
      </c>
      <c r="E35" s="669">
        <v>7493</v>
      </c>
      <c r="F35" s="669">
        <v>8506</v>
      </c>
      <c r="G35" s="717">
        <f t="shared" si="2"/>
        <v>1.1351928466568797</v>
      </c>
    </row>
    <row r="36" spans="1:7" ht="12" customHeight="1">
      <c r="A36" s="122">
        <v>1077</v>
      </c>
      <c r="B36" s="123" t="s">
        <v>199</v>
      </c>
      <c r="C36" s="669">
        <v>231107</v>
      </c>
      <c r="D36" s="669">
        <v>156927</v>
      </c>
      <c r="E36" s="669">
        <v>156927</v>
      </c>
      <c r="F36" s="669">
        <v>137616</v>
      </c>
      <c r="G36" s="717">
        <f t="shared" si="2"/>
        <v>0.8769427823127951</v>
      </c>
    </row>
    <row r="37" spans="1:7" ht="12" customHeight="1">
      <c r="A37" s="122">
        <v>1078</v>
      </c>
      <c r="B37" s="119" t="s">
        <v>200</v>
      </c>
      <c r="C37" s="669">
        <v>5000</v>
      </c>
      <c r="D37" s="669">
        <v>5000</v>
      </c>
      <c r="E37" s="669">
        <v>5000</v>
      </c>
      <c r="F37" s="669">
        <v>1679</v>
      </c>
      <c r="G37" s="717">
        <f t="shared" si="2"/>
        <v>0.3358</v>
      </c>
    </row>
    <row r="38" spans="1:7" ht="12" customHeight="1">
      <c r="A38" s="122">
        <v>1079</v>
      </c>
      <c r="B38" s="119" t="s">
        <v>409</v>
      </c>
      <c r="C38" s="669">
        <v>5000</v>
      </c>
      <c r="D38" s="669">
        <v>5000</v>
      </c>
      <c r="E38" s="669">
        <v>5000</v>
      </c>
      <c r="F38" s="669">
        <v>8461</v>
      </c>
      <c r="G38" s="717">
        <f t="shared" si="2"/>
        <v>1.6922</v>
      </c>
    </row>
    <row r="39" spans="1:7" ht="12" customHeight="1">
      <c r="A39" s="121">
        <v>1081</v>
      </c>
      <c r="B39" s="119" t="s">
        <v>605</v>
      </c>
      <c r="C39" s="669">
        <v>489700</v>
      </c>
      <c r="D39" s="669">
        <v>289700</v>
      </c>
      <c r="E39" s="669">
        <v>289700</v>
      </c>
      <c r="F39" s="669">
        <v>246885</v>
      </c>
      <c r="G39" s="717">
        <f t="shared" si="2"/>
        <v>0.8522091819123231</v>
      </c>
    </row>
    <row r="40" spans="1:7" ht="13.5" customHeight="1" thickBot="1">
      <c r="A40" s="137">
        <v>1082</v>
      </c>
      <c r="B40" s="278" t="s">
        <v>152</v>
      </c>
      <c r="C40" s="866"/>
      <c r="D40" s="866"/>
      <c r="E40" s="866"/>
      <c r="F40" s="866"/>
      <c r="G40" s="908"/>
    </row>
    <row r="41" spans="1:7" ht="17.25" customHeight="1" thickBot="1">
      <c r="A41" s="139"/>
      <c r="B41" s="595" t="s">
        <v>201</v>
      </c>
      <c r="C41" s="602">
        <f>SUM(C22+C25+C30)</f>
        <v>8732875</v>
      </c>
      <c r="D41" s="602">
        <f>SUM(D22+D25+D30)</f>
        <v>8383695</v>
      </c>
      <c r="E41" s="983">
        <f>SUM(E22+E25+E30)</f>
        <v>8383695</v>
      </c>
      <c r="F41" s="983">
        <f>SUM(F22+F25+F30)</f>
        <v>6705560</v>
      </c>
      <c r="G41" s="718">
        <f t="shared" si="2"/>
        <v>0.7998334863088411</v>
      </c>
    </row>
    <row r="42" spans="1:7" ht="12" customHeight="1">
      <c r="A42" s="122"/>
      <c r="B42" s="202"/>
      <c r="C42" s="598"/>
      <c r="D42" s="598"/>
      <c r="E42" s="982"/>
      <c r="F42" s="982"/>
      <c r="G42" s="900"/>
    </row>
    <row r="43" spans="1:7" ht="12" customHeight="1">
      <c r="A43" s="116">
        <v>1090</v>
      </c>
      <c r="B43" s="224" t="s">
        <v>202</v>
      </c>
      <c r="C43" s="599">
        <f aca="true" t="shared" si="7" ref="C43">SUM(C44:C51)</f>
        <v>1278998</v>
      </c>
      <c r="D43" s="599">
        <f aca="true" t="shared" si="8" ref="D43:E43">SUM(D44:D51)</f>
        <v>1052723</v>
      </c>
      <c r="E43" s="670">
        <f t="shared" si="8"/>
        <v>1052723</v>
      </c>
      <c r="F43" s="670">
        <f>SUM(F44:F52)</f>
        <v>765331</v>
      </c>
      <c r="G43" s="279">
        <f t="shared" si="2"/>
        <v>0.727001309936232</v>
      </c>
    </row>
    <row r="44" spans="1:7" ht="12" customHeight="1">
      <c r="A44" s="122">
        <v>1091</v>
      </c>
      <c r="B44" s="186" t="s">
        <v>442</v>
      </c>
      <c r="C44" s="669"/>
      <c r="D44" s="669"/>
      <c r="E44" s="669"/>
      <c r="F44" s="669">
        <v>29195</v>
      </c>
      <c r="G44" s="717"/>
    </row>
    <row r="45" spans="1:9" ht="12" customHeight="1">
      <c r="A45" s="122">
        <v>1092</v>
      </c>
      <c r="B45" s="119" t="s">
        <v>153</v>
      </c>
      <c r="C45" s="669">
        <v>699789</v>
      </c>
      <c r="D45" s="669">
        <v>473514</v>
      </c>
      <c r="E45" s="669">
        <v>473514</v>
      </c>
      <c r="F45" s="669">
        <v>255761</v>
      </c>
      <c r="G45" s="717">
        <f t="shared" si="2"/>
        <v>0.5401339770313022</v>
      </c>
      <c r="I45" s="754"/>
    </row>
    <row r="46" spans="1:7" ht="12" customHeight="1">
      <c r="A46" s="122">
        <v>1093</v>
      </c>
      <c r="B46" s="119" t="s">
        <v>443</v>
      </c>
      <c r="C46" s="669">
        <v>8500</v>
      </c>
      <c r="D46" s="669">
        <v>8500</v>
      </c>
      <c r="E46" s="669">
        <v>8500</v>
      </c>
      <c r="F46" s="669">
        <v>6709</v>
      </c>
      <c r="G46" s="717">
        <f t="shared" si="2"/>
        <v>0.7892941176470588</v>
      </c>
    </row>
    <row r="47" spans="1:8" ht="12" customHeight="1">
      <c r="A47" s="122">
        <v>1094</v>
      </c>
      <c r="B47" s="119" t="s">
        <v>444</v>
      </c>
      <c r="C47" s="669">
        <v>13500</v>
      </c>
      <c r="D47" s="669">
        <v>13500</v>
      </c>
      <c r="E47" s="669">
        <v>13500</v>
      </c>
      <c r="F47" s="669">
        <v>21784</v>
      </c>
      <c r="G47" s="717">
        <f t="shared" si="2"/>
        <v>1.6136296296296295</v>
      </c>
      <c r="H47" s="630"/>
    </row>
    <row r="48" spans="1:7" ht="12" customHeight="1">
      <c r="A48" s="122">
        <v>1095</v>
      </c>
      <c r="B48" s="123" t="s">
        <v>303</v>
      </c>
      <c r="C48" s="669">
        <v>350000</v>
      </c>
      <c r="D48" s="669">
        <v>350000</v>
      </c>
      <c r="E48" s="669">
        <v>350000</v>
      </c>
      <c r="F48" s="669">
        <v>254547</v>
      </c>
      <c r="G48" s="717">
        <f t="shared" si="2"/>
        <v>0.7272771428571428</v>
      </c>
    </row>
    <row r="49" spans="1:7" ht="12" customHeight="1">
      <c r="A49" s="122">
        <v>1096</v>
      </c>
      <c r="B49" s="123" t="s">
        <v>283</v>
      </c>
      <c r="C49" s="669">
        <v>199209</v>
      </c>
      <c r="D49" s="669">
        <v>199209</v>
      </c>
      <c r="E49" s="669">
        <v>199209</v>
      </c>
      <c r="F49" s="669">
        <v>191950</v>
      </c>
      <c r="G49" s="717">
        <f t="shared" si="2"/>
        <v>0.9635608832934255</v>
      </c>
    </row>
    <row r="50" spans="1:8" ht="12" customHeight="1">
      <c r="A50" s="122">
        <v>1097</v>
      </c>
      <c r="B50" s="123" t="s">
        <v>0</v>
      </c>
      <c r="C50" s="669">
        <v>3000</v>
      </c>
      <c r="D50" s="669">
        <v>3000</v>
      </c>
      <c r="E50" s="669">
        <v>3000</v>
      </c>
      <c r="F50" s="669"/>
      <c r="G50" s="717">
        <f t="shared" si="2"/>
        <v>0</v>
      </c>
      <c r="H50" s="630"/>
    </row>
    <row r="51" spans="1:8" ht="12" customHeight="1">
      <c r="A51" s="122">
        <v>1098</v>
      </c>
      <c r="B51" s="123" t="s">
        <v>4</v>
      </c>
      <c r="C51" s="669">
        <v>5000</v>
      </c>
      <c r="D51" s="669">
        <v>5000</v>
      </c>
      <c r="E51" s="669">
        <v>5000</v>
      </c>
      <c r="F51" s="669">
        <v>2764</v>
      </c>
      <c r="G51" s="717">
        <f t="shared" si="2"/>
        <v>0.5528</v>
      </c>
      <c r="H51" s="630"/>
    </row>
    <row r="52" spans="1:8" ht="12" customHeight="1">
      <c r="A52" s="122">
        <v>1099</v>
      </c>
      <c r="B52" s="123" t="s">
        <v>668</v>
      </c>
      <c r="C52" s="669"/>
      <c r="D52" s="669"/>
      <c r="E52" s="669"/>
      <c r="F52" s="669">
        <v>2621</v>
      </c>
      <c r="G52" s="717">
        <v>1</v>
      </c>
      <c r="H52" s="630"/>
    </row>
    <row r="53" spans="1:7" ht="12" customHeight="1">
      <c r="A53" s="116">
        <v>1100</v>
      </c>
      <c r="B53" s="224" t="s">
        <v>203</v>
      </c>
      <c r="C53" s="599">
        <f aca="true" t="shared" si="9" ref="C53">SUM(C54:C56)</f>
        <v>173610</v>
      </c>
      <c r="D53" s="599">
        <f aca="true" t="shared" si="10" ref="D53:F53">SUM(D54:D56)</f>
        <v>170328</v>
      </c>
      <c r="E53" s="670">
        <f t="shared" si="10"/>
        <v>170328</v>
      </c>
      <c r="F53" s="670">
        <f t="shared" si="10"/>
        <v>123815</v>
      </c>
      <c r="G53" s="279">
        <f t="shared" si="2"/>
        <v>0.7269209994833498</v>
      </c>
    </row>
    <row r="54" spans="1:8" ht="12" customHeight="1">
      <c r="A54" s="122">
        <v>1101</v>
      </c>
      <c r="B54" s="123" t="s">
        <v>1</v>
      </c>
      <c r="C54" s="669">
        <v>20000</v>
      </c>
      <c r="D54" s="669">
        <v>30120</v>
      </c>
      <c r="E54" s="669">
        <v>30120</v>
      </c>
      <c r="F54" s="669">
        <v>9063</v>
      </c>
      <c r="G54" s="717">
        <f t="shared" si="2"/>
        <v>0.3008964143426295</v>
      </c>
      <c r="H54" s="630"/>
    </row>
    <row r="55" spans="1:7" ht="12" customHeight="1">
      <c r="A55" s="122">
        <v>1102</v>
      </c>
      <c r="B55" s="119" t="s">
        <v>204</v>
      </c>
      <c r="C55" s="669">
        <v>100000</v>
      </c>
      <c r="D55" s="669">
        <v>100000</v>
      </c>
      <c r="E55" s="669">
        <v>100000</v>
      </c>
      <c r="F55" s="669">
        <v>78959</v>
      </c>
      <c r="G55" s="717">
        <f t="shared" si="2"/>
        <v>0.78959</v>
      </c>
    </row>
    <row r="56" spans="1:7" ht="12" customHeight="1">
      <c r="A56" s="122">
        <v>1103</v>
      </c>
      <c r="B56" s="119" t="s">
        <v>205</v>
      </c>
      <c r="C56" s="669">
        <v>53610</v>
      </c>
      <c r="D56" s="669">
        <v>40208</v>
      </c>
      <c r="E56" s="669">
        <v>40208</v>
      </c>
      <c r="F56" s="669">
        <v>35793</v>
      </c>
      <c r="G56" s="717">
        <f t="shared" si="2"/>
        <v>0.8901959808993235</v>
      </c>
    </row>
    <row r="57" spans="1:7" ht="12" customHeight="1">
      <c r="A57" s="526">
        <v>1105</v>
      </c>
      <c r="B57" s="525" t="s">
        <v>326</v>
      </c>
      <c r="C57" s="599"/>
      <c r="D57" s="599"/>
      <c r="E57" s="670"/>
      <c r="F57" s="670"/>
      <c r="G57" s="717"/>
    </row>
    <row r="58" spans="1:7" ht="12" customHeight="1">
      <c r="A58" s="116">
        <v>1110</v>
      </c>
      <c r="B58" s="124" t="s">
        <v>206</v>
      </c>
      <c r="C58" s="600"/>
      <c r="D58" s="600"/>
      <c r="E58" s="669"/>
      <c r="F58" s="669"/>
      <c r="G58" s="717"/>
    </row>
    <row r="59" spans="1:7" ht="12" customHeight="1">
      <c r="A59" s="116">
        <v>1120</v>
      </c>
      <c r="B59" s="124" t="s">
        <v>207</v>
      </c>
      <c r="C59" s="599">
        <f aca="true" t="shared" si="11" ref="C59">SUM(C60:C62)</f>
        <v>404651</v>
      </c>
      <c r="D59" s="599">
        <f aca="true" t="shared" si="12" ref="D59:F59">SUM(D60:D62)</f>
        <v>342670</v>
      </c>
      <c r="E59" s="670">
        <f t="shared" si="12"/>
        <v>342670</v>
      </c>
      <c r="F59" s="670">
        <f t="shared" si="12"/>
        <v>250050</v>
      </c>
      <c r="G59" s="279">
        <f t="shared" si="2"/>
        <v>0.7297108004785946</v>
      </c>
    </row>
    <row r="60" spans="1:9" ht="12" customHeight="1">
      <c r="A60" s="122">
        <v>1121</v>
      </c>
      <c r="B60" s="111" t="s">
        <v>279</v>
      </c>
      <c r="C60" s="669">
        <v>25947</v>
      </c>
      <c r="D60" s="669">
        <v>28679</v>
      </c>
      <c r="E60" s="669">
        <v>28679</v>
      </c>
      <c r="F60" s="669">
        <v>29489</v>
      </c>
      <c r="G60" s="717">
        <f t="shared" si="2"/>
        <v>1.0282436626102722</v>
      </c>
      <c r="I60" s="754"/>
    </row>
    <row r="61" spans="1:7" ht="12" customHeight="1">
      <c r="A61" s="122">
        <v>1122</v>
      </c>
      <c r="B61" s="111" t="s">
        <v>393</v>
      </c>
      <c r="C61" s="669">
        <v>175286</v>
      </c>
      <c r="D61" s="669">
        <v>175286</v>
      </c>
      <c r="E61" s="669">
        <v>175286</v>
      </c>
      <c r="F61" s="669">
        <v>141831</v>
      </c>
      <c r="G61" s="717">
        <f t="shared" si="2"/>
        <v>0.8091404903985486</v>
      </c>
    </row>
    <row r="62" spans="1:7" ht="12" customHeight="1">
      <c r="A62" s="122">
        <v>1123</v>
      </c>
      <c r="B62" s="118" t="s">
        <v>293</v>
      </c>
      <c r="C62" s="669">
        <v>203418</v>
      </c>
      <c r="D62" s="669">
        <v>138705</v>
      </c>
      <c r="E62" s="669">
        <v>138705</v>
      </c>
      <c r="F62" s="669">
        <v>78730</v>
      </c>
      <c r="G62" s="717">
        <f t="shared" si="2"/>
        <v>0.5676075123463465</v>
      </c>
    </row>
    <row r="63" spans="1:7" ht="12" customHeight="1">
      <c r="A63" s="116">
        <v>1130</v>
      </c>
      <c r="B63" s="115" t="s">
        <v>208</v>
      </c>
      <c r="C63" s="599"/>
      <c r="D63" s="599"/>
      <c r="E63" s="670"/>
      <c r="F63" s="670"/>
      <c r="G63" s="717"/>
    </row>
    <row r="64" spans="1:7" ht="12" customHeight="1">
      <c r="A64" s="116">
        <v>1140</v>
      </c>
      <c r="B64" s="117" t="s">
        <v>413</v>
      </c>
      <c r="C64" s="599">
        <f aca="true" t="shared" si="13" ref="C64:F64">SUM(C65)</f>
        <v>3000</v>
      </c>
      <c r="D64" s="599">
        <f t="shared" si="13"/>
        <v>3000</v>
      </c>
      <c r="E64" s="670">
        <f t="shared" si="13"/>
        <v>3000</v>
      </c>
      <c r="F64" s="670">
        <f t="shared" si="13"/>
        <v>2675</v>
      </c>
      <c r="G64" s="279">
        <f t="shared" si="2"/>
        <v>0.8916666666666667</v>
      </c>
    </row>
    <row r="65" spans="1:7" ht="12" customHeight="1">
      <c r="A65" s="122">
        <v>1141</v>
      </c>
      <c r="B65" s="119" t="s">
        <v>88</v>
      </c>
      <c r="C65" s="669">
        <v>3000</v>
      </c>
      <c r="D65" s="669">
        <v>3000</v>
      </c>
      <c r="E65" s="669">
        <v>3000</v>
      </c>
      <c r="F65" s="669">
        <v>2675</v>
      </c>
      <c r="G65" s="717">
        <f t="shared" si="2"/>
        <v>0.8916666666666667</v>
      </c>
    </row>
    <row r="66" spans="1:7" ht="12" customHeight="1">
      <c r="A66" s="114">
        <v>1150</v>
      </c>
      <c r="B66" s="124" t="s">
        <v>209</v>
      </c>
      <c r="C66" s="670">
        <v>10000</v>
      </c>
      <c r="D66" s="670">
        <v>10000</v>
      </c>
      <c r="E66" s="670">
        <v>10000</v>
      </c>
      <c r="F66" s="670">
        <v>11861</v>
      </c>
      <c r="G66" s="279">
        <f t="shared" si="2"/>
        <v>1.1861</v>
      </c>
    </row>
    <row r="67" spans="1:7" ht="12" customHeight="1" thickBot="1">
      <c r="A67" s="138">
        <v>1151</v>
      </c>
      <c r="B67" s="597" t="s">
        <v>392</v>
      </c>
      <c r="C67" s="671">
        <v>77427</v>
      </c>
      <c r="D67" s="671">
        <v>144640</v>
      </c>
      <c r="E67" s="671">
        <v>144640</v>
      </c>
      <c r="F67" s="671">
        <v>117251</v>
      </c>
      <c r="G67" s="901">
        <f t="shared" si="2"/>
        <v>0.8106402101769912</v>
      </c>
    </row>
    <row r="68" spans="1:7" ht="18.75" customHeight="1" thickBot="1">
      <c r="A68" s="139"/>
      <c r="B68" s="233" t="s">
        <v>324</v>
      </c>
      <c r="C68" s="602">
        <f aca="true" t="shared" si="14" ref="C68">SUM(C64+C66+C63+C59+C58+C53+C43+C57+C67)</f>
        <v>1947686</v>
      </c>
      <c r="D68" s="602">
        <f aca="true" t="shared" si="15" ref="D68:F68">SUM(D64+D66+D63+D59+D58+D53+D43+D57+D67)</f>
        <v>1723361</v>
      </c>
      <c r="E68" s="983">
        <f t="shared" si="15"/>
        <v>1723361</v>
      </c>
      <c r="F68" s="983">
        <f t="shared" si="15"/>
        <v>1270983</v>
      </c>
      <c r="G68" s="718">
        <f t="shared" si="2"/>
        <v>0.7375024733645476</v>
      </c>
    </row>
    <row r="69" spans="1:7" ht="12" customHeight="1">
      <c r="A69" s="134"/>
      <c r="B69" s="225"/>
      <c r="C69" s="598"/>
      <c r="D69" s="598"/>
      <c r="E69" s="982"/>
      <c r="F69" s="982"/>
      <c r="G69" s="900"/>
    </row>
    <row r="70" spans="1:7" ht="15" customHeight="1">
      <c r="A70" s="121">
        <v>1160</v>
      </c>
      <c r="B70" s="119" t="s">
        <v>210</v>
      </c>
      <c r="C70" s="600"/>
      <c r="D70" s="600">
        <v>81455</v>
      </c>
      <c r="E70" s="669">
        <v>81455</v>
      </c>
      <c r="F70" s="669">
        <v>84649</v>
      </c>
      <c r="G70" s="717">
        <f t="shared" si="2"/>
        <v>1.0392118347553865</v>
      </c>
    </row>
    <row r="71" spans="1:7" ht="15" customHeight="1" thickBot="1">
      <c r="A71" s="137">
        <v>1161</v>
      </c>
      <c r="B71" s="143" t="s">
        <v>551</v>
      </c>
      <c r="C71" s="603"/>
      <c r="D71" s="603"/>
      <c r="E71" s="871"/>
      <c r="F71" s="871">
        <v>667</v>
      </c>
      <c r="G71" s="901"/>
    </row>
    <row r="72" spans="1:7" ht="18" customHeight="1" thickBot="1">
      <c r="A72" s="139"/>
      <c r="B72" s="223" t="s">
        <v>211</v>
      </c>
      <c r="C72" s="607"/>
      <c r="D72" s="607">
        <f>SUM(D70:D71)</f>
        <v>81455</v>
      </c>
      <c r="E72" s="671">
        <f>SUM(E70:E71)</f>
        <v>81455</v>
      </c>
      <c r="F72" s="671">
        <f>SUM(F70:F71)</f>
        <v>85316</v>
      </c>
      <c r="G72" s="718">
        <f t="shared" si="2"/>
        <v>1.0474004051316679</v>
      </c>
    </row>
    <row r="73" spans="1:7" ht="12" customHeight="1" thickBot="1">
      <c r="A73" s="139"/>
      <c r="B73" s="173"/>
      <c r="C73" s="605"/>
      <c r="D73" s="605"/>
      <c r="E73" s="984"/>
      <c r="F73" s="984"/>
      <c r="G73" s="718"/>
    </row>
    <row r="74" spans="1:7" ht="18.75" customHeight="1" thickBot="1">
      <c r="A74" s="139"/>
      <c r="B74" s="226" t="s">
        <v>58</v>
      </c>
      <c r="C74" s="606">
        <f>SUM(C68+C41+C20+C72)</f>
        <v>13280106</v>
      </c>
      <c r="D74" s="606">
        <f>SUM(D68+D41+D20+D72)</f>
        <v>12965909</v>
      </c>
      <c r="E74" s="985">
        <f>SUM(E68+E41+E20+E72)</f>
        <v>13015897</v>
      </c>
      <c r="F74" s="985">
        <f>SUM(F68+F41+F20+F72)</f>
        <v>10256249</v>
      </c>
      <c r="G74" s="718">
        <f t="shared" si="2"/>
        <v>0.7879786541027484</v>
      </c>
    </row>
    <row r="75" spans="1:7" ht="12" customHeight="1">
      <c r="A75" s="122"/>
      <c r="B75" s="205"/>
      <c r="C75" s="598"/>
      <c r="D75" s="598"/>
      <c r="E75" s="982"/>
      <c r="F75" s="982"/>
      <c r="G75" s="900"/>
    </row>
    <row r="76" spans="1:7" ht="12" customHeight="1">
      <c r="A76" s="114">
        <v>1165</v>
      </c>
      <c r="B76" s="124" t="s">
        <v>212</v>
      </c>
      <c r="C76" s="599"/>
      <c r="D76" s="599"/>
      <c r="E76" s="670"/>
      <c r="F76" s="670"/>
      <c r="G76" s="279"/>
    </row>
    <row r="77" spans="1:7" ht="12" customHeight="1">
      <c r="A77" s="114">
        <v>1170</v>
      </c>
      <c r="B77" s="113" t="s">
        <v>213</v>
      </c>
      <c r="C77" s="599"/>
      <c r="D77" s="599"/>
      <c r="E77" s="670"/>
      <c r="F77" s="670"/>
      <c r="G77" s="279"/>
    </row>
    <row r="78" spans="1:7" ht="12" customHeight="1">
      <c r="A78" s="114">
        <v>1180</v>
      </c>
      <c r="B78" s="130" t="s">
        <v>370</v>
      </c>
      <c r="C78" s="670">
        <f aca="true" t="shared" si="16" ref="C78">SUM(C79:C80)</f>
        <v>400000</v>
      </c>
      <c r="D78" s="670">
        <f aca="true" t="shared" si="17" ref="D78:F78">SUM(D79:D80)</f>
        <v>400000</v>
      </c>
      <c r="E78" s="670">
        <f t="shared" si="17"/>
        <v>400000</v>
      </c>
      <c r="F78" s="670">
        <f t="shared" si="17"/>
        <v>0</v>
      </c>
      <c r="G78" s="279">
        <f aca="true" t="shared" si="18" ref="G78:G131">SUM(F78/E78)</f>
        <v>0</v>
      </c>
    </row>
    <row r="79" spans="1:7" ht="12" customHeight="1">
      <c r="A79" s="121">
        <v>1182</v>
      </c>
      <c r="B79" s="119" t="s">
        <v>445</v>
      </c>
      <c r="C79" s="600">
        <v>250000</v>
      </c>
      <c r="D79" s="600">
        <v>250000</v>
      </c>
      <c r="E79" s="669">
        <v>250000</v>
      </c>
      <c r="F79" s="669"/>
      <c r="G79" s="717">
        <f t="shared" si="18"/>
        <v>0</v>
      </c>
    </row>
    <row r="80" spans="1:7" ht="12" customHeight="1">
      <c r="A80" s="121">
        <v>1183</v>
      </c>
      <c r="B80" s="119" t="s">
        <v>471</v>
      </c>
      <c r="C80" s="600">
        <v>150000</v>
      </c>
      <c r="D80" s="600">
        <v>150000</v>
      </c>
      <c r="E80" s="669">
        <v>150000</v>
      </c>
      <c r="F80" s="669"/>
      <c r="G80" s="717">
        <f t="shared" si="18"/>
        <v>0</v>
      </c>
    </row>
    <row r="81" spans="1:7" ht="12" customHeight="1" thickBot="1">
      <c r="A81" s="138">
        <v>1185</v>
      </c>
      <c r="B81" s="280" t="s">
        <v>418</v>
      </c>
      <c r="C81" s="868"/>
      <c r="D81" s="868"/>
      <c r="E81" s="986"/>
      <c r="F81" s="986"/>
      <c r="G81" s="901"/>
    </row>
    <row r="82" spans="1:7" ht="15" customHeight="1" thickBot="1">
      <c r="A82" s="129"/>
      <c r="B82" s="173" t="s">
        <v>394</v>
      </c>
      <c r="C82" s="607">
        <f aca="true" t="shared" si="19" ref="C82">SUM(C77+C78+C76+C81)</f>
        <v>400000</v>
      </c>
      <c r="D82" s="607">
        <f aca="true" t="shared" si="20" ref="D82:F82">SUM(D77+D78+D76+D81)</f>
        <v>400000</v>
      </c>
      <c r="E82" s="671">
        <f t="shared" si="20"/>
        <v>400000</v>
      </c>
      <c r="F82" s="671">
        <f t="shared" si="20"/>
        <v>0</v>
      </c>
      <c r="G82" s="718">
        <f t="shared" si="18"/>
        <v>0</v>
      </c>
    </row>
    <row r="83" spans="1:7" ht="12" customHeight="1">
      <c r="A83" s="116"/>
      <c r="B83" s="123"/>
      <c r="C83" s="598"/>
      <c r="D83" s="598"/>
      <c r="E83" s="982"/>
      <c r="F83" s="982"/>
      <c r="G83" s="900"/>
    </row>
    <row r="84" spans="1:7" ht="12" customHeight="1">
      <c r="A84" s="114">
        <v>1190</v>
      </c>
      <c r="B84" s="117" t="s">
        <v>216</v>
      </c>
      <c r="C84" s="599">
        <f aca="true" t="shared" si="21" ref="C84">SUM(C85+C86+C87)</f>
        <v>476100</v>
      </c>
      <c r="D84" s="599">
        <f aca="true" t="shared" si="22" ref="D84:F84">SUM(D85+D86+D87)</f>
        <v>491849</v>
      </c>
      <c r="E84" s="670">
        <f t="shared" si="22"/>
        <v>491849</v>
      </c>
      <c r="F84" s="670">
        <f t="shared" si="22"/>
        <v>296707</v>
      </c>
      <c r="G84" s="279">
        <f t="shared" si="18"/>
        <v>0.6032481513635283</v>
      </c>
    </row>
    <row r="85" spans="1:7" ht="12" customHeight="1">
      <c r="A85" s="121">
        <v>1191</v>
      </c>
      <c r="B85" s="111" t="s">
        <v>450</v>
      </c>
      <c r="C85" s="669">
        <v>46100</v>
      </c>
      <c r="D85" s="669">
        <v>46100</v>
      </c>
      <c r="E85" s="669">
        <v>46100</v>
      </c>
      <c r="F85" s="669">
        <v>46100</v>
      </c>
      <c r="G85" s="717">
        <f t="shared" si="18"/>
        <v>1</v>
      </c>
    </row>
    <row r="86" spans="1:7" ht="12" customHeight="1">
      <c r="A86" s="121">
        <v>1194</v>
      </c>
      <c r="B86" s="111" t="s">
        <v>166</v>
      </c>
      <c r="C86" s="669"/>
      <c r="D86" s="669">
        <v>15749</v>
      </c>
      <c r="E86" s="669">
        <v>15749</v>
      </c>
      <c r="F86" s="669">
        <v>64346</v>
      </c>
      <c r="G86" s="717">
        <f t="shared" si="18"/>
        <v>4.085719728236714</v>
      </c>
    </row>
    <row r="87" spans="1:7" ht="12" customHeight="1" thickBot="1">
      <c r="A87" s="121">
        <v>1195</v>
      </c>
      <c r="B87" s="111" t="s">
        <v>264</v>
      </c>
      <c r="C87" s="738">
        <v>430000</v>
      </c>
      <c r="D87" s="738">
        <v>430000</v>
      </c>
      <c r="E87" s="738">
        <v>430000</v>
      </c>
      <c r="F87" s="738">
        <f>185673+588</f>
        <v>186261</v>
      </c>
      <c r="G87" s="853">
        <f t="shared" si="18"/>
        <v>0.4331651162790698</v>
      </c>
    </row>
    <row r="88" spans="1:7" ht="15.75" customHeight="1" thickBot="1">
      <c r="A88" s="129"/>
      <c r="B88" s="233" t="s">
        <v>217</v>
      </c>
      <c r="C88" s="604">
        <f aca="true" t="shared" si="23" ref="C88">SUM(C84)</f>
        <v>476100</v>
      </c>
      <c r="D88" s="604">
        <f aca="true" t="shared" si="24" ref="D88:E88">SUM(D84)</f>
        <v>491849</v>
      </c>
      <c r="E88" s="987">
        <f t="shared" si="24"/>
        <v>491849</v>
      </c>
      <c r="F88" s="987">
        <f aca="true" t="shared" si="25" ref="F88">SUM(F84)</f>
        <v>296707</v>
      </c>
      <c r="G88" s="718">
        <f t="shared" si="18"/>
        <v>0.6032481513635283</v>
      </c>
    </row>
    <row r="89" spans="1:7" ht="12" customHeight="1">
      <c r="A89" s="114">
        <v>1200</v>
      </c>
      <c r="B89" s="124" t="s">
        <v>419</v>
      </c>
      <c r="C89" s="612">
        <v>15000</v>
      </c>
      <c r="D89" s="612">
        <v>15000</v>
      </c>
      <c r="E89" s="988">
        <v>15000</v>
      </c>
      <c r="F89" s="988">
        <f>+F90+F91</f>
        <v>12102</v>
      </c>
      <c r="G89" s="900">
        <f t="shared" si="18"/>
        <v>0.8068</v>
      </c>
    </row>
    <row r="90" spans="1:7" ht="12" customHeight="1">
      <c r="A90" s="121">
        <v>1201</v>
      </c>
      <c r="B90" s="111" t="s">
        <v>298</v>
      </c>
      <c r="C90" s="598"/>
      <c r="D90" s="598"/>
      <c r="E90" s="982"/>
      <c r="F90" s="982">
        <v>61</v>
      </c>
      <c r="G90" s="279">
        <v>1</v>
      </c>
    </row>
    <row r="91" spans="1:7" ht="12" customHeight="1">
      <c r="A91" s="121">
        <v>1202</v>
      </c>
      <c r="B91" s="111" t="s">
        <v>299</v>
      </c>
      <c r="C91" s="600">
        <v>15000</v>
      </c>
      <c r="D91" s="600">
        <v>15000</v>
      </c>
      <c r="E91" s="669">
        <v>15000</v>
      </c>
      <c r="F91" s="669">
        <v>12041</v>
      </c>
      <c r="G91" s="717">
        <f t="shared" si="18"/>
        <v>0.8027333333333333</v>
      </c>
    </row>
    <row r="92" spans="1:7" ht="12" customHeight="1">
      <c r="A92" s="114">
        <v>1210</v>
      </c>
      <c r="B92" s="124" t="s">
        <v>221</v>
      </c>
      <c r="C92" s="599"/>
      <c r="D92" s="599"/>
      <c r="E92" s="670"/>
      <c r="F92" s="670">
        <v>3205</v>
      </c>
      <c r="G92" s="279">
        <v>1</v>
      </c>
    </row>
    <row r="93" spans="1:7" ht="12" customHeight="1" thickBot="1">
      <c r="A93" s="635">
        <v>1211</v>
      </c>
      <c r="B93" s="525" t="s">
        <v>347</v>
      </c>
      <c r="C93" s="658"/>
      <c r="D93" s="658"/>
      <c r="E93" s="989"/>
      <c r="F93" s="989">
        <v>32000</v>
      </c>
      <c r="G93" s="901">
        <v>1</v>
      </c>
    </row>
    <row r="94" spans="1:7" ht="15.75" customHeight="1" thickBot="1">
      <c r="A94" s="129"/>
      <c r="B94" s="173" t="s">
        <v>222</v>
      </c>
      <c r="C94" s="604">
        <f aca="true" t="shared" si="26" ref="C94">SUM(C89+C92+C93)</f>
        <v>15000</v>
      </c>
      <c r="D94" s="604">
        <f aca="true" t="shared" si="27" ref="D94:E94">SUM(D89+D92+D93)</f>
        <v>15000</v>
      </c>
      <c r="E94" s="987">
        <f t="shared" si="27"/>
        <v>15000</v>
      </c>
      <c r="F94" s="987">
        <f>SUM(F89+F92+F93)</f>
        <v>47307</v>
      </c>
      <c r="G94" s="718">
        <f t="shared" si="18"/>
        <v>3.1538</v>
      </c>
    </row>
    <row r="95" spans="1:7" ht="12" customHeight="1" thickBot="1">
      <c r="A95" s="129"/>
      <c r="B95" s="128"/>
      <c r="C95" s="845"/>
      <c r="D95" s="845"/>
      <c r="E95" s="866"/>
      <c r="F95" s="866"/>
      <c r="G95" s="718"/>
    </row>
    <row r="96" spans="1:7" ht="24" customHeight="1" thickBot="1">
      <c r="A96" s="129"/>
      <c r="B96" s="229" t="s">
        <v>59</v>
      </c>
      <c r="C96" s="608">
        <f aca="true" t="shared" si="28" ref="C96">SUM(C82+C88+C94)</f>
        <v>891100</v>
      </c>
      <c r="D96" s="608">
        <f aca="true" t="shared" si="29" ref="D96:F96">SUM(D82+D88+D94)</f>
        <v>906849</v>
      </c>
      <c r="E96" s="990">
        <f t="shared" si="29"/>
        <v>906849</v>
      </c>
      <c r="F96" s="990">
        <f t="shared" si="29"/>
        <v>344014</v>
      </c>
      <c r="G96" s="718">
        <f t="shared" si="18"/>
        <v>0.3793509172971465</v>
      </c>
    </row>
    <row r="97" spans="1:7" ht="12.75" customHeight="1">
      <c r="A97" s="136"/>
      <c r="B97" s="227"/>
      <c r="C97" s="598"/>
      <c r="D97" s="598"/>
      <c r="E97" s="982"/>
      <c r="F97" s="982"/>
      <c r="G97" s="900"/>
    </row>
    <row r="98" spans="1:7" ht="12" customHeight="1">
      <c r="A98" s="121">
        <v>1215</v>
      </c>
      <c r="B98" s="119" t="s">
        <v>397</v>
      </c>
      <c r="C98" s="600">
        <v>171513</v>
      </c>
      <c r="D98" s="600">
        <v>3277803</v>
      </c>
      <c r="E98" s="669">
        <v>3277803</v>
      </c>
      <c r="F98" s="669">
        <v>3277803</v>
      </c>
      <c r="G98" s="717">
        <f t="shared" si="18"/>
        <v>1</v>
      </c>
    </row>
    <row r="99" spans="1:7" ht="12" customHeight="1">
      <c r="A99" s="649">
        <v>1216</v>
      </c>
      <c r="B99" s="131" t="s">
        <v>383</v>
      </c>
      <c r="C99" s="845"/>
      <c r="D99" s="845"/>
      <c r="E99" s="866"/>
      <c r="F99" s="866"/>
      <c r="G99" s="279"/>
    </row>
    <row r="100" spans="1:8" ht="12" customHeight="1" thickBot="1">
      <c r="A100" s="126">
        <v>1218</v>
      </c>
      <c r="B100" s="127" t="s">
        <v>553</v>
      </c>
      <c r="C100" s="852"/>
      <c r="D100" s="852"/>
      <c r="E100" s="871">
        <v>339900</v>
      </c>
      <c r="F100" s="871">
        <v>361622</v>
      </c>
      <c r="G100" s="853">
        <f t="shared" si="18"/>
        <v>1.063907031479847</v>
      </c>
      <c r="H100" s="290"/>
    </row>
    <row r="101" spans="1:7" ht="21.75" customHeight="1" thickBot="1">
      <c r="A101" s="138"/>
      <c r="B101" s="223" t="s">
        <v>37</v>
      </c>
      <c r="C101" s="607">
        <f>SUM(C98:C100)</f>
        <v>171513</v>
      </c>
      <c r="D101" s="607">
        <f>SUM(D98:D100)</f>
        <v>3277803</v>
      </c>
      <c r="E101" s="671">
        <f>SUM(E98:E100)</f>
        <v>3617703</v>
      </c>
      <c r="F101" s="671">
        <f>SUM(F98:F100)</f>
        <v>3639425</v>
      </c>
      <c r="G101" s="718">
        <f t="shared" si="18"/>
        <v>1.0060043624366068</v>
      </c>
    </row>
    <row r="102" spans="1:7" ht="12" customHeight="1">
      <c r="A102" s="136"/>
      <c r="B102" s="180"/>
      <c r="C102" s="598"/>
      <c r="D102" s="598"/>
      <c r="E102" s="982"/>
      <c r="F102" s="982"/>
      <c r="G102" s="900"/>
    </row>
    <row r="103" spans="1:7" ht="12" customHeight="1" thickBot="1">
      <c r="A103" s="121">
        <v>1221</v>
      </c>
      <c r="B103" s="127" t="s">
        <v>397</v>
      </c>
      <c r="C103" s="603">
        <v>1285039</v>
      </c>
      <c r="D103" s="603">
        <v>2205370</v>
      </c>
      <c r="E103" s="871">
        <v>2205370</v>
      </c>
      <c r="F103" s="871">
        <v>2205370</v>
      </c>
      <c r="G103" s="853">
        <f t="shared" si="18"/>
        <v>1</v>
      </c>
    </row>
    <row r="104" spans="1:7" ht="18" customHeight="1" thickBot="1">
      <c r="A104" s="129"/>
      <c r="B104" s="172" t="s">
        <v>223</v>
      </c>
      <c r="C104" s="607">
        <f>SUM(C103)</f>
        <v>1285039</v>
      </c>
      <c r="D104" s="607">
        <f>SUM(D103)</f>
        <v>2205370</v>
      </c>
      <c r="E104" s="671">
        <f>SUM(E103)</f>
        <v>2205370</v>
      </c>
      <c r="F104" s="671">
        <f>SUM(F103)</f>
        <v>2205370</v>
      </c>
      <c r="G104" s="718">
        <f t="shared" si="18"/>
        <v>1</v>
      </c>
    </row>
    <row r="105" spans="1:7" ht="12" customHeight="1" thickBot="1">
      <c r="A105" s="129"/>
      <c r="B105" s="146"/>
      <c r="C105" s="605"/>
      <c r="D105" s="605"/>
      <c r="E105" s="984"/>
      <c r="F105" s="984"/>
      <c r="G105" s="718"/>
    </row>
    <row r="106" spans="1:7" ht="16.5" customHeight="1" thickBot="1">
      <c r="A106" s="129"/>
      <c r="B106" s="228" t="s">
        <v>321</v>
      </c>
      <c r="C106" s="608">
        <f aca="true" t="shared" si="30" ref="C106">SUM(C104+C96+C74+C101)</f>
        <v>15627758</v>
      </c>
      <c r="D106" s="608">
        <f aca="true" t="shared" si="31" ref="D106:E106">SUM(D104+D96+D74+D101)</f>
        <v>19355931</v>
      </c>
      <c r="E106" s="990">
        <f t="shared" si="31"/>
        <v>19745819</v>
      </c>
      <c r="F106" s="990">
        <f aca="true" t="shared" si="32" ref="F106">SUM(F104+F96+F74+F101)</f>
        <v>16445058</v>
      </c>
      <c r="G106" s="718">
        <f t="shared" si="18"/>
        <v>0.8328374730873407</v>
      </c>
    </row>
    <row r="107" spans="1:7" ht="12" customHeight="1">
      <c r="A107" s="136"/>
      <c r="B107" s="146"/>
      <c r="C107" s="610"/>
      <c r="D107" s="610"/>
      <c r="E107" s="991"/>
      <c r="F107" s="991"/>
      <c r="G107" s="900"/>
    </row>
    <row r="108" spans="1:7" ht="15.75" customHeight="1">
      <c r="A108" s="114"/>
      <c r="B108" s="232" t="s">
        <v>280</v>
      </c>
      <c r="C108" s="869"/>
      <c r="D108" s="869"/>
      <c r="E108" s="992"/>
      <c r="F108" s="992"/>
      <c r="G108" s="279"/>
    </row>
    <row r="109" spans="1:7" ht="12" customHeight="1">
      <c r="A109" s="114"/>
      <c r="B109" s="230"/>
      <c r="C109" s="870"/>
      <c r="D109" s="870"/>
      <c r="E109" s="993"/>
      <c r="F109" s="993"/>
      <c r="G109" s="279"/>
    </row>
    <row r="110" spans="1:7" ht="12" customHeight="1">
      <c r="A110" s="121">
        <v>1230</v>
      </c>
      <c r="B110" s="119" t="s">
        <v>192</v>
      </c>
      <c r="C110" s="869"/>
      <c r="D110" s="869"/>
      <c r="E110" s="992"/>
      <c r="F110" s="992"/>
      <c r="G110" s="279"/>
    </row>
    <row r="111" spans="1:7" ht="12" customHeight="1" thickBot="1">
      <c r="A111" s="126">
        <v>1231</v>
      </c>
      <c r="B111" s="127" t="s">
        <v>387</v>
      </c>
      <c r="C111" s="603"/>
      <c r="D111" s="603">
        <v>32034</v>
      </c>
      <c r="E111" s="871">
        <v>32034</v>
      </c>
      <c r="F111" s="871">
        <v>32033</v>
      </c>
      <c r="G111" s="853">
        <f t="shared" si="18"/>
        <v>0.9999687831678841</v>
      </c>
    </row>
    <row r="112" spans="1:7" ht="12" customHeight="1" thickBot="1">
      <c r="A112" s="129"/>
      <c r="B112" s="128" t="s">
        <v>395</v>
      </c>
      <c r="C112" s="604">
        <f>SUM(C111)</f>
        <v>0</v>
      </c>
      <c r="D112" s="604">
        <f>SUM(D111)</f>
        <v>32034</v>
      </c>
      <c r="E112" s="987">
        <f>SUM(E111)</f>
        <v>32034</v>
      </c>
      <c r="F112" s="987">
        <f>SUM(F111)</f>
        <v>32033</v>
      </c>
      <c r="G112" s="718">
        <f t="shared" si="18"/>
        <v>0.9999687831678841</v>
      </c>
    </row>
    <row r="113" spans="1:7" ht="12" customHeight="1">
      <c r="A113" s="114"/>
      <c r="B113" s="567" t="s">
        <v>167</v>
      </c>
      <c r="C113" s="599"/>
      <c r="D113" s="599"/>
      <c r="E113" s="670"/>
      <c r="F113" s="670"/>
      <c r="G113" s="279"/>
    </row>
    <row r="114" spans="1:7" ht="12" customHeight="1">
      <c r="A114" s="121">
        <v>1205</v>
      </c>
      <c r="B114" s="186" t="s">
        <v>9</v>
      </c>
      <c r="C114" s="740"/>
      <c r="D114" s="740">
        <v>11049</v>
      </c>
      <c r="E114" s="740">
        <v>11049</v>
      </c>
      <c r="F114" s="740">
        <v>4410</v>
      </c>
      <c r="G114" s="717">
        <f t="shared" si="18"/>
        <v>0.3991311430898724</v>
      </c>
    </row>
    <row r="115" spans="1:7" ht="14.25" customHeight="1" thickBot="1">
      <c r="A115" s="137">
        <v>1206</v>
      </c>
      <c r="B115" s="278" t="s">
        <v>474</v>
      </c>
      <c r="C115" s="739"/>
      <c r="D115" s="739">
        <v>10794</v>
      </c>
      <c r="E115" s="739">
        <v>10794</v>
      </c>
      <c r="F115" s="739">
        <v>15410</v>
      </c>
      <c r="G115" s="853">
        <f t="shared" si="18"/>
        <v>1.427644987956272</v>
      </c>
    </row>
    <row r="116" spans="1:7" ht="17.25" customHeight="1" thickBot="1">
      <c r="A116" s="137"/>
      <c r="B116" s="568" t="s">
        <v>201</v>
      </c>
      <c r="C116" s="615">
        <f aca="true" t="shared" si="33" ref="C116">SUM(C114:C115)</f>
        <v>0</v>
      </c>
      <c r="D116" s="615">
        <f aca="true" t="shared" si="34" ref="D116:E116">SUM(D114:D115)</f>
        <v>21843</v>
      </c>
      <c r="E116" s="994">
        <f t="shared" si="34"/>
        <v>21843</v>
      </c>
      <c r="F116" s="994">
        <f aca="true" t="shared" si="35" ref="F116">SUM(F114:F115)</f>
        <v>19820</v>
      </c>
      <c r="G116" s="718">
        <f t="shared" si="18"/>
        <v>0.9073845167788307</v>
      </c>
    </row>
    <row r="117" spans="1:7" ht="12" customHeight="1">
      <c r="A117" s="116">
        <v>1240</v>
      </c>
      <c r="B117" s="224" t="s">
        <v>202</v>
      </c>
      <c r="C117" s="645">
        <f aca="true" t="shared" si="36" ref="C117">C118+C119</f>
        <v>7000</v>
      </c>
      <c r="D117" s="612">
        <f aca="true" t="shared" si="37" ref="D117:E117">D118+D119</f>
        <v>7000</v>
      </c>
      <c r="E117" s="988">
        <f t="shared" si="37"/>
        <v>7000</v>
      </c>
      <c r="F117" s="988">
        <f aca="true" t="shared" si="38" ref="F117">F118+F119</f>
        <v>6493</v>
      </c>
      <c r="G117" s="900">
        <f t="shared" si="18"/>
        <v>0.9275714285714286</v>
      </c>
    </row>
    <row r="118" spans="1:7" ht="12" customHeight="1">
      <c r="A118" s="121">
        <v>1241</v>
      </c>
      <c r="B118" s="119" t="s">
        <v>86</v>
      </c>
      <c r="C118" s="669">
        <v>7000</v>
      </c>
      <c r="D118" s="669">
        <v>7000</v>
      </c>
      <c r="E118" s="669">
        <v>7000</v>
      </c>
      <c r="F118" s="669">
        <v>6493</v>
      </c>
      <c r="G118" s="717">
        <f t="shared" si="18"/>
        <v>0.9275714285714286</v>
      </c>
    </row>
    <row r="119" spans="1:7" ht="12" customHeight="1">
      <c r="A119" s="121">
        <v>1242</v>
      </c>
      <c r="B119" s="119" t="s">
        <v>87</v>
      </c>
      <c r="C119" s="600"/>
      <c r="D119" s="600"/>
      <c r="E119" s="669"/>
      <c r="F119" s="669"/>
      <c r="G119" s="717"/>
    </row>
    <row r="120" spans="1:7" ht="12" customHeight="1">
      <c r="A120" s="121">
        <v>1250</v>
      </c>
      <c r="B120" s="186" t="s">
        <v>203</v>
      </c>
      <c r="C120" s="600">
        <v>15000</v>
      </c>
      <c r="D120" s="600">
        <v>15000</v>
      </c>
      <c r="E120" s="669">
        <v>15000</v>
      </c>
      <c r="F120" s="669">
        <v>13784</v>
      </c>
      <c r="G120" s="717">
        <f t="shared" si="18"/>
        <v>0.9189333333333334</v>
      </c>
    </row>
    <row r="121" spans="1:7" ht="12" customHeight="1">
      <c r="A121" s="121">
        <v>1255</v>
      </c>
      <c r="B121" s="119" t="s">
        <v>206</v>
      </c>
      <c r="C121" s="600"/>
      <c r="D121" s="600"/>
      <c r="E121" s="669"/>
      <c r="F121" s="669"/>
      <c r="G121" s="717"/>
    </row>
    <row r="122" spans="1:7" ht="12" customHeight="1">
      <c r="A122" s="121">
        <v>1260</v>
      </c>
      <c r="B122" s="119" t="s">
        <v>207</v>
      </c>
      <c r="C122" s="669">
        <v>5100</v>
      </c>
      <c r="D122" s="669">
        <v>5100</v>
      </c>
      <c r="E122" s="669">
        <v>5100</v>
      </c>
      <c r="F122" s="669">
        <v>4541</v>
      </c>
      <c r="G122" s="717">
        <f t="shared" si="18"/>
        <v>0.8903921568627451</v>
      </c>
    </row>
    <row r="123" spans="1:7" ht="12" customHeight="1">
      <c r="A123" s="121">
        <v>1261</v>
      </c>
      <c r="B123" s="123" t="s">
        <v>208</v>
      </c>
      <c r="C123" s="600"/>
      <c r="D123" s="600"/>
      <c r="E123" s="669"/>
      <c r="F123" s="669"/>
      <c r="G123" s="717"/>
    </row>
    <row r="124" spans="1:7" ht="12" customHeight="1">
      <c r="A124" s="121">
        <v>1262</v>
      </c>
      <c r="B124" s="118" t="s">
        <v>413</v>
      </c>
      <c r="C124" s="669">
        <v>10</v>
      </c>
      <c r="D124" s="669">
        <v>10</v>
      </c>
      <c r="E124" s="669">
        <v>10</v>
      </c>
      <c r="F124" s="669">
        <v>11</v>
      </c>
      <c r="G124" s="717">
        <f t="shared" si="18"/>
        <v>1.1</v>
      </c>
    </row>
    <row r="125" spans="1:7" ht="12" customHeight="1" thickBot="1">
      <c r="A125" s="126">
        <v>1270</v>
      </c>
      <c r="B125" s="127" t="s">
        <v>209</v>
      </c>
      <c r="C125" s="871">
        <v>300</v>
      </c>
      <c r="D125" s="871">
        <v>300</v>
      </c>
      <c r="E125" s="871">
        <v>300</v>
      </c>
      <c r="F125" s="871">
        <v>479</v>
      </c>
      <c r="G125" s="853">
        <f t="shared" si="18"/>
        <v>1.5966666666666667</v>
      </c>
    </row>
    <row r="126" spans="1:7" ht="16.5" customHeight="1" thickBot="1">
      <c r="A126" s="138"/>
      <c r="B126" s="173" t="s">
        <v>324</v>
      </c>
      <c r="C126" s="608">
        <f aca="true" t="shared" si="39" ref="C126">SUM(C117+C120+C122+C124+C121+C125)</f>
        <v>27410</v>
      </c>
      <c r="D126" s="936">
        <f aca="true" t="shared" si="40" ref="D126:F126">SUM(D117+D120+D122+D124+D121+D125)</f>
        <v>27410</v>
      </c>
      <c r="E126" s="995">
        <f t="shared" si="40"/>
        <v>27410</v>
      </c>
      <c r="F126" s="995">
        <f t="shared" si="40"/>
        <v>25308</v>
      </c>
      <c r="G126" s="908">
        <f t="shared" si="18"/>
        <v>0.9233126596132798</v>
      </c>
    </row>
    <row r="127" spans="1:7" ht="12" customHeight="1">
      <c r="A127" s="136"/>
      <c r="B127" s="117"/>
      <c r="C127" s="874"/>
      <c r="D127" s="610"/>
      <c r="E127" s="991"/>
      <c r="F127" s="991"/>
      <c r="G127" s="900"/>
    </row>
    <row r="128" spans="1:7" ht="12" customHeight="1" thickBot="1">
      <c r="A128" s="137">
        <v>1280</v>
      </c>
      <c r="B128" s="143" t="s">
        <v>210</v>
      </c>
      <c r="C128" s="872"/>
      <c r="D128" s="872"/>
      <c r="E128" s="996"/>
      <c r="F128" s="996"/>
      <c r="G128" s="901"/>
    </row>
    <row r="129" spans="1:7" ht="15.75" customHeight="1" thickBot="1">
      <c r="A129" s="129"/>
      <c r="B129" s="223" t="s">
        <v>211</v>
      </c>
      <c r="C129" s="873"/>
      <c r="D129" s="873"/>
      <c r="E129" s="997"/>
      <c r="F129" s="997"/>
      <c r="G129" s="718"/>
    </row>
    <row r="130" spans="1:7" ht="15.75" customHeight="1" thickBot="1">
      <c r="A130" s="129"/>
      <c r="B130" s="205"/>
      <c r="C130" s="873"/>
      <c r="D130" s="873"/>
      <c r="E130" s="997"/>
      <c r="F130" s="997"/>
      <c r="G130" s="718"/>
    </row>
    <row r="131" spans="1:7" ht="15.75" customHeight="1" thickBot="1">
      <c r="A131" s="129"/>
      <c r="B131" s="226" t="s">
        <v>58</v>
      </c>
      <c r="C131" s="609">
        <f>SUM(C126+C129+C112)</f>
        <v>27410</v>
      </c>
      <c r="D131" s="609">
        <f>SUM(D126+D129+D112+D116)</f>
        <v>81287</v>
      </c>
      <c r="E131" s="998">
        <f>SUM(E126+E129+E112+E116)</f>
        <v>81287</v>
      </c>
      <c r="F131" s="998">
        <f>SUM(F126+F129+F112+F116)</f>
        <v>77161</v>
      </c>
      <c r="G131" s="718">
        <f t="shared" si="18"/>
        <v>0.9492415761437868</v>
      </c>
    </row>
    <row r="132" spans="1:7" ht="13.5" customHeight="1">
      <c r="A132" s="116"/>
      <c r="B132" s="205"/>
      <c r="C132" s="610"/>
      <c r="D132" s="610"/>
      <c r="E132" s="991"/>
      <c r="F132" s="991"/>
      <c r="G132" s="900"/>
    </row>
    <row r="133" spans="1:7" ht="12" customHeight="1">
      <c r="A133" s="121">
        <v>1285</v>
      </c>
      <c r="B133" s="119" t="s">
        <v>212</v>
      </c>
      <c r="C133" s="869"/>
      <c r="D133" s="869"/>
      <c r="E133" s="992"/>
      <c r="F133" s="992"/>
      <c r="G133" s="279"/>
    </row>
    <row r="134" spans="1:7" ht="12" customHeight="1" thickBot="1">
      <c r="A134" s="121">
        <v>1286</v>
      </c>
      <c r="B134" s="119" t="s">
        <v>418</v>
      </c>
      <c r="C134" s="872"/>
      <c r="D134" s="872"/>
      <c r="E134" s="996"/>
      <c r="F134" s="996"/>
      <c r="G134" s="901"/>
    </row>
    <row r="135" spans="1:7" ht="16.5" customHeight="1" thickBot="1">
      <c r="A135" s="129"/>
      <c r="B135" s="173" t="s">
        <v>394</v>
      </c>
      <c r="C135" s="873"/>
      <c r="D135" s="873"/>
      <c r="E135" s="997"/>
      <c r="F135" s="997"/>
      <c r="G135" s="718"/>
    </row>
    <row r="136" spans="1:7" ht="12.75" customHeight="1">
      <c r="A136" s="136"/>
      <c r="B136" s="225"/>
      <c r="C136" s="610"/>
      <c r="D136" s="610"/>
      <c r="E136" s="991"/>
      <c r="F136" s="991"/>
      <c r="G136" s="900"/>
    </row>
    <row r="137" spans="1:7" ht="12.75" customHeight="1" thickBot="1">
      <c r="A137" s="126">
        <v>1290</v>
      </c>
      <c r="B137" s="127" t="s">
        <v>224</v>
      </c>
      <c r="C137" s="867"/>
      <c r="D137" s="867"/>
      <c r="E137" s="738"/>
      <c r="F137" s="738">
        <v>60</v>
      </c>
      <c r="G137" s="901"/>
    </row>
    <row r="138" spans="1:7" ht="16.5" customHeight="1" thickBot="1">
      <c r="A138" s="138"/>
      <c r="B138" s="223" t="s">
        <v>217</v>
      </c>
      <c r="C138" s="604"/>
      <c r="D138" s="604"/>
      <c r="E138" s="987"/>
      <c r="F138" s="987">
        <f>F137</f>
        <v>60</v>
      </c>
      <c r="G138" s="718"/>
    </row>
    <row r="139" spans="1:7" ht="9" customHeight="1">
      <c r="A139" s="136"/>
      <c r="B139" s="225"/>
      <c r="C139" s="610"/>
      <c r="D139" s="610"/>
      <c r="E139" s="991"/>
      <c r="F139" s="991"/>
      <c r="G139" s="900"/>
    </row>
    <row r="140" spans="1:7" ht="12.9" customHeight="1">
      <c r="A140" s="114"/>
      <c r="B140" s="124" t="s">
        <v>396</v>
      </c>
      <c r="C140" s="869"/>
      <c r="D140" s="869"/>
      <c r="E140" s="992"/>
      <c r="F140" s="992"/>
      <c r="G140" s="279"/>
    </row>
    <row r="141" spans="1:7" ht="13.5" customHeight="1" thickBot="1">
      <c r="A141" s="126">
        <v>1291</v>
      </c>
      <c r="B141" s="643" t="s">
        <v>56</v>
      </c>
      <c r="C141" s="867">
        <v>4000</v>
      </c>
      <c r="D141" s="867">
        <v>4000</v>
      </c>
      <c r="E141" s="738">
        <v>4000</v>
      </c>
      <c r="F141" s="738">
        <v>3071</v>
      </c>
      <c r="G141" s="853">
        <f aca="true" t="shared" si="41" ref="G141:G204">SUM(F141/E141)</f>
        <v>0.76775</v>
      </c>
    </row>
    <row r="142" spans="1:7" ht="16.5" customHeight="1" thickBot="1">
      <c r="A142" s="129"/>
      <c r="B142" s="173" t="s">
        <v>222</v>
      </c>
      <c r="C142" s="611">
        <f aca="true" t="shared" si="42" ref="C142">SUM(C141)</f>
        <v>4000</v>
      </c>
      <c r="D142" s="611">
        <f aca="true" t="shared" si="43" ref="D142:F142">SUM(D141)</f>
        <v>4000</v>
      </c>
      <c r="E142" s="999">
        <f t="shared" si="43"/>
        <v>4000</v>
      </c>
      <c r="F142" s="999">
        <f t="shared" si="43"/>
        <v>3071</v>
      </c>
      <c r="G142" s="718">
        <f t="shared" si="41"/>
        <v>0.76775</v>
      </c>
    </row>
    <row r="143" spans="1:9" ht="12.75" customHeight="1">
      <c r="A143" s="136"/>
      <c r="B143" s="225"/>
      <c r="C143" s="598"/>
      <c r="D143" s="598"/>
      <c r="E143" s="982"/>
      <c r="F143" s="982"/>
      <c r="G143" s="900"/>
      <c r="I143" s="102">
        <f>SUM(I141-I142)</f>
        <v>0</v>
      </c>
    </row>
    <row r="144" spans="1:7" ht="12.75" customHeight="1">
      <c r="A144" s="121">
        <v>1292</v>
      </c>
      <c r="B144" s="119" t="s">
        <v>397</v>
      </c>
      <c r="C144" s="600"/>
      <c r="D144" s="600">
        <v>303954</v>
      </c>
      <c r="E144" s="669">
        <v>303954</v>
      </c>
      <c r="F144" s="669">
        <v>303954</v>
      </c>
      <c r="G144" s="717">
        <f t="shared" si="41"/>
        <v>1</v>
      </c>
    </row>
    <row r="145" spans="1:7" ht="12.75" customHeight="1" thickBot="1">
      <c r="A145" s="121">
        <v>1293</v>
      </c>
      <c r="B145" s="119" t="s">
        <v>430</v>
      </c>
      <c r="C145" s="867">
        <v>2022137</v>
      </c>
      <c r="D145" s="867">
        <v>2521179</v>
      </c>
      <c r="E145" s="738">
        <f>2521179+184+20000</f>
        <v>2541363</v>
      </c>
      <c r="F145" s="738">
        <v>1413277</v>
      </c>
      <c r="G145" s="853">
        <f t="shared" si="41"/>
        <v>0.5561098512884621</v>
      </c>
    </row>
    <row r="146" spans="1:7" ht="17.25" customHeight="1" thickBot="1">
      <c r="A146" s="129"/>
      <c r="B146" s="173" t="s">
        <v>37</v>
      </c>
      <c r="C146" s="611">
        <f aca="true" t="shared" si="44" ref="C146">SUM(C144:C145)</f>
        <v>2022137</v>
      </c>
      <c r="D146" s="611">
        <f aca="true" t="shared" si="45" ref="D146:F146">SUM(D144:D145)</f>
        <v>2825133</v>
      </c>
      <c r="E146" s="999">
        <f t="shared" si="45"/>
        <v>2845317</v>
      </c>
      <c r="F146" s="999">
        <f t="shared" si="45"/>
        <v>1717231</v>
      </c>
      <c r="G146" s="718">
        <f t="shared" si="41"/>
        <v>0.6035288862365775</v>
      </c>
    </row>
    <row r="147" spans="1:7" ht="12" customHeight="1">
      <c r="A147" s="136"/>
      <c r="B147" s="192"/>
      <c r="C147" s="598"/>
      <c r="D147" s="598"/>
      <c r="E147" s="982"/>
      <c r="F147" s="982"/>
      <c r="G147" s="900"/>
    </row>
    <row r="148" spans="1:7" ht="12" customHeight="1" thickBot="1">
      <c r="A148" s="121">
        <v>1294</v>
      </c>
      <c r="B148" s="119" t="s">
        <v>398</v>
      </c>
      <c r="C148" s="867"/>
      <c r="D148" s="867">
        <v>11313</v>
      </c>
      <c r="E148" s="738">
        <v>11313</v>
      </c>
      <c r="F148" s="738">
        <v>11313</v>
      </c>
      <c r="G148" s="853">
        <f t="shared" si="41"/>
        <v>1</v>
      </c>
    </row>
    <row r="149" spans="1:7" ht="17.25" customHeight="1" thickBot="1">
      <c r="A149" s="129"/>
      <c r="B149" s="233" t="s">
        <v>223</v>
      </c>
      <c r="C149" s="604"/>
      <c r="D149" s="604">
        <f>D148</f>
        <v>11313</v>
      </c>
      <c r="E149" s="987">
        <f>E148</f>
        <v>11313</v>
      </c>
      <c r="F149" s="987">
        <f>F148</f>
        <v>11313</v>
      </c>
      <c r="G149" s="718">
        <f t="shared" si="41"/>
        <v>1</v>
      </c>
    </row>
    <row r="150" spans="1:7" ht="12" customHeight="1" thickBot="1">
      <c r="A150" s="129"/>
      <c r="B150" s="120"/>
      <c r="C150" s="876"/>
      <c r="D150" s="876"/>
      <c r="E150" s="1000"/>
      <c r="F150" s="1000"/>
      <c r="G150" s="718"/>
    </row>
    <row r="151" spans="1:7" ht="18" customHeight="1" thickBot="1">
      <c r="A151" s="129"/>
      <c r="B151" s="228" t="s">
        <v>322</v>
      </c>
      <c r="C151" s="608">
        <f>SUM(C149+C146+C131+C138+C142)</f>
        <v>2053547</v>
      </c>
      <c r="D151" s="608">
        <f>SUM(D149+D146+D131+D138+D142)</f>
        <v>2921733</v>
      </c>
      <c r="E151" s="990">
        <f>SUM(E149+E146+E131+E138+E142)</f>
        <v>2941917</v>
      </c>
      <c r="F151" s="990">
        <f>SUM(F149+F146+F131+F138+F142)</f>
        <v>1808836</v>
      </c>
      <c r="G151" s="718">
        <f t="shared" si="41"/>
        <v>0.6148494332097064</v>
      </c>
    </row>
    <row r="152" spans="1:7" s="104" customFormat="1" ht="12">
      <c r="A152" s="134"/>
      <c r="B152" s="135"/>
      <c r="C152" s="612"/>
      <c r="D152" s="612"/>
      <c r="E152" s="988"/>
      <c r="F152" s="988"/>
      <c r="G152" s="900"/>
    </row>
    <row r="153" spans="1:8" s="104" customFormat="1" ht="13.8">
      <c r="A153" s="122"/>
      <c r="B153" s="209" t="s">
        <v>288</v>
      </c>
      <c r="C153" s="612"/>
      <c r="D153" s="612"/>
      <c r="E153" s="988"/>
      <c r="F153" s="988"/>
      <c r="G153" s="279"/>
      <c r="H153" s="291"/>
    </row>
    <row r="154" spans="1:7" s="104" customFormat="1" ht="13.8">
      <c r="A154" s="122"/>
      <c r="B154" s="209"/>
      <c r="C154" s="612"/>
      <c r="D154" s="612"/>
      <c r="E154" s="988"/>
      <c r="F154" s="988"/>
      <c r="G154" s="279"/>
    </row>
    <row r="155" spans="1:7" s="104" customFormat="1" ht="12">
      <c r="A155" s="121">
        <v>1301</v>
      </c>
      <c r="B155" s="119" t="s">
        <v>192</v>
      </c>
      <c r="C155" s="613"/>
      <c r="D155" s="613"/>
      <c r="E155" s="760"/>
      <c r="F155" s="760"/>
      <c r="G155" s="279"/>
    </row>
    <row r="156" spans="1:7" s="104" customFormat="1" ht="12.6" thickBot="1">
      <c r="A156" s="126">
        <v>1302</v>
      </c>
      <c r="B156" s="127" t="s">
        <v>387</v>
      </c>
      <c r="C156" s="614"/>
      <c r="D156" s="614"/>
      <c r="E156" s="956"/>
      <c r="F156" s="956"/>
      <c r="G156" s="901"/>
    </row>
    <row r="157" spans="1:7" s="104" customFormat="1" ht="12.6" thickBot="1">
      <c r="A157" s="129"/>
      <c r="B157" s="128" t="s">
        <v>395</v>
      </c>
      <c r="C157" s="604"/>
      <c r="D157" s="604"/>
      <c r="E157" s="987"/>
      <c r="F157" s="987"/>
      <c r="G157" s="718"/>
    </row>
    <row r="158" spans="1:7" s="104" customFormat="1" ht="12">
      <c r="A158" s="116"/>
      <c r="B158" s="115"/>
      <c r="C158" s="612"/>
      <c r="D158" s="612"/>
      <c r="E158" s="988"/>
      <c r="F158" s="988"/>
      <c r="G158" s="900"/>
    </row>
    <row r="159" spans="1:7" s="104" customFormat="1" ht="13.2">
      <c r="A159" s="114"/>
      <c r="B159" s="567" t="s">
        <v>167</v>
      </c>
      <c r="C159" s="599"/>
      <c r="D159" s="599"/>
      <c r="E159" s="670"/>
      <c r="F159" s="670"/>
      <c r="G159" s="279"/>
    </row>
    <row r="160" spans="1:7" s="104" customFormat="1" ht="12">
      <c r="A160" s="121">
        <v>1305</v>
      </c>
      <c r="B160" s="186" t="s">
        <v>9</v>
      </c>
      <c r="C160" s="740">
        <v>15000</v>
      </c>
      <c r="D160" s="740">
        <v>3951</v>
      </c>
      <c r="E160" s="740">
        <v>3951</v>
      </c>
      <c r="F160" s="740">
        <f>'3b.m.'!F16</f>
        <v>3951</v>
      </c>
      <c r="G160" s="717">
        <f t="shared" si="41"/>
        <v>1</v>
      </c>
    </row>
    <row r="161" spans="1:7" s="104" customFormat="1" ht="12.6" thickBot="1">
      <c r="A161" s="137">
        <v>1306</v>
      </c>
      <c r="B161" s="278" t="s">
        <v>474</v>
      </c>
      <c r="C161" s="739">
        <v>20000</v>
      </c>
      <c r="D161" s="739">
        <v>9206</v>
      </c>
      <c r="E161" s="739">
        <v>9206</v>
      </c>
      <c r="F161" s="740">
        <f>'3b.m.'!F17</f>
        <v>9206</v>
      </c>
      <c r="G161" s="853">
        <f t="shared" si="41"/>
        <v>1</v>
      </c>
    </row>
    <row r="162" spans="1:7" s="104" customFormat="1" ht="14.4" thickBot="1">
      <c r="A162" s="137"/>
      <c r="B162" s="568" t="s">
        <v>201</v>
      </c>
      <c r="C162" s="615">
        <f aca="true" t="shared" si="46" ref="C162">SUM(C160:C161)</f>
        <v>35000</v>
      </c>
      <c r="D162" s="615">
        <f aca="true" t="shared" si="47" ref="D162:F162">SUM(D160:D161)</f>
        <v>13157</v>
      </c>
      <c r="E162" s="994">
        <f t="shared" si="47"/>
        <v>13157</v>
      </c>
      <c r="F162" s="994">
        <f t="shared" si="47"/>
        <v>13157</v>
      </c>
      <c r="G162" s="718">
        <f t="shared" si="41"/>
        <v>1</v>
      </c>
    </row>
    <row r="163" spans="1:7" s="104" customFormat="1" ht="12">
      <c r="A163" s="116"/>
      <c r="B163" s="115"/>
      <c r="C163" s="612"/>
      <c r="D163" s="612"/>
      <c r="E163" s="988"/>
      <c r="F163" s="988"/>
      <c r="G163" s="900"/>
    </row>
    <row r="164" spans="1:7" s="104" customFormat="1" ht="12">
      <c r="A164" s="114">
        <v>1310</v>
      </c>
      <c r="B164" s="224" t="s">
        <v>202</v>
      </c>
      <c r="C164" s="599"/>
      <c r="D164" s="599"/>
      <c r="E164" s="670"/>
      <c r="F164" s="670"/>
      <c r="G164" s="279"/>
    </row>
    <row r="165" spans="1:7" s="104" customFormat="1" ht="12">
      <c r="A165" s="121">
        <v>1311</v>
      </c>
      <c r="B165" s="119" t="s">
        <v>86</v>
      </c>
      <c r="C165" s="616"/>
      <c r="D165" s="616"/>
      <c r="E165" s="1001"/>
      <c r="F165" s="1001"/>
      <c r="G165" s="279"/>
    </row>
    <row r="166" spans="1:7" s="104" customFormat="1" ht="12">
      <c r="A166" s="121">
        <v>1312</v>
      </c>
      <c r="B166" s="119" t="s">
        <v>87</v>
      </c>
      <c r="C166" s="616"/>
      <c r="D166" s="616"/>
      <c r="E166" s="1001"/>
      <c r="F166" s="1001"/>
      <c r="G166" s="279"/>
    </row>
    <row r="167" spans="1:7" s="104" customFormat="1" ht="12">
      <c r="A167" s="121">
        <v>1320</v>
      </c>
      <c r="B167" s="186" t="s">
        <v>203</v>
      </c>
      <c r="C167" s="613"/>
      <c r="D167" s="613">
        <v>188</v>
      </c>
      <c r="E167" s="760">
        <v>188</v>
      </c>
      <c r="F167" s="760">
        <f>'3b.m.'!F22</f>
        <v>188</v>
      </c>
      <c r="G167" s="717">
        <f t="shared" si="41"/>
        <v>1</v>
      </c>
    </row>
    <row r="168" spans="1:7" s="104" customFormat="1" ht="12">
      <c r="A168" s="121">
        <v>1321</v>
      </c>
      <c r="B168" s="119" t="s">
        <v>206</v>
      </c>
      <c r="C168" s="613"/>
      <c r="D168" s="613"/>
      <c r="E168" s="760"/>
      <c r="F168" s="760">
        <f>'3b.m.'!F23</f>
        <v>0</v>
      </c>
      <c r="G168" s="717"/>
    </row>
    <row r="169" spans="1:7" s="104" customFormat="1" ht="12">
      <c r="A169" s="121">
        <v>1322</v>
      </c>
      <c r="B169" s="119" t="s">
        <v>207</v>
      </c>
      <c r="C169" s="613"/>
      <c r="D169" s="613"/>
      <c r="E169" s="760"/>
      <c r="F169" s="760"/>
      <c r="G169" s="717"/>
    </row>
    <row r="170" spans="1:7" s="104" customFormat="1" ht="12">
      <c r="A170" s="121">
        <v>1323</v>
      </c>
      <c r="B170" s="123" t="s">
        <v>208</v>
      </c>
      <c r="C170" s="613"/>
      <c r="D170" s="613">
        <v>12</v>
      </c>
      <c r="E170" s="760">
        <v>12</v>
      </c>
      <c r="F170" s="760">
        <v>12</v>
      </c>
      <c r="G170" s="717">
        <f t="shared" si="41"/>
        <v>1</v>
      </c>
    </row>
    <row r="171" spans="1:7" s="104" customFormat="1" ht="12">
      <c r="A171" s="121">
        <v>1324</v>
      </c>
      <c r="B171" s="118" t="s">
        <v>413</v>
      </c>
      <c r="C171" s="613"/>
      <c r="D171" s="613">
        <v>2</v>
      </c>
      <c r="E171" s="760">
        <v>2</v>
      </c>
      <c r="F171" s="760">
        <f>'3b.m.'!F25</f>
        <v>2</v>
      </c>
      <c r="G171" s="717">
        <f t="shared" si="41"/>
        <v>1</v>
      </c>
    </row>
    <row r="172" spans="1:7" s="104" customFormat="1" ht="12.6" thickBot="1">
      <c r="A172" s="126">
        <v>1325</v>
      </c>
      <c r="B172" s="127" t="s">
        <v>209</v>
      </c>
      <c r="C172" s="617"/>
      <c r="D172" s="617">
        <v>217</v>
      </c>
      <c r="E172" s="890">
        <v>217</v>
      </c>
      <c r="F172" s="890">
        <f>'3b.m.'!F26</f>
        <v>217</v>
      </c>
      <c r="G172" s="853">
        <f t="shared" si="41"/>
        <v>1</v>
      </c>
    </row>
    <row r="173" spans="1:7" s="104" customFormat="1" ht="14.4" thickBot="1">
      <c r="A173" s="138"/>
      <c r="B173" s="173" t="s">
        <v>324</v>
      </c>
      <c r="C173" s="604"/>
      <c r="D173" s="604">
        <f>SUM(D167:D172)</f>
        <v>419</v>
      </c>
      <c r="E173" s="987">
        <f>SUM(E167:E172)</f>
        <v>419</v>
      </c>
      <c r="F173" s="987">
        <f>SUM(F167:F172)</f>
        <v>419</v>
      </c>
      <c r="G173" s="718">
        <f t="shared" si="41"/>
        <v>1</v>
      </c>
    </row>
    <row r="174" spans="1:7" s="104" customFormat="1" ht="12">
      <c r="A174" s="136"/>
      <c r="B174" s="117"/>
      <c r="C174" s="610"/>
      <c r="D174" s="610"/>
      <c r="E174" s="991"/>
      <c r="F174" s="991"/>
      <c r="G174" s="900"/>
    </row>
    <row r="175" spans="1:7" s="104" customFormat="1" ht="12.6" thickBot="1">
      <c r="A175" s="137">
        <v>1330</v>
      </c>
      <c r="B175" s="143" t="s">
        <v>210</v>
      </c>
      <c r="C175" s="877"/>
      <c r="D175" s="877"/>
      <c r="E175" s="1002"/>
      <c r="F175" s="1002"/>
      <c r="G175" s="901"/>
    </row>
    <row r="176" spans="1:7" s="104" customFormat="1" ht="14.4" thickBot="1">
      <c r="A176" s="129"/>
      <c r="B176" s="223" t="s">
        <v>211</v>
      </c>
      <c r="C176" s="873"/>
      <c r="D176" s="873"/>
      <c r="E176" s="997"/>
      <c r="F176" s="997"/>
      <c r="G176" s="718"/>
    </row>
    <row r="177" spans="1:7" s="104" customFormat="1" ht="14.4" thickBot="1">
      <c r="A177" s="129"/>
      <c r="B177" s="205"/>
      <c r="C177" s="878"/>
      <c r="D177" s="878"/>
      <c r="E177" s="1003"/>
      <c r="F177" s="1003"/>
      <c r="G177" s="718"/>
    </row>
    <row r="178" spans="1:7" s="104" customFormat="1" ht="16.2" thickBot="1">
      <c r="A178" s="129"/>
      <c r="B178" s="226" t="s">
        <v>58</v>
      </c>
      <c r="C178" s="875">
        <f aca="true" t="shared" si="48" ref="C178">SUM(C162+C173)</f>
        <v>35000</v>
      </c>
      <c r="D178" s="875">
        <f aca="true" t="shared" si="49" ref="D178:F178">SUM(D162+D173)</f>
        <v>13576</v>
      </c>
      <c r="E178" s="1004">
        <f t="shared" si="49"/>
        <v>13576</v>
      </c>
      <c r="F178" s="1004">
        <f t="shared" si="49"/>
        <v>13576</v>
      </c>
      <c r="G178" s="718">
        <f t="shared" si="41"/>
        <v>1</v>
      </c>
    </row>
    <row r="179" spans="1:7" s="104" customFormat="1" ht="13.8">
      <c r="A179" s="116"/>
      <c r="B179" s="205"/>
      <c r="C179" s="610"/>
      <c r="D179" s="610"/>
      <c r="E179" s="991"/>
      <c r="F179" s="991"/>
      <c r="G179" s="900"/>
    </row>
    <row r="180" spans="1:7" s="104" customFormat="1" ht="12">
      <c r="A180" s="121">
        <v>1335</v>
      </c>
      <c r="B180" s="119" t="s">
        <v>212</v>
      </c>
      <c r="C180" s="869"/>
      <c r="D180" s="869"/>
      <c r="E180" s="992"/>
      <c r="F180" s="992"/>
      <c r="G180" s="279"/>
    </row>
    <row r="181" spans="1:7" s="104" customFormat="1" ht="12.6" thickBot="1">
      <c r="A181" s="121">
        <v>1336</v>
      </c>
      <c r="B181" s="119" t="s">
        <v>420</v>
      </c>
      <c r="C181" s="877"/>
      <c r="D181" s="877"/>
      <c r="E181" s="1002"/>
      <c r="F181" s="1002"/>
      <c r="G181" s="901"/>
    </row>
    <row r="182" spans="1:7" s="104" customFormat="1" ht="14.4" thickBot="1">
      <c r="A182" s="129"/>
      <c r="B182" s="173" t="s">
        <v>394</v>
      </c>
      <c r="C182" s="873"/>
      <c r="D182" s="873"/>
      <c r="E182" s="997"/>
      <c r="F182" s="997"/>
      <c r="G182" s="718"/>
    </row>
    <row r="183" spans="1:7" s="104" customFormat="1" ht="12.6" thickBot="1">
      <c r="A183" s="139">
        <v>1340</v>
      </c>
      <c r="B183" s="241" t="s">
        <v>224</v>
      </c>
      <c r="C183" s="873"/>
      <c r="D183" s="873"/>
      <c r="E183" s="997"/>
      <c r="F183" s="997"/>
      <c r="G183" s="718"/>
    </row>
    <row r="184" spans="1:7" s="104" customFormat="1" ht="14.4" thickBot="1">
      <c r="A184" s="138"/>
      <c r="B184" s="223" t="s">
        <v>217</v>
      </c>
      <c r="C184" s="878"/>
      <c r="D184" s="878"/>
      <c r="E184" s="1003"/>
      <c r="F184" s="1003"/>
      <c r="G184" s="718"/>
    </row>
    <row r="185" spans="1:7" s="104" customFormat="1" ht="12">
      <c r="A185" s="649"/>
      <c r="B185" s="125"/>
      <c r="C185" s="870"/>
      <c r="D185" s="870"/>
      <c r="E185" s="993"/>
      <c r="F185" s="993"/>
      <c r="G185" s="900"/>
    </row>
    <row r="186" spans="1:7" s="104" customFormat="1" ht="12.6" thickBot="1">
      <c r="A186" s="126">
        <v>1345</v>
      </c>
      <c r="B186" s="127" t="s">
        <v>221</v>
      </c>
      <c r="C186" s="877"/>
      <c r="D186" s="877"/>
      <c r="E186" s="1002"/>
      <c r="F186" s="1002"/>
      <c r="G186" s="901"/>
    </row>
    <row r="187" spans="1:7" s="104" customFormat="1" ht="14.4" thickBot="1">
      <c r="A187" s="138"/>
      <c r="B187" s="223" t="s">
        <v>222</v>
      </c>
      <c r="C187" s="878"/>
      <c r="D187" s="878"/>
      <c r="E187" s="1003"/>
      <c r="F187" s="1003"/>
      <c r="G187" s="718"/>
    </row>
    <row r="188" spans="1:7" s="104" customFormat="1" ht="13.8">
      <c r="A188" s="136"/>
      <c r="B188" s="225"/>
      <c r="C188" s="598"/>
      <c r="D188" s="598"/>
      <c r="E188" s="982"/>
      <c r="F188" s="982"/>
      <c r="G188" s="900"/>
    </row>
    <row r="189" spans="1:7" s="104" customFormat="1" ht="12">
      <c r="A189" s="121">
        <v>1350</v>
      </c>
      <c r="B189" s="119" t="s">
        <v>397</v>
      </c>
      <c r="C189" s="600"/>
      <c r="D189" s="600">
        <v>70330</v>
      </c>
      <c r="E189" s="669">
        <v>70330</v>
      </c>
      <c r="F189" s="669">
        <v>70330</v>
      </c>
      <c r="G189" s="717">
        <f t="shared" si="41"/>
        <v>1</v>
      </c>
    </row>
    <row r="190" spans="1:7" s="104" customFormat="1" ht="12">
      <c r="A190" s="121">
        <v>1351</v>
      </c>
      <c r="B190" s="119" t="s">
        <v>430</v>
      </c>
      <c r="C190" s="600">
        <v>625000</v>
      </c>
      <c r="D190" s="600">
        <v>111500</v>
      </c>
      <c r="E190" s="669">
        <v>111500</v>
      </c>
      <c r="F190" s="669">
        <v>111500</v>
      </c>
      <c r="G190" s="717">
        <f t="shared" si="41"/>
        <v>1</v>
      </c>
    </row>
    <row r="191" spans="1:7" s="104" customFormat="1" ht="12.6" thickBot="1">
      <c r="A191" s="137">
        <v>1352</v>
      </c>
      <c r="B191" s="125" t="s">
        <v>410</v>
      </c>
      <c r="C191" s="603"/>
      <c r="D191" s="603"/>
      <c r="E191" s="871"/>
      <c r="F191" s="871"/>
      <c r="G191" s="901"/>
    </row>
    <row r="192" spans="1:7" s="104" customFormat="1" ht="14.4" thickBot="1">
      <c r="A192" s="129"/>
      <c r="B192" s="173" t="s">
        <v>37</v>
      </c>
      <c r="C192" s="604">
        <f aca="true" t="shared" si="50" ref="C192">SUM(C189:C191)</f>
        <v>625000</v>
      </c>
      <c r="D192" s="604">
        <f aca="true" t="shared" si="51" ref="D192:F192">SUM(D189:D191)</f>
        <v>181830</v>
      </c>
      <c r="E192" s="987">
        <f t="shared" si="51"/>
        <v>181830</v>
      </c>
      <c r="F192" s="987">
        <f t="shared" si="51"/>
        <v>181830</v>
      </c>
      <c r="G192" s="718">
        <f t="shared" si="41"/>
        <v>1</v>
      </c>
    </row>
    <row r="193" spans="1:7" s="104" customFormat="1" ht="12">
      <c r="A193" s="136"/>
      <c r="B193" s="192"/>
      <c r="C193" s="598"/>
      <c r="D193" s="598"/>
      <c r="E193" s="982"/>
      <c r="F193" s="982"/>
      <c r="G193" s="900"/>
    </row>
    <row r="194" spans="1:7" s="104" customFormat="1" ht="12.6" thickBot="1">
      <c r="A194" s="121">
        <v>1355</v>
      </c>
      <c r="B194" s="119" t="s">
        <v>398</v>
      </c>
      <c r="C194" s="867"/>
      <c r="D194" s="867">
        <v>8684</v>
      </c>
      <c r="E194" s="738">
        <v>8684</v>
      </c>
      <c r="F194" s="738">
        <v>8684</v>
      </c>
      <c r="G194" s="901">
        <f t="shared" si="41"/>
        <v>1</v>
      </c>
    </row>
    <row r="195" spans="1:7" s="104" customFormat="1" ht="14.4" thickBot="1">
      <c r="A195" s="129"/>
      <c r="B195" s="233" t="s">
        <v>223</v>
      </c>
      <c r="C195" s="604"/>
      <c r="D195" s="604">
        <f>SUM(D194)</f>
        <v>8684</v>
      </c>
      <c r="E195" s="987">
        <f>SUM(E194)</f>
        <v>8684</v>
      </c>
      <c r="F195" s="987">
        <f>SUM(F194)</f>
        <v>8684</v>
      </c>
      <c r="G195" s="718">
        <f t="shared" si="41"/>
        <v>1</v>
      </c>
    </row>
    <row r="196" spans="1:7" s="104" customFormat="1" ht="12.6" thickBot="1">
      <c r="A196" s="129"/>
      <c r="B196" s="120"/>
      <c r="C196" s="605"/>
      <c r="D196" s="605"/>
      <c r="E196" s="984"/>
      <c r="F196" s="984"/>
      <c r="G196" s="718"/>
    </row>
    <row r="197" spans="1:7" s="104" customFormat="1" ht="16.2" thickBot="1">
      <c r="A197" s="129"/>
      <c r="B197" s="228" t="s">
        <v>60</v>
      </c>
      <c r="C197" s="879">
        <f aca="true" t="shared" si="52" ref="C197">SUM(C195+C192+C178)</f>
        <v>660000</v>
      </c>
      <c r="D197" s="879">
        <f aca="true" t="shared" si="53" ref="D197:F197">SUM(D195+D192+D178)</f>
        <v>204090</v>
      </c>
      <c r="E197" s="983">
        <f t="shared" si="53"/>
        <v>204090</v>
      </c>
      <c r="F197" s="983">
        <f t="shared" si="53"/>
        <v>204090</v>
      </c>
      <c r="G197" s="718">
        <f t="shared" si="41"/>
        <v>1</v>
      </c>
    </row>
    <row r="198" spans="1:7" s="104" customFormat="1" ht="12" customHeight="1">
      <c r="A198" s="136"/>
      <c r="B198" s="234"/>
      <c r="C198" s="612"/>
      <c r="D198" s="612"/>
      <c r="E198" s="988"/>
      <c r="F198" s="988"/>
      <c r="G198" s="900"/>
    </row>
    <row r="199" spans="1:7" s="104" customFormat="1" ht="15" customHeight="1">
      <c r="A199" s="114"/>
      <c r="B199" s="231" t="s">
        <v>41</v>
      </c>
      <c r="C199" s="599"/>
      <c r="D199" s="599"/>
      <c r="E199" s="670"/>
      <c r="F199" s="670"/>
      <c r="G199" s="279"/>
    </row>
    <row r="200" spans="1:7" s="104" customFormat="1" ht="12.75" customHeight="1">
      <c r="A200" s="114"/>
      <c r="B200" s="235"/>
      <c r="C200" s="599"/>
      <c r="D200" s="599"/>
      <c r="E200" s="670"/>
      <c r="F200" s="670"/>
      <c r="G200" s="279"/>
    </row>
    <row r="201" spans="1:7" s="104" customFormat="1" ht="12">
      <c r="A201" s="121">
        <v>1400</v>
      </c>
      <c r="B201" s="119" t="s">
        <v>192</v>
      </c>
      <c r="C201" s="869"/>
      <c r="D201" s="869"/>
      <c r="E201" s="992"/>
      <c r="F201" s="992"/>
      <c r="G201" s="279"/>
    </row>
    <row r="202" spans="1:7" s="104" customFormat="1" ht="12.6" thickBot="1">
      <c r="A202" s="126">
        <v>1401</v>
      </c>
      <c r="B202" s="127" t="s">
        <v>387</v>
      </c>
      <c r="C202" s="603">
        <f>'2.mell'!C590</f>
        <v>0</v>
      </c>
      <c r="D202" s="603">
        <f>'2.mell'!D590</f>
        <v>0</v>
      </c>
      <c r="E202" s="871">
        <f>'2.mell'!E589</f>
        <v>285</v>
      </c>
      <c r="F202" s="871">
        <f>'2.mell'!F589</f>
        <v>685</v>
      </c>
      <c r="G202" s="901">
        <f t="shared" si="41"/>
        <v>2.4035087719298245</v>
      </c>
    </row>
    <row r="203" spans="1:7" s="104" customFormat="1" ht="12.6" thickBot="1">
      <c r="A203" s="129"/>
      <c r="B203" s="128" t="s">
        <v>395</v>
      </c>
      <c r="C203" s="607">
        <f aca="true" t="shared" si="54" ref="C203">SUM(C202)</f>
        <v>0</v>
      </c>
      <c r="D203" s="607">
        <f aca="true" t="shared" si="55" ref="D203:E203">SUM(D202)</f>
        <v>0</v>
      </c>
      <c r="E203" s="671">
        <f t="shared" si="55"/>
        <v>285</v>
      </c>
      <c r="F203" s="671">
        <f aca="true" t="shared" si="56" ref="F203">SUM(F202)</f>
        <v>685</v>
      </c>
      <c r="G203" s="718">
        <f t="shared" si="41"/>
        <v>2.4035087719298245</v>
      </c>
    </row>
    <row r="204" spans="1:7" s="104" customFormat="1" ht="12">
      <c r="A204" s="134">
        <v>1409</v>
      </c>
      <c r="B204" s="125" t="s">
        <v>382</v>
      </c>
      <c r="C204" s="645">
        <f>SUM('2.mell'!I591)</f>
        <v>0</v>
      </c>
      <c r="D204" s="612">
        <f>SUM('2.mell'!J591)</f>
        <v>0</v>
      </c>
      <c r="E204" s="988">
        <f>'2.mell'!E591</f>
        <v>7</v>
      </c>
      <c r="F204" s="988">
        <f>'2.mell'!F591</f>
        <v>27</v>
      </c>
      <c r="G204" s="900">
        <f t="shared" si="41"/>
        <v>3.857142857142857</v>
      </c>
    </row>
    <row r="205" spans="1:7" s="104" customFormat="1" ht="12">
      <c r="A205" s="116">
        <v>1410</v>
      </c>
      <c r="B205" s="224" t="s">
        <v>202</v>
      </c>
      <c r="C205" s="612">
        <f aca="true" t="shared" si="57" ref="C205">SUM(C206:C207)</f>
        <v>65571</v>
      </c>
      <c r="D205" s="612">
        <f aca="true" t="shared" si="58" ref="D205">SUM(D206:D207)</f>
        <v>65571</v>
      </c>
      <c r="E205" s="988">
        <f aca="true" t="shared" si="59" ref="E205:F205">SUM(E206:E207)</f>
        <v>54300</v>
      </c>
      <c r="F205" s="988">
        <f t="shared" si="59"/>
        <v>45174</v>
      </c>
      <c r="G205" s="279">
        <f aca="true" t="shared" si="60" ref="G205:G267">SUM(F205/E205)</f>
        <v>0.8319337016574586</v>
      </c>
    </row>
    <row r="206" spans="1:7" s="104" customFormat="1" ht="12">
      <c r="A206" s="121">
        <v>1411</v>
      </c>
      <c r="B206" s="119" t="s">
        <v>86</v>
      </c>
      <c r="C206" s="669">
        <f>SUM('2.mell'!C593)</f>
        <v>23813</v>
      </c>
      <c r="D206" s="669">
        <f>SUM('2.mell'!D593)</f>
        <v>23813</v>
      </c>
      <c r="E206" s="669">
        <f>SUM('2.mell'!E593)</f>
        <v>12542</v>
      </c>
      <c r="F206" s="669">
        <f>SUM('2.mell'!F593)</f>
        <v>12497</v>
      </c>
      <c r="G206" s="717">
        <f t="shared" si="60"/>
        <v>0.9964120554935417</v>
      </c>
    </row>
    <row r="207" spans="1:7" s="104" customFormat="1" ht="12">
      <c r="A207" s="121">
        <v>1412</v>
      </c>
      <c r="B207" s="119" t="s">
        <v>87</v>
      </c>
      <c r="C207" s="669">
        <f>SUM('2.mell'!C594)</f>
        <v>41758</v>
      </c>
      <c r="D207" s="669">
        <f>SUM('2.mell'!D594)</f>
        <v>41758</v>
      </c>
      <c r="E207" s="669">
        <f>SUM('2.mell'!E594)</f>
        <v>41758</v>
      </c>
      <c r="F207" s="669">
        <f>SUM('2.mell'!F594)</f>
        <v>32677</v>
      </c>
      <c r="G207" s="717">
        <f t="shared" si="60"/>
        <v>0.7825326883471431</v>
      </c>
    </row>
    <row r="208" spans="1:7" s="104" customFormat="1" ht="12">
      <c r="A208" s="121">
        <v>1420</v>
      </c>
      <c r="B208" s="186" t="s">
        <v>203</v>
      </c>
      <c r="C208" s="669">
        <f>SUM('2.mell'!C595)</f>
        <v>9838</v>
      </c>
      <c r="D208" s="669">
        <f>SUM('2.mell'!D595)</f>
        <v>9838</v>
      </c>
      <c r="E208" s="669">
        <f>SUM('2.mell'!E595)</f>
        <v>10279</v>
      </c>
      <c r="F208" s="669">
        <f>SUM('2.mell'!F595)</f>
        <v>9493</v>
      </c>
      <c r="G208" s="717">
        <f t="shared" si="60"/>
        <v>0.9235334176476311</v>
      </c>
    </row>
    <row r="209" spans="1:7" s="104" customFormat="1" ht="12">
      <c r="A209" s="121">
        <v>1421</v>
      </c>
      <c r="B209" s="119" t="s">
        <v>206</v>
      </c>
      <c r="C209" s="600">
        <f>SUM('2.mell'!C596)</f>
        <v>191068</v>
      </c>
      <c r="D209" s="600">
        <f>SUM('2.mell'!D596)</f>
        <v>191068</v>
      </c>
      <c r="E209" s="669">
        <f>SUM('2.mell'!E596)</f>
        <v>191068</v>
      </c>
      <c r="F209" s="669">
        <f>SUM('2.mell'!F596)</f>
        <v>108481</v>
      </c>
      <c r="G209" s="717">
        <f t="shared" si="60"/>
        <v>0.5677612159021919</v>
      </c>
    </row>
    <row r="210" spans="1:7" s="104" customFormat="1" ht="12">
      <c r="A210" s="121">
        <v>1422</v>
      </c>
      <c r="B210" s="119" t="s">
        <v>207</v>
      </c>
      <c r="C210" s="669">
        <f>SUM('2.mell'!C597)</f>
        <v>66661</v>
      </c>
      <c r="D210" s="669">
        <f>SUM('2.mell'!D597)</f>
        <v>66661</v>
      </c>
      <c r="E210" s="669">
        <f>SUM('2.mell'!E597)</f>
        <v>63542</v>
      </c>
      <c r="F210" s="669">
        <f>SUM('2.mell'!F597)</f>
        <v>40385</v>
      </c>
      <c r="G210" s="717">
        <f t="shared" si="60"/>
        <v>0.6355638790091593</v>
      </c>
    </row>
    <row r="211" spans="1:7" s="104" customFormat="1" ht="12">
      <c r="A211" s="121">
        <v>1423</v>
      </c>
      <c r="B211" s="123" t="s">
        <v>208</v>
      </c>
      <c r="C211" s="669">
        <f>SUM('2.mell'!C598)</f>
        <v>5070</v>
      </c>
      <c r="D211" s="669">
        <f>SUM('2.mell'!D598)</f>
        <v>5070</v>
      </c>
      <c r="E211" s="669">
        <f>SUM('2.mell'!E598)</f>
        <v>10957</v>
      </c>
      <c r="F211" s="669">
        <f>SUM('2.mell'!F598)</f>
        <v>13860</v>
      </c>
      <c r="G211" s="717">
        <f t="shared" si="60"/>
        <v>1.2649447841562471</v>
      </c>
    </row>
    <row r="212" spans="1:7" s="104" customFormat="1" ht="12">
      <c r="A212" s="121">
        <v>1424</v>
      </c>
      <c r="B212" s="118" t="s">
        <v>413</v>
      </c>
      <c r="C212" s="669">
        <f>SUM('2.mell'!C599)</f>
        <v>0</v>
      </c>
      <c r="D212" s="669">
        <f>SUM('2.mell'!D599)</f>
        <v>0</v>
      </c>
      <c r="E212" s="669">
        <f>'2.mell'!E599</f>
        <v>0</v>
      </c>
      <c r="F212" s="669">
        <f>'2.mell'!F599</f>
        <v>5</v>
      </c>
      <c r="G212" s="717">
        <v>1</v>
      </c>
    </row>
    <row r="213" spans="1:7" s="104" customFormat="1" ht="12.6" thickBot="1">
      <c r="A213" s="126">
        <v>1425</v>
      </c>
      <c r="B213" s="127" t="s">
        <v>209</v>
      </c>
      <c r="C213" s="669">
        <f>SUM('2.mell'!C600)</f>
        <v>0</v>
      </c>
      <c r="D213" s="738">
        <f>SUM('2.mell'!D600)</f>
        <v>0</v>
      </c>
      <c r="E213" s="738">
        <f>'2.mell'!E600</f>
        <v>0</v>
      </c>
      <c r="F213" s="669">
        <f>'2.mell'!F600</f>
        <v>947</v>
      </c>
      <c r="G213" s="853">
        <v>1</v>
      </c>
    </row>
    <row r="214" spans="1:7" s="104" customFormat="1" ht="14.4" thickBot="1">
      <c r="A214" s="138"/>
      <c r="B214" s="173" t="s">
        <v>324</v>
      </c>
      <c r="C214" s="604">
        <f aca="true" t="shared" si="61" ref="C214">SUM(C205+C208+C210+C209+C213+C211+C204+C212)</f>
        <v>338208</v>
      </c>
      <c r="D214" s="604">
        <f aca="true" t="shared" si="62" ref="D214">SUM(D205+D208+D210+D209+D213+D211+D204+D212)</f>
        <v>338208</v>
      </c>
      <c r="E214" s="987">
        <f>SUM(E205+E208+E210+E209+E213+E211+E204+E212)</f>
        <v>330153</v>
      </c>
      <c r="F214" s="987">
        <f>SUM(F205+F208+F210+F209+F213+F211+F204+F212)</f>
        <v>218372</v>
      </c>
      <c r="G214" s="718">
        <f t="shared" si="60"/>
        <v>0.6614266718763725</v>
      </c>
    </row>
    <row r="215" spans="1:7" s="104" customFormat="1" ht="12">
      <c r="A215" s="136"/>
      <c r="B215" s="117"/>
      <c r="C215" s="610"/>
      <c r="D215" s="610"/>
      <c r="E215" s="991"/>
      <c r="F215" s="991"/>
      <c r="G215" s="900"/>
    </row>
    <row r="216" spans="1:7" s="104" customFormat="1" ht="12.6" thickBot="1">
      <c r="A216" s="137">
        <v>1430</v>
      </c>
      <c r="B216" s="143" t="s">
        <v>210</v>
      </c>
      <c r="C216" s="877"/>
      <c r="D216" s="877"/>
      <c r="E216" s="1002"/>
      <c r="F216" s="1002"/>
      <c r="G216" s="901"/>
    </row>
    <row r="217" spans="1:7" s="104" customFormat="1" ht="14.4" thickBot="1">
      <c r="A217" s="129"/>
      <c r="B217" s="223" t="s">
        <v>211</v>
      </c>
      <c r="C217" s="873"/>
      <c r="D217" s="873"/>
      <c r="E217" s="997"/>
      <c r="F217" s="997"/>
      <c r="G217" s="718"/>
    </row>
    <row r="218" spans="1:7" s="104" customFormat="1" ht="12" customHeight="1" thickBot="1">
      <c r="A218" s="129"/>
      <c r="B218" s="205"/>
      <c r="C218" s="873"/>
      <c r="D218" s="873"/>
      <c r="E218" s="997"/>
      <c r="F218" s="997"/>
      <c r="G218" s="718"/>
    </row>
    <row r="219" spans="1:7" s="104" customFormat="1" ht="16.2" thickBot="1">
      <c r="A219" s="129"/>
      <c r="B219" s="226" t="s">
        <v>58</v>
      </c>
      <c r="C219" s="875">
        <f aca="true" t="shared" si="63" ref="C219">SUM(C214+C217+C203)</f>
        <v>338208</v>
      </c>
      <c r="D219" s="875">
        <f aca="true" t="shared" si="64" ref="D219">SUM(D214+D217+D203)</f>
        <v>338208</v>
      </c>
      <c r="E219" s="1004">
        <f>SUM(E214+E217+E203)</f>
        <v>330438</v>
      </c>
      <c r="F219" s="1004">
        <f>SUM(F214+F217+F203)</f>
        <v>219057</v>
      </c>
      <c r="G219" s="718">
        <f t="shared" si="60"/>
        <v>0.6629292030577597</v>
      </c>
    </row>
    <row r="220" spans="1:7" s="104" customFormat="1" ht="10.5" customHeight="1">
      <c r="A220" s="116"/>
      <c r="B220" s="638"/>
      <c r="C220" s="610"/>
      <c r="D220" s="610"/>
      <c r="E220" s="991"/>
      <c r="F220" s="991"/>
      <c r="G220" s="900"/>
    </row>
    <row r="221" spans="1:7" s="104" customFormat="1" ht="12">
      <c r="A221" s="121">
        <v>1435</v>
      </c>
      <c r="B221" s="119" t="s">
        <v>212</v>
      </c>
      <c r="C221" s="869"/>
      <c r="D221" s="869"/>
      <c r="E221" s="992"/>
      <c r="F221" s="992"/>
      <c r="G221" s="279"/>
    </row>
    <row r="222" spans="1:7" s="104" customFormat="1" ht="12.6" thickBot="1">
      <c r="A222" s="121">
        <v>1436</v>
      </c>
      <c r="B222" s="119" t="s">
        <v>399</v>
      </c>
      <c r="C222" s="867">
        <f>SUM('2.mell'!H604)</f>
        <v>0</v>
      </c>
      <c r="D222" s="867">
        <f>SUM('2.mell'!I604)</f>
        <v>0</v>
      </c>
      <c r="E222" s="738">
        <f>SUM('2.mell'!J604)</f>
        <v>0</v>
      </c>
      <c r="F222" s="738"/>
      <c r="G222" s="901"/>
    </row>
    <row r="223" spans="1:7" s="104" customFormat="1" ht="14.4" thickBot="1">
      <c r="A223" s="129"/>
      <c r="B223" s="173" t="s">
        <v>394</v>
      </c>
      <c r="C223" s="604">
        <f aca="true" t="shared" si="65" ref="C223">SUM(C222)</f>
        <v>0</v>
      </c>
      <c r="D223" s="604">
        <f aca="true" t="shared" si="66" ref="D223:E223">SUM(D222)</f>
        <v>0</v>
      </c>
      <c r="E223" s="987">
        <f t="shared" si="66"/>
        <v>0</v>
      </c>
      <c r="F223" s="987"/>
      <c r="G223" s="718"/>
    </row>
    <row r="224" spans="1:7" s="104" customFormat="1" ht="9.9" customHeight="1">
      <c r="A224" s="136"/>
      <c r="B224" s="225"/>
      <c r="C224" s="610"/>
      <c r="D224" s="610"/>
      <c r="E224" s="991"/>
      <c r="F224" s="991"/>
      <c r="G224" s="900"/>
    </row>
    <row r="225" spans="1:7" s="104" customFormat="1" ht="12.6" thickBot="1">
      <c r="A225" s="126">
        <v>1440</v>
      </c>
      <c r="B225" s="127" t="s">
        <v>224</v>
      </c>
      <c r="C225" s="603">
        <f>SUM('2.mell'!H605)</f>
        <v>0</v>
      </c>
      <c r="D225" s="603">
        <f>SUM('2.mell'!I605)</f>
        <v>0</v>
      </c>
      <c r="E225" s="871">
        <f>SUM('2.mell'!J605)</f>
        <v>0</v>
      </c>
      <c r="F225" s="871"/>
      <c r="G225" s="901"/>
    </row>
    <row r="226" spans="1:7" s="104" customFormat="1" ht="14.4" thickBot="1">
      <c r="A226" s="138"/>
      <c r="B226" s="223" t="s">
        <v>217</v>
      </c>
      <c r="C226" s="604">
        <f aca="true" t="shared" si="67" ref="C226">SUM(C225)</f>
        <v>0</v>
      </c>
      <c r="D226" s="604">
        <f aca="true" t="shared" si="68" ref="D226:E226">SUM(D225)</f>
        <v>0</v>
      </c>
      <c r="E226" s="987">
        <f t="shared" si="68"/>
        <v>0</v>
      </c>
      <c r="F226" s="987"/>
      <c r="G226" s="718"/>
    </row>
    <row r="227" spans="1:7" s="104" customFormat="1" ht="13.8">
      <c r="A227" s="136"/>
      <c r="B227" s="225"/>
      <c r="C227" s="610"/>
      <c r="D227" s="610"/>
      <c r="E227" s="991"/>
      <c r="F227" s="991"/>
      <c r="G227" s="900"/>
    </row>
    <row r="228" spans="1:7" s="104" customFormat="1" ht="12.6" thickBot="1">
      <c r="A228" s="207">
        <v>1445</v>
      </c>
      <c r="B228" s="131" t="s">
        <v>221</v>
      </c>
      <c r="C228" s="867">
        <f>'2.mell'!C604</f>
        <v>0</v>
      </c>
      <c r="D228" s="867">
        <f>'2.mell'!D604</f>
        <v>0</v>
      </c>
      <c r="E228" s="738">
        <f>'2.mell'!G604</f>
        <v>0</v>
      </c>
      <c r="F228" s="738">
        <f>'2.mell'!H604</f>
        <v>0</v>
      </c>
      <c r="G228" s="901"/>
    </row>
    <row r="229" spans="1:7" s="104" customFormat="1" ht="14.4" thickBot="1">
      <c r="A229" s="129"/>
      <c r="B229" s="173" t="s">
        <v>222</v>
      </c>
      <c r="C229" s="604">
        <f aca="true" t="shared" si="69" ref="C229">SUM(C228)</f>
        <v>0</v>
      </c>
      <c r="D229" s="604">
        <f aca="true" t="shared" si="70" ref="D229:E229">SUM(D228)</f>
        <v>0</v>
      </c>
      <c r="E229" s="987">
        <f t="shared" si="70"/>
        <v>0</v>
      </c>
      <c r="F229" s="987">
        <f aca="true" t="shared" si="71" ref="F229">SUM(F228)</f>
        <v>0</v>
      </c>
      <c r="G229" s="718"/>
    </row>
    <row r="230" spans="1:7" s="104" customFormat="1" ht="13.8">
      <c r="A230" s="136"/>
      <c r="B230" s="225"/>
      <c r="C230" s="598"/>
      <c r="D230" s="598"/>
      <c r="E230" s="982"/>
      <c r="F230" s="982"/>
      <c r="G230" s="900"/>
    </row>
    <row r="231" spans="1:7" s="104" customFormat="1" ht="13.2">
      <c r="A231" s="122">
        <v>1459</v>
      </c>
      <c r="B231" s="957" t="s">
        <v>411</v>
      </c>
      <c r="C231" s="598"/>
      <c r="D231" s="598">
        <f>SUM('2.mell'!D608)</f>
        <v>13</v>
      </c>
      <c r="E231" s="982">
        <f>SUM('2.mell'!E608)</f>
        <v>13</v>
      </c>
      <c r="F231" s="982">
        <f>SUM('2.mell'!F608)</f>
        <v>13</v>
      </c>
      <c r="G231" s="900">
        <f t="shared" si="60"/>
        <v>1</v>
      </c>
    </row>
    <row r="232" spans="1:7" s="104" customFormat="1" ht="12">
      <c r="A232" s="121">
        <v>1450</v>
      </c>
      <c r="B232" s="119" t="s">
        <v>397</v>
      </c>
      <c r="C232" s="600">
        <f>SUM('2.mell'!C607)</f>
        <v>0</v>
      </c>
      <c r="D232" s="600">
        <f>SUM('2.mell'!D607)</f>
        <v>73430</v>
      </c>
      <c r="E232" s="669">
        <f>SUM('2.mell'!E607)</f>
        <v>73430</v>
      </c>
      <c r="F232" s="669">
        <f>SUM('2.mell'!F607)</f>
        <v>73430</v>
      </c>
      <c r="G232" s="279">
        <f t="shared" si="60"/>
        <v>1</v>
      </c>
    </row>
    <row r="233" spans="1:7" s="104" customFormat="1" ht="12.6" thickBot="1">
      <c r="A233" s="137">
        <v>1451</v>
      </c>
      <c r="B233" s="125" t="s">
        <v>430</v>
      </c>
      <c r="C233" s="601">
        <f>SUM('2.mell'!C609+'2.mell'!C610)</f>
        <v>4582937</v>
      </c>
      <c r="D233" s="601">
        <f>SUM('2.mell'!D609+'2.mell'!D610)</f>
        <v>4824069</v>
      </c>
      <c r="E233" s="1005">
        <f>SUM('2.mell'!E609+'2.mell'!E610)</f>
        <v>4937790</v>
      </c>
      <c r="F233" s="1005">
        <f>SUM('2.mell'!F609+'2.mell'!F610)</f>
        <v>3157326</v>
      </c>
      <c r="G233" s="853">
        <f t="shared" si="60"/>
        <v>0.6394208745207877</v>
      </c>
    </row>
    <row r="234" spans="1:7" s="104" customFormat="1" ht="14.4" thickBot="1">
      <c r="A234" s="129"/>
      <c r="B234" s="173" t="s">
        <v>37</v>
      </c>
      <c r="C234" s="604">
        <f aca="true" t="shared" si="72" ref="C234">SUM(C232:C233)</f>
        <v>4582937</v>
      </c>
      <c r="D234" s="604">
        <f>SUM(D231:D233)</f>
        <v>4897512</v>
      </c>
      <c r="E234" s="987">
        <f>SUM(E231:E233)</f>
        <v>5011233</v>
      </c>
      <c r="F234" s="987">
        <f>SUM(F231:F233)</f>
        <v>3230769</v>
      </c>
      <c r="G234" s="718">
        <f t="shared" si="60"/>
        <v>0.6447054048374921</v>
      </c>
    </row>
    <row r="235" spans="1:7" s="141" customFormat="1" ht="13.5" customHeight="1">
      <c r="A235" s="136"/>
      <c r="B235" s="192"/>
      <c r="C235" s="598"/>
      <c r="D235" s="598"/>
      <c r="E235" s="982"/>
      <c r="F235" s="982"/>
      <c r="G235" s="900"/>
    </row>
    <row r="236" spans="1:7" s="141" customFormat="1" ht="13.8" thickBot="1">
      <c r="A236" s="121">
        <v>1455</v>
      </c>
      <c r="B236" s="119" t="s">
        <v>398</v>
      </c>
      <c r="C236" s="600">
        <f>SUM('2.mell'!C613)</f>
        <v>0</v>
      </c>
      <c r="D236" s="867">
        <f>SUM('2.mell'!D613)</f>
        <v>8214</v>
      </c>
      <c r="E236" s="738">
        <f>SUM('2.mell'!E613)</f>
        <v>8214</v>
      </c>
      <c r="F236" s="738">
        <f>SUM('2.mell'!F613)</f>
        <v>8214</v>
      </c>
      <c r="G236" s="901">
        <f t="shared" si="60"/>
        <v>1</v>
      </c>
    </row>
    <row r="237" spans="1:7" s="104" customFormat="1" ht="14.4" thickBot="1">
      <c r="A237" s="129"/>
      <c r="B237" s="233" t="s">
        <v>223</v>
      </c>
      <c r="C237" s="604">
        <f aca="true" t="shared" si="73" ref="C237">SUM(C236)</f>
        <v>0</v>
      </c>
      <c r="D237" s="604">
        <f aca="true" t="shared" si="74" ref="D237:E237">SUM(D236)</f>
        <v>8214</v>
      </c>
      <c r="E237" s="987">
        <f t="shared" si="74"/>
        <v>8214</v>
      </c>
      <c r="F237" s="987">
        <f aca="true" t="shared" si="75" ref="F237">SUM(F236)</f>
        <v>8214</v>
      </c>
      <c r="G237" s="718">
        <f t="shared" si="60"/>
        <v>1</v>
      </c>
    </row>
    <row r="238" spans="1:7" s="104" customFormat="1" ht="12.6" thickBot="1">
      <c r="A238" s="129"/>
      <c r="B238" s="120"/>
      <c r="C238" s="605"/>
      <c r="D238" s="605"/>
      <c r="E238" s="984"/>
      <c r="F238" s="984"/>
      <c r="G238" s="718"/>
    </row>
    <row r="239" spans="1:7" s="104" customFormat="1" ht="16.2" thickBot="1">
      <c r="A239" s="129"/>
      <c r="B239" s="228" t="s">
        <v>42</v>
      </c>
      <c r="C239" s="879">
        <f aca="true" t="shared" si="76" ref="C239">SUM(C237+C234+C219+C229+C223+C226)</f>
        <v>4921145</v>
      </c>
      <c r="D239" s="879">
        <f aca="true" t="shared" si="77" ref="D239:F239">SUM(D237+D234+D219+D229+D223+D226)</f>
        <v>5243934</v>
      </c>
      <c r="E239" s="983">
        <f t="shared" si="77"/>
        <v>5349885</v>
      </c>
      <c r="F239" s="983">
        <f t="shared" si="77"/>
        <v>3458040</v>
      </c>
      <c r="G239" s="718">
        <f t="shared" si="60"/>
        <v>0.6463765108969632</v>
      </c>
    </row>
    <row r="240" spans="1:7" s="141" customFormat="1" ht="13.2">
      <c r="A240" s="140"/>
      <c r="B240" s="163"/>
      <c r="C240" s="880"/>
      <c r="D240" s="880"/>
      <c r="E240" s="1006"/>
      <c r="F240" s="1006"/>
      <c r="G240" s="900"/>
    </row>
    <row r="241" spans="1:7" s="141" customFormat="1" ht="17.25" customHeight="1">
      <c r="A241" s="142"/>
      <c r="B241" s="231" t="s">
        <v>323</v>
      </c>
      <c r="C241" s="881"/>
      <c r="D241" s="881"/>
      <c r="E241" s="1007"/>
      <c r="F241" s="1007"/>
      <c r="G241" s="279"/>
    </row>
    <row r="242" spans="1:7" s="141" customFormat="1" ht="13.2">
      <c r="A242" s="142"/>
      <c r="B242" s="108"/>
      <c r="C242" s="881"/>
      <c r="D242" s="881"/>
      <c r="E242" s="1007"/>
      <c r="F242" s="1007"/>
      <c r="G242" s="279"/>
    </row>
    <row r="243" spans="1:7" s="141" customFormat="1" ht="13.2">
      <c r="A243" s="121">
        <v>1500</v>
      </c>
      <c r="B243" s="119" t="s">
        <v>188</v>
      </c>
      <c r="C243" s="882">
        <f>SUM(C10)</f>
        <v>2580221</v>
      </c>
      <c r="D243" s="882">
        <f>SUM(D10)</f>
        <v>2758074</v>
      </c>
      <c r="E243" s="740">
        <f>SUM(E10)</f>
        <v>2788827</v>
      </c>
      <c r="F243" s="740">
        <f>SUM(F10)</f>
        <v>2175329</v>
      </c>
      <c r="G243" s="717">
        <f t="shared" si="60"/>
        <v>0.7800157557281251</v>
      </c>
    </row>
    <row r="244" spans="1:7" s="141" customFormat="1" ht="13.2">
      <c r="A244" s="121">
        <v>1501</v>
      </c>
      <c r="B244" s="119" t="s">
        <v>192</v>
      </c>
      <c r="C244" s="882">
        <f>SUM(C17)</f>
        <v>0</v>
      </c>
      <c r="D244" s="882">
        <f>SUM(D17)</f>
        <v>0</v>
      </c>
      <c r="E244" s="740">
        <f>SUM(E17)</f>
        <v>0</v>
      </c>
      <c r="F244" s="740">
        <f>SUM(F17)</f>
        <v>1</v>
      </c>
      <c r="G244" s="279"/>
    </row>
    <row r="245" spans="1:7" s="141" customFormat="1" ht="13.2">
      <c r="A245" s="121">
        <v>1502</v>
      </c>
      <c r="B245" s="119" t="s">
        <v>387</v>
      </c>
      <c r="C245" s="882">
        <f>SUM(C202+C18+C111+C156)</f>
        <v>0</v>
      </c>
      <c r="D245" s="882">
        <f>SUM(D202+D18+D111+D156)</f>
        <v>32034</v>
      </c>
      <c r="E245" s="740">
        <f>SUM(E202+E18+E111+E156)</f>
        <v>51554</v>
      </c>
      <c r="F245" s="740">
        <f>SUM(F202+F18+F111+F156)</f>
        <v>51779</v>
      </c>
      <c r="G245" s="717">
        <f t="shared" si="60"/>
        <v>1.0043643558210809</v>
      </c>
    </row>
    <row r="246" spans="1:7" s="141" customFormat="1" ht="13.8" thickBot="1">
      <c r="A246" s="137">
        <v>1503</v>
      </c>
      <c r="B246" s="127" t="s">
        <v>578</v>
      </c>
      <c r="C246" s="913">
        <f>SUM(C19)</f>
        <v>19324</v>
      </c>
      <c r="D246" s="913">
        <f>SUM(D19)</f>
        <v>19324</v>
      </c>
      <c r="E246" s="1008">
        <f>SUM(E19)</f>
        <v>19324</v>
      </c>
      <c r="F246" s="1008">
        <f>SUM(F19)</f>
        <v>0</v>
      </c>
      <c r="G246" s="912">
        <f t="shared" si="60"/>
        <v>0</v>
      </c>
    </row>
    <row r="247" spans="1:7" s="141" customFormat="1" ht="13.8" thickBot="1">
      <c r="A247" s="129"/>
      <c r="B247" s="132" t="s">
        <v>388</v>
      </c>
      <c r="C247" s="883">
        <f>SUM(C243:C246)</f>
        <v>2599545</v>
      </c>
      <c r="D247" s="883">
        <f>SUM(D243:D246)</f>
        <v>2809432</v>
      </c>
      <c r="E247" s="922">
        <f>SUM(E243:E246)</f>
        <v>2859705</v>
      </c>
      <c r="F247" s="1061">
        <f>SUM(F243:F246)</f>
        <v>2227109</v>
      </c>
      <c r="G247" s="718">
        <f t="shared" si="60"/>
        <v>0.7787897702735073</v>
      </c>
    </row>
    <row r="248" spans="1:7" s="141" customFormat="1" ht="13.2">
      <c r="A248" s="122">
        <v>1510</v>
      </c>
      <c r="B248" s="123" t="s">
        <v>194</v>
      </c>
      <c r="C248" s="884">
        <f>SUM(C22)</f>
        <v>3610000</v>
      </c>
      <c r="D248" s="884">
        <f>SUM(D22)</f>
        <v>3610000</v>
      </c>
      <c r="E248" s="886">
        <f>SUM(E22)</f>
        <v>3610000</v>
      </c>
      <c r="F248" s="886">
        <f>SUM(F22)</f>
        <v>3524331</v>
      </c>
      <c r="G248" s="719">
        <f t="shared" si="60"/>
        <v>0.976268975069252</v>
      </c>
    </row>
    <row r="249" spans="1:7" s="141" customFormat="1" ht="13.2">
      <c r="A249" s="121">
        <v>1511</v>
      </c>
      <c r="B249" s="123" t="s">
        <v>195</v>
      </c>
      <c r="C249" s="882">
        <f>SUM(C25)</f>
        <v>4364575</v>
      </c>
      <c r="D249" s="882">
        <f>SUM(D25)</f>
        <v>4289575</v>
      </c>
      <c r="E249" s="740">
        <f>SUM(E25)</f>
        <v>4289575</v>
      </c>
      <c r="F249" s="740">
        <f>SUM(F25)</f>
        <v>2758730</v>
      </c>
      <c r="G249" s="717">
        <f t="shared" si="60"/>
        <v>0.6431243188427758</v>
      </c>
    </row>
    <row r="250" spans="1:7" s="141" customFormat="1" ht="13.8" thickBot="1">
      <c r="A250" s="126">
        <v>1514</v>
      </c>
      <c r="B250" s="127" t="s">
        <v>167</v>
      </c>
      <c r="C250" s="885">
        <f>SUM(C30+C162)</f>
        <v>793300</v>
      </c>
      <c r="D250" s="885">
        <f>SUM(D30+D162+D116)</f>
        <v>519120</v>
      </c>
      <c r="E250" s="921">
        <f>SUM(E30+E162+E116)</f>
        <v>519120</v>
      </c>
      <c r="F250" s="921">
        <f>SUM(F30+F162+F116)</f>
        <v>455476</v>
      </c>
      <c r="G250" s="853">
        <f t="shared" si="60"/>
        <v>0.8774002157497303</v>
      </c>
    </row>
    <row r="251" spans="1:7" s="141" customFormat="1" ht="13.8" thickBot="1">
      <c r="A251" s="129"/>
      <c r="B251" s="236" t="s">
        <v>201</v>
      </c>
      <c r="C251" s="883">
        <f aca="true" t="shared" si="78" ref="C251">SUM(C248:C250)</f>
        <v>8767875</v>
      </c>
      <c r="D251" s="937">
        <f aca="true" t="shared" si="79" ref="D251:E251">SUM(D248:D250)</f>
        <v>8418695</v>
      </c>
      <c r="E251" s="926">
        <f t="shared" si="79"/>
        <v>8418695</v>
      </c>
      <c r="F251" s="926">
        <f aca="true" t="shared" si="80" ref="F251">SUM(F248:F250)</f>
        <v>6738537</v>
      </c>
      <c r="G251" s="908">
        <f t="shared" si="60"/>
        <v>0.8004253628383021</v>
      </c>
    </row>
    <row r="252" spans="1:7" s="141" customFormat="1" ht="13.2">
      <c r="A252" s="122">
        <v>1519</v>
      </c>
      <c r="B252" s="202" t="s">
        <v>382</v>
      </c>
      <c r="C252" s="884">
        <f aca="true" t="shared" si="81" ref="C252">SUM(C204)</f>
        <v>0</v>
      </c>
      <c r="D252" s="884">
        <f aca="true" t="shared" si="82" ref="D252:E252">SUM(D204)</f>
        <v>0</v>
      </c>
      <c r="E252" s="886">
        <f t="shared" si="82"/>
        <v>7</v>
      </c>
      <c r="F252" s="886">
        <f aca="true" t="shared" si="83" ref="F252">SUM(F204)</f>
        <v>27</v>
      </c>
      <c r="G252" s="900">
        <f t="shared" si="60"/>
        <v>3.857142857142857</v>
      </c>
    </row>
    <row r="253" spans="1:7" s="141" customFormat="1" ht="13.2">
      <c r="A253" s="122">
        <v>1520</v>
      </c>
      <c r="B253" s="202" t="s">
        <v>202</v>
      </c>
      <c r="C253" s="884">
        <f>SUM(C43+C117+C164+C205)</f>
        <v>1351569</v>
      </c>
      <c r="D253" s="884">
        <f>SUM(D43+D117+D164+D205)</f>
        <v>1125294</v>
      </c>
      <c r="E253" s="886">
        <f>SUM(E43+E117+E164+E205)</f>
        <v>1114023</v>
      </c>
      <c r="F253" s="886">
        <f>SUM(F43+F117+F164+F205)</f>
        <v>816998</v>
      </c>
      <c r="G253" s="717">
        <f t="shared" si="60"/>
        <v>0.7333762408855113</v>
      </c>
    </row>
    <row r="254" spans="1:7" s="141" customFormat="1" ht="13.2">
      <c r="A254" s="121">
        <v>1521</v>
      </c>
      <c r="B254" s="186" t="s">
        <v>203</v>
      </c>
      <c r="C254" s="882">
        <f>SUM(C53+C120+C167+C208)</f>
        <v>198448</v>
      </c>
      <c r="D254" s="882">
        <f>SUM(D53+D120+D167+D208)</f>
        <v>195354</v>
      </c>
      <c r="E254" s="740">
        <f>SUM(E53+E120+E167+E208)</f>
        <v>195795</v>
      </c>
      <c r="F254" s="740">
        <f>SUM(F53+F120+F167+F208)</f>
        <v>147280</v>
      </c>
      <c r="G254" s="717">
        <f t="shared" si="60"/>
        <v>0.7522153272555478</v>
      </c>
    </row>
    <row r="255" spans="1:7" s="141" customFormat="1" ht="13.2">
      <c r="A255" s="527">
        <v>1522</v>
      </c>
      <c r="B255" s="524" t="s">
        <v>326</v>
      </c>
      <c r="C255" s="882">
        <f>SUM(C57)</f>
        <v>0</v>
      </c>
      <c r="D255" s="882">
        <f>SUM(D57)</f>
        <v>0</v>
      </c>
      <c r="E255" s="740">
        <f>SUM(E57)</f>
        <v>0</v>
      </c>
      <c r="F255" s="740">
        <f>SUM(F57)</f>
        <v>0</v>
      </c>
      <c r="G255" s="717"/>
    </row>
    <row r="256" spans="1:7" s="141" customFormat="1" ht="13.2">
      <c r="A256" s="121">
        <v>1523</v>
      </c>
      <c r="B256" s="119" t="s">
        <v>206</v>
      </c>
      <c r="C256" s="882">
        <f>SUM(C121+C168+C209+C58)</f>
        <v>191068</v>
      </c>
      <c r="D256" s="882">
        <f>SUM(D121+D168+D209+D58)</f>
        <v>191068</v>
      </c>
      <c r="E256" s="740">
        <f>SUM(E121+E168+E209+E58)</f>
        <v>191068</v>
      </c>
      <c r="F256" s="740">
        <f>SUM(F121+F168+F209+F58)</f>
        <v>108481</v>
      </c>
      <c r="G256" s="717">
        <f t="shared" si="60"/>
        <v>0.5677612159021919</v>
      </c>
    </row>
    <row r="257" spans="1:7" s="141" customFormat="1" ht="13.2">
      <c r="A257" s="121">
        <v>1524</v>
      </c>
      <c r="B257" s="119" t="s">
        <v>207</v>
      </c>
      <c r="C257" s="882">
        <f>SUM(C59+C122+C169+C210)</f>
        <v>476412</v>
      </c>
      <c r="D257" s="882">
        <f>SUM(D59+D122+D169+D210)</f>
        <v>414431</v>
      </c>
      <c r="E257" s="740">
        <f>SUM(E59+E122+E169+E210)</f>
        <v>411312</v>
      </c>
      <c r="F257" s="740">
        <f>SUM(F59+F122+F169+F210)</f>
        <v>294976</v>
      </c>
      <c r="G257" s="717">
        <f t="shared" si="60"/>
        <v>0.7171587505348738</v>
      </c>
    </row>
    <row r="258" spans="1:7" s="141" customFormat="1" ht="13.2">
      <c r="A258" s="121">
        <v>1525</v>
      </c>
      <c r="B258" s="123" t="s">
        <v>208</v>
      </c>
      <c r="C258" s="740">
        <f aca="true" t="shared" si="84" ref="C258:E259">SUM(C63+C123+C170+C211)</f>
        <v>5070</v>
      </c>
      <c r="D258" s="740">
        <f t="shared" si="84"/>
        <v>5082</v>
      </c>
      <c r="E258" s="740">
        <f t="shared" si="84"/>
        <v>10969</v>
      </c>
      <c r="F258" s="740">
        <f aca="true" t="shared" si="85" ref="F258">SUM(F63+F123+F170+F211)</f>
        <v>13872</v>
      </c>
      <c r="G258" s="717">
        <f t="shared" si="60"/>
        <v>1.2646549366396207</v>
      </c>
    </row>
    <row r="259" spans="1:7" s="141" customFormat="1" ht="13.2">
      <c r="A259" s="121">
        <v>1526</v>
      </c>
      <c r="B259" s="118" t="s">
        <v>413</v>
      </c>
      <c r="C259" s="740">
        <f t="shared" si="84"/>
        <v>3010</v>
      </c>
      <c r="D259" s="740">
        <f t="shared" si="84"/>
        <v>3012</v>
      </c>
      <c r="E259" s="740">
        <f t="shared" si="84"/>
        <v>3012</v>
      </c>
      <c r="F259" s="740">
        <f aca="true" t="shared" si="86" ref="F259">SUM(F64+F124+F171+F212)</f>
        <v>2693</v>
      </c>
      <c r="G259" s="717">
        <f t="shared" si="60"/>
        <v>0.8940903054448871</v>
      </c>
    </row>
    <row r="260" spans="1:7" s="141" customFormat="1" ht="13.8" thickBot="1">
      <c r="A260" s="126">
        <v>1528</v>
      </c>
      <c r="B260" s="127" t="s">
        <v>209</v>
      </c>
      <c r="C260" s="921">
        <f>SUM(C66+C125+C172+C213+C67)</f>
        <v>87727</v>
      </c>
      <c r="D260" s="921">
        <f>SUM(D66+D125+D172+D213+D67)</f>
        <v>155157</v>
      </c>
      <c r="E260" s="921">
        <f>SUM(E66+E125+E172+E213+E67)</f>
        <v>155157</v>
      </c>
      <c r="F260" s="921">
        <f>SUM(F66+F125+F172+F213+F67)</f>
        <v>130755</v>
      </c>
      <c r="G260" s="853">
        <f t="shared" si="60"/>
        <v>0.8427270442197258</v>
      </c>
    </row>
    <row r="261" spans="1:7" s="141" customFormat="1" ht="13.8" thickBot="1">
      <c r="A261" s="129"/>
      <c r="B261" s="132" t="s">
        <v>324</v>
      </c>
      <c r="C261" s="922">
        <f aca="true" t="shared" si="87" ref="C261">SUM(C252:C260)</f>
        <v>2313304</v>
      </c>
      <c r="D261" s="922">
        <f aca="true" t="shared" si="88" ref="D261:E261">SUM(D252:D260)</f>
        <v>2089398</v>
      </c>
      <c r="E261" s="922">
        <f t="shared" si="88"/>
        <v>2081343</v>
      </c>
      <c r="F261" s="922">
        <f aca="true" t="shared" si="89" ref="F261">SUM(F252:F260)</f>
        <v>1515082</v>
      </c>
      <c r="G261" s="718">
        <f t="shared" si="60"/>
        <v>0.7279347997903277</v>
      </c>
    </row>
    <row r="262" spans="1:7" s="141" customFormat="1" ht="13.8" thickBot="1">
      <c r="A262" s="139">
        <v>1530</v>
      </c>
      <c r="B262" s="241" t="s">
        <v>210</v>
      </c>
      <c r="C262" s="923">
        <f>SUM(C72)</f>
        <v>0</v>
      </c>
      <c r="D262" s="923">
        <f>SUM(D72)</f>
        <v>81455</v>
      </c>
      <c r="E262" s="923">
        <f>SUM(E72)</f>
        <v>81455</v>
      </c>
      <c r="F262" s="923">
        <f>SUM(F72)</f>
        <v>85316</v>
      </c>
      <c r="G262" s="718">
        <f t="shared" si="60"/>
        <v>1.0474004051316679</v>
      </c>
    </row>
    <row r="263" spans="1:7" s="141" customFormat="1" ht="13.8" thickBot="1">
      <c r="A263" s="256"/>
      <c r="B263" s="239" t="s">
        <v>211</v>
      </c>
      <c r="C263" s="924">
        <f aca="true" t="shared" si="90" ref="C263">SUM(C262)</f>
        <v>0</v>
      </c>
      <c r="D263" s="924">
        <f aca="true" t="shared" si="91" ref="D263:E263">SUM(D262)</f>
        <v>81455</v>
      </c>
      <c r="E263" s="924">
        <f t="shared" si="91"/>
        <v>81455</v>
      </c>
      <c r="F263" s="924">
        <f aca="true" t="shared" si="92" ref="F263">SUM(F262)</f>
        <v>85316</v>
      </c>
      <c r="G263" s="856">
        <f t="shared" si="60"/>
        <v>1.0474004051316679</v>
      </c>
    </row>
    <row r="264" spans="1:7" s="141" customFormat="1" ht="16.8" thickBot="1" thickTop="1">
      <c r="A264" s="257"/>
      <c r="B264" s="238" t="s">
        <v>58</v>
      </c>
      <c r="C264" s="925">
        <f aca="true" t="shared" si="93" ref="C264">SUM(C247+C251+C261+C263)</f>
        <v>13680724</v>
      </c>
      <c r="D264" s="925">
        <f aca="true" t="shared" si="94" ref="D264:E264">SUM(D247+D251+D261+D263)</f>
        <v>13398980</v>
      </c>
      <c r="E264" s="925">
        <f t="shared" si="94"/>
        <v>13441198</v>
      </c>
      <c r="F264" s="925">
        <f aca="true" t="shared" si="95" ref="F264">SUM(F247+F251+F261+F263)</f>
        <v>10566044</v>
      </c>
      <c r="G264" s="855">
        <f t="shared" si="60"/>
        <v>0.7860939181165251</v>
      </c>
    </row>
    <row r="265" spans="1:7" s="141" customFormat="1" ht="13.8" thickTop="1">
      <c r="A265" s="122">
        <v>1540</v>
      </c>
      <c r="B265" s="123" t="s">
        <v>212</v>
      </c>
      <c r="C265" s="886">
        <f aca="true" t="shared" si="96" ref="C265:D267">SUM(C76)</f>
        <v>0</v>
      </c>
      <c r="D265" s="886">
        <f t="shared" si="96"/>
        <v>0</v>
      </c>
      <c r="E265" s="886">
        <f aca="true" t="shared" si="97" ref="E265">SUM(E76)</f>
        <v>0</v>
      </c>
      <c r="F265" s="886"/>
      <c r="G265" s="900"/>
    </row>
    <row r="266" spans="1:7" s="141" customFormat="1" ht="13.2">
      <c r="A266" s="121">
        <v>1541</v>
      </c>
      <c r="B266" s="119" t="s">
        <v>400</v>
      </c>
      <c r="C266" s="740">
        <f t="shared" si="96"/>
        <v>0</v>
      </c>
      <c r="D266" s="740">
        <f t="shared" si="96"/>
        <v>0</v>
      </c>
      <c r="E266" s="740">
        <f aca="true" t="shared" si="98" ref="E266">SUM(E77)</f>
        <v>0</v>
      </c>
      <c r="F266" s="740"/>
      <c r="G266" s="279"/>
    </row>
    <row r="267" spans="1:7" s="141" customFormat="1" ht="13.2">
      <c r="A267" s="121">
        <v>1542</v>
      </c>
      <c r="B267" s="119" t="s">
        <v>401</v>
      </c>
      <c r="C267" s="740">
        <f t="shared" si="96"/>
        <v>400000</v>
      </c>
      <c r="D267" s="740">
        <f t="shared" si="96"/>
        <v>400000</v>
      </c>
      <c r="E267" s="740">
        <f aca="true" t="shared" si="99" ref="E267:F267">SUM(E78)</f>
        <v>400000</v>
      </c>
      <c r="F267" s="740">
        <f t="shared" si="99"/>
        <v>0</v>
      </c>
      <c r="G267" s="717">
        <f t="shared" si="60"/>
        <v>0</v>
      </c>
    </row>
    <row r="268" spans="1:7" s="141" customFormat="1" ht="13.8" thickBot="1">
      <c r="A268" s="126">
        <v>1543</v>
      </c>
      <c r="B268" s="127" t="s">
        <v>399</v>
      </c>
      <c r="C268" s="921">
        <f>SUM(C81+C222)</f>
        <v>0</v>
      </c>
      <c r="D268" s="921">
        <f>SUM(D81+D222)</f>
        <v>0</v>
      </c>
      <c r="E268" s="921">
        <f>SUM(E81+E222)</f>
        <v>0</v>
      </c>
      <c r="F268" s="921">
        <f>SUM(F81+F222)</f>
        <v>0</v>
      </c>
      <c r="G268" s="901"/>
    </row>
    <row r="269" spans="1:7" s="141" customFormat="1" ht="13.8" thickBot="1">
      <c r="A269" s="138"/>
      <c r="B269" s="542" t="s">
        <v>394</v>
      </c>
      <c r="C269" s="926">
        <f aca="true" t="shared" si="100" ref="C269">SUM(C265:C268)</f>
        <v>400000</v>
      </c>
      <c r="D269" s="926">
        <f aca="true" t="shared" si="101" ref="D269:E269">SUM(D265:D268)</f>
        <v>400000</v>
      </c>
      <c r="E269" s="926">
        <f t="shared" si="101"/>
        <v>400000</v>
      </c>
      <c r="F269" s="926">
        <f aca="true" t="shared" si="102" ref="F269">SUM(F265:F268)</f>
        <v>0</v>
      </c>
      <c r="G269" s="718">
        <f aca="true" t="shared" si="103" ref="G269:G285">SUM(F269/E269)</f>
        <v>0</v>
      </c>
    </row>
    <row r="270" spans="1:7" s="141" customFormat="1" ht="13.2">
      <c r="A270" s="122">
        <v>1550</v>
      </c>
      <c r="B270" s="123" t="s">
        <v>216</v>
      </c>
      <c r="C270" s="886">
        <f>SUM(C84)</f>
        <v>476100</v>
      </c>
      <c r="D270" s="886">
        <f>SUM(D84)</f>
        <v>491849</v>
      </c>
      <c r="E270" s="886">
        <f>SUM(E84)</f>
        <v>491849</v>
      </c>
      <c r="F270" s="886">
        <f>SUM(F84)</f>
        <v>296707</v>
      </c>
      <c r="G270" s="854">
        <f t="shared" si="103"/>
        <v>0.6032481513635283</v>
      </c>
    </row>
    <row r="271" spans="1:7" s="141" customFormat="1" ht="13.8" thickBot="1">
      <c r="A271" s="121">
        <v>1551</v>
      </c>
      <c r="B271" s="119" t="s">
        <v>224</v>
      </c>
      <c r="C271" s="740"/>
      <c r="D271" s="927"/>
      <c r="E271" s="927"/>
      <c r="F271" s="927">
        <f>F137</f>
        <v>60</v>
      </c>
      <c r="G271" s="853"/>
    </row>
    <row r="272" spans="1:7" s="141" customFormat="1" ht="13.8" thickBot="1">
      <c r="A272" s="129"/>
      <c r="B272" s="132" t="s">
        <v>217</v>
      </c>
      <c r="C272" s="922">
        <f aca="true" t="shared" si="104" ref="C272">SUM(C270:C271)</f>
        <v>476100</v>
      </c>
      <c r="D272" s="922">
        <f aca="true" t="shared" si="105" ref="D272:E272">SUM(D270:D271)</f>
        <v>491849</v>
      </c>
      <c r="E272" s="922">
        <f t="shared" si="105"/>
        <v>491849</v>
      </c>
      <c r="F272" s="922">
        <f aca="true" t="shared" si="106" ref="F272">SUM(F270:F271)</f>
        <v>296767</v>
      </c>
      <c r="G272" s="718">
        <f t="shared" si="103"/>
        <v>0.6033701400226492</v>
      </c>
    </row>
    <row r="273" spans="1:7" s="141" customFormat="1" ht="13.2">
      <c r="A273" s="122">
        <v>1560</v>
      </c>
      <c r="B273" s="135" t="s">
        <v>402</v>
      </c>
      <c r="C273" s="886">
        <f>SUM(C89+C141)</f>
        <v>19000</v>
      </c>
      <c r="D273" s="886">
        <f>SUM(D89+D141)</f>
        <v>19000</v>
      </c>
      <c r="E273" s="886">
        <f>SUM(E89+E141)</f>
        <v>19000</v>
      </c>
      <c r="F273" s="886">
        <f>SUM(F89+F141)</f>
        <v>15173</v>
      </c>
      <c r="G273" s="719">
        <f t="shared" si="103"/>
        <v>0.798578947368421</v>
      </c>
    </row>
    <row r="274" spans="1:7" s="141" customFormat="1" ht="13.2">
      <c r="A274" s="207">
        <v>1561</v>
      </c>
      <c r="B274" s="125" t="s">
        <v>221</v>
      </c>
      <c r="C274" s="927">
        <f>SUM(C229)</f>
        <v>0</v>
      </c>
      <c r="D274" s="927">
        <f>SUM(D229)</f>
        <v>0</v>
      </c>
      <c r="E274" s="927">
        <f>SUM(E229)</f>
        <v>0</v>
      </c>
      <c r="F274" s="740">
        <f>F92</f>
        <v>3205</v>
      </c>
      <c r="G274" s="279"/>
    </row>
    <row r="275" spans="1:7" s="141" customFormat="1" ht="13.8" thickBot="1">
      <c r="A275" s="522">
        <v>1562</v>
      </c>
      <c r="B275" s="523" t="s">
        <v>347</v>
      </c>
      <c r="C275" s="921">
        <f>C93</f>
        <v>0</v>
      </c>
      <c r="D275" s="921">
        <f>D93</f>
        <v>0</v>
      </c>
      <c r="E275" s="921">
        <f>E93</f>
        <v>0</v>
      </c>
      <c r="F275" s="739">
        <f>F93</f>
        <v>32000</v>
      </c>
      <c r="G275" s="901"/>
    </row>
    <row r="276" spans="1:7" s="141" customFormat="1" ht="13.8" thickBot="1">
      <c r="A276" s="258"/>
      <c r="B276" s="237" t="s">
        <v>222</v>
      </c>
      <c r="C276" s="925">
        <f aca="true" t="shared" si="107" ref="C276">SUM(C273:C275)</f>
        <v>19000</v>
      </c>
      <c r="D276" s="925">
        <f aca="true" t="shared" si="108" ref="D276:E276">SUM(D273:D275)</f>
        <v>19000</v>
      </c>
      <c r="E276" s="925">
        <f t="shared" si="108"/>
        <v>19000</v>
      </c>
      <c r="F276" s="925">
        <f aca="true" t="shared" si="109" ref="F276">SUM(F273:F275)</f>
        <v>50378</v>
      </c>
      <c r="G276" s="856">
        <f t="shared" si="103"/>
        <v>2.651473684210526</v>
      </c>
    </row>
    <row r="277" spans="1:7" s="141" customFormat="1" ht="16.8" thickBot="1" thickTop="1">
      <c r="A277" s="257"/>
      <c r="B277" s="240" t="s">
        <v>59</v>
      </c>
      <c r="C277" s="928">
        <f aca="true" t="shared" si="110" ref="C277">SUM(C269+C272+C276)</f>
        <v>895100</v>
      </c>
      <c r="D277" s="928">
        <f aca="true" t="shared" si="111" ref="D277:E277">SUM(D269+D272+D276)</f>
        <v>910849</v>
      </c>
      <c r="E277" s="928">
        <f t="shared" si="111"/>
        <v>910849</v>
      </c>
      <c r="F277" s="928">
        <f aca="true" t="shared" si="112" ref="F277">SUM(F269+F272+F276)</f>
        <v>347145</v>
      </c>
      <c r="G277" s="855">
        <f t="shared" si="103"/>
        <v>0.38112244729916817</v>
      </c>
    </row>
    <row r="278" spans="1:7" s="141" customFormat="1" ht="13.8" thickTop="1">
      <c r="A278" s="122">
        <v>1570</v>
      </c>
      <c r="B278" s="123" t="s">
        <v>397</v>
      </c>
      <c r="C278" s="672">
        <f>SUM(C189+C144+C98+C232)</f>
        <v>171513</v>
      </c>
      <c r="D278" s="672">
        <f>SUM(D189+D144+D98+D232)</f>
        <v>3725517</v>
      </c>
      <c r="E278" s="672">
        <f>SUM(E189+E144+E98+E232)</f>
        <v>3725517</v>
      </c>
      <c r="F278" s="672">
        <f>SUM(F189+F144+F98+F232)</f>
        <v>3725517</v>
      </c>
      <c r="G278" s="902">
        <f t="shared" si="103"/>
        <v>1</v>
      </c>
    </row>
    <row r="279" spans="1:7" s="141" customFormat="1" ht="13.2">
      <c r="A279" s="121">
        <v>1571</v>
      </c>
      <c r="B279" s="119" t="s">
        <v>430</v>
      </c>
      <c r="C279" s="740">
        <f aca="true" t="shared" si="113" ref="C279">SUM(C233+C190+C145)</f>
        <v>7230074</v>
      </c>
      <c r="D279" s="740">
        <f aca="true" t="shared" si="114" ref="D279:E279">SUM(D233+D190+D145)</f>
        <v>7456748</v>
      </c>
      <c r="E279" s="740">
        <f t="shared" si="114"/>
        <v>7590653</v>
      </c>
      <c r="F279" s="740">
        <f aca="true" t="shared" si="115" ref="F279">SUM(F233+F190+F145)</f>
        <v>4682103</v>
      </c>
      <c r="G279" s="717">
        <f t="shared" si="103"/>
        <v>0.6168247975503557</v>
      </c>
    </row>
    <row r="280" spans="1:7" s="141" customFormat="1" ht="13.2">
      <c r="A280" s="121">
        <v>1572</v>
      </c>
      <c r="B280" s="119" t="s">
        <v>553</v>
      </c>
      <c r="C280" s="740">
        <f>SUM(C100)</f>
        <v>0</v>
      </c>
      <c r="D280" s="740">
        <f>SUM(D100)</f>
        <v>0</v>
      </c>
      <c r="E280" s="740">
        <f>SUM(E100)</f>
        <v>339900</v>
      </c>
      <c r="F280" s="740">
        <f>SUM(F100)</f>
        <v>361622</v>
      </c>
      <c r="G280" s="717">
        <f t="shared" si="103"/>
        <v>1.063907031479847</v>
      </c>
    </row>
    <row r="281" spans="1:7" s="141" customFormat="1" ht="13.8" thickBot="1">
      <c r="A281" s="137">
        <v>1573</v>
      </c>
      <c r="B281" s="125" t="s">
        <v>410</v>
      </c>
      <c r="C281" s="739">
        <f aca="true" t="shared" si="116" ref="C281">SUM(C191)</f>
        <v>0</v>
      </c>
      <c r="D281" s="739">
        <f>SUM(D231)</f>
        <v>13</v>
      </c>
      <c r="E281" s="739">
        <f>SUM(E231)</f>
        <v>13</v>
      </c>
      <c r="F281" s="739">
        <f>SUM(F231)</f>
        <v>13</v>
      </c>
      <c r="G281" s="853">
        <f t="shared" si="103"/>
        <v>1</v>
      </c>
    </row>
    <row r="282" spans="1:7" s="141" customFormat="1" ht="14.4" thickBot="1">
      <c r="A282" s="129"/>
      <c r="B282" s="255" t="s">
        <v>52</v>
      </c>
      <c r="C282" s="922">
        <f aca="true" t="shared" si="117" ref="C282">SUM(C278:C281)</f>
        <v>7401587</v>
      </c>
      <c r="D282" s="922">
        <f aca="true" t="shared" si="118" ref="D282:E282">SUM(D278:D281)</f>
        <v>11182278</v>
      </c>
      <c r="E282" s="922">
        <f t="shared" si="118"/>
        <v>11656083</v>
      </c>
      <c r="F282" s="922">
        <f aca="true" t="shared" si="119" ref="F282">SUM(F278:F281)</f>
        <v>8769255</v>
      </c>
      <c r="G282" s="718">
        <f t="shared" si="103"/>
        <v>0.7523329235044054</v>
      </c>
    </row>
    <row r="283" spans="1:7" s="141" customFormat="1" ht="12" customHeight="1" thickBot="1">
      <c r="A283" s="121">
        <v>1581</v>
      </c>
      <c r="B283" s="119" t="s">
        <v>397</v>
      </c>
      <c r="C283" s="673">
        <f>SUM(C103+C148+C194+C237)</f>
        <v>1285039</v>
      </c>
      <c r="D283" s="938">
        <f>SUM(D103+D148+D194+D237)</f>
        <v>2233581</v>
      </c>
      <c r="E283" s="938">
        <f>SUM(E103+E148+E194+E237)</f>
        <v>2233581</v>
      </c>
      <c r="F283" s="938">
        <f>SUM(F103+F148+F194+F237)</f>
        <v>2233581</v>
      </c>
      <c r="G283" s="718">
        <f t="shared" si="103"/>
        <v>1</v>
      </c>
    </row>
    <row r="284" spans="1:7" s="141" customFormat="1" ht="13.8" thickBot="1">
      <c r="A284" s="129"/>
      <c r="B284" s="171" t="s">
        <v>223</v>
      </c>
      <c r="C284" s="922">
        <f aca="true" t="shared" si="120" ref="C284">SUM(C283:C283)</f>
        <v>1285039</v>
      </c>
      <c r="D284" s="922">
        <f aca="true" t="shared" si="121" ref="D284:E284">SUM(D283:D283)</f>
        <v>2233581</v>
      </c>
      <c r="E284" s="922">
        <f t="shared" si="121"/>
        <v>2233581</v>
      </c>
      <c r="F284" s="922">
        <f aca="true" t="shared" si="122" ref="F284">SUM(F283:F283)</f>
        <v>2233581</v>
      </c>
      <c r="G284" s="718">
        <f t="shared" si="103"/>
        <v>1</v>
      </c>
    </row>
    <row r="285" spans="1:9" s="141" customFormat="1" ht="18.75" customHeight="1" thickBot="1">
      <c r="A285" s="129"/>
      <c r="B285" s="178" t="s">
        <v>375</v>
      </c>
      <c r="C285" s="929">
        <f>SUM(C264+C277+C283+C278+C281+C280)</f>
        <v>16032376</v>
      </c>
      <c r="D285" s="929">
        <f>SUM(D264+D277+D283+D278+D281+D280)</f>
        <v>20268940</v>
      </c>
      <c r="E285" s="929">
        <f>SUM(E264+E277+E283+E278+E281+E280)</f>
        <v>20651058</v>
      </c>
      <c r="F285" s="929">
        <f>SUM(F264+F277+F283+F278+F281+F280)</f>
        <v>17233922</v>
      </c>
      <c r="G285" s="970">
        <f t="shared" si="103"/>
        <v>0.8345297369267957</v>
      </c>
      <c r="H285" s="287"/>
      <c r="I285" s="756"/>
    </row>
  </sheetData>
  <mergeCells count="9">
    <mergeCell ref="A2:G2"/>
    <mergeCell ref="A1:G1"/>
    <mergeCell ref="G5:G6"/>
    <mergeCell ref="B5:B6"/>
    <mergeCell ref="A5:A6"/>
    <mergeCell ref="C5:C6"/>
    <mergeCell ref="D5:D6"/>
    <mergeCell ref="E5:E6"/>
    <mergeCell ref="F5:F6"/>
  </mergeCells>
  <printOptions horizontalCentered="1"/>
  <pageMargins left="1.1811023622047245" right="0" top="0.3937007874015748" bottom="0.3937007874015748" header="0" footer="0"/>
  <pageSetup firstPageNumber="2" useFirstPageNumber="1" horizontalDpi="300" verticalDpi="300" orientation="landscape" paperSize="9" scale="73" r:id="rId1"/>
  <headerFooter alignWithMargins="0">
    <oddFooter>&amp;C&amp;P. oldal</oddFooter>
  </headerFooter>
  <rowBreaks count="5" manualBreakCount="5">
    <brk id="58" max="16383" man="1"/>
    <brk id="107" max="16383" man="1"/>
    <brk id="158" max="16383" man="1"/>
    <brk id="210" max="16383" man="1"/>
    <brk id="2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62"/>
  <sheetViews>
    <sheetView showZeros="0" view="pageBreakPreview" zoomScaleSheetLayoutView="100" workbookViewId="0" topLeftCell="A67">
      <selection activeCell="F81" sqref="F81"/>
    </sheetView>
  </sheetViews>
  <sheetFormatPr defaultColWidth="9.125" defaultRowHeight="12.75"/>
  <cols>
    <col min="1" max="1" width="8.00390625" style="17" customWidth="1"/>
    <col min="2" max="2" width="71.50390625" style="17" customWidth="1"/>
    <col min="3" max="6" width="13.50390625" style="17" customWidth="1"/>
    <col min="7" max="7" width="10.875" style="17" customWidth="1"/>
    <col min="8" max="16384" width="9.125" style="17" customWidth="1"/>
  </cols>
  <sheetData>
    <row r="1" spans="1:7" ht="13.2">
      <c r="A1" s="1087" t="s">
        <v>253</v>
      </c>
      <c r="B1" s="1087"/>
      <c r="C1" s="1076"/>
      <c r="D1" s="1076"/>
      <c r="E1" s="1076"/>
      <c r="F1" s="1076"/>
      <c r="G1" s="1076"/>
    </row>
    <row r="2" spans="1:7" ht="13.2">
      <c r="A2" s="1087" t="s">
        <v>606</v>
      </c>
      <c r="B2" s="1087"/>
      <c r="C2" s="1076"/>
      <c r="D2" s="1076"/>
      <c r="E2" s="1076"/>
      <c r="F2" s="1076"/>
      <c r="G2" s="1076"/>
    </row>
    <row r="3" spans="1:2" ht="9" customHeight="1">
      <c r="A3" s="87"/>
      <c r="B3" s="87"/>
    </row>
    <row r="4" spans="1:7" ht="12" customHeight="1">
      <c r="A4" s="77"/>
      <c r="B4" s="76"/>
      <c r="C4" s="74"/>
      <c r="D4" s="74"/>
      <c r="E4" s="74"/>
      <c r="F4" s="74"/>
      <c r="G4" s="74" t="s">
        <v>164</v>
      </c>
    </row>
    <row r="5" spans="1:7" s="19" customFormat="1" ht="12" customHeight="1">
      <c r="A5" s="80"/>
      <c r="B5" s="18"/>
      <c r="C5" s="1067" t="s">
        <v>617</v>
      </c>
      <c r="D5" s="1067" t="s">
        <v>650</v>
      </c>
      <c r="E5" s="1067" t="s">
        <v>656</v>
      </c>
      <c r="F5" s="1067" t="s">
        <v>660</v>
      </c>
      <c r="G5" s="1084" t="s">
        <v>662</v>
      </c>
    </row>
    <row r="6" spans="1:7" s="19" customFormat="1" ht="12" customHeight="1">
      <c r="A6" s="1" t="s">
        <v>171</v>
      </c>
      <c r="B6" s="1" t="s">
        <v>148</v>
      </c>
      <c r="C6" s="1088"/>
      <c r="D6" s="1088"/>
      <c r="E6" s="1090"/>
      <c r="F6" s="1090"/>
      <c r="G6" s="1085"/>
    </row>
    <row r="7" spans="1:7" s="19" customFormat="1" ht="12.75" customHeight="1" thickBot="1">
      <c r="A7" s="20"/>
      <c r="B7" s="20"/>
      <c r="C7" s="1089"/>
      <c r="D7" s="1089"/>
      <c r="E7" s="1091"/>
      <c r="F7" s="1091"/>
      <c r="G7" s="1086"/>
    </row>
    <row r="8" spans="1:7" ht="12" customHeight="1">
      <c r="A8" s="2" t="s">
        <v>149</v>
      </c>
      <c r="B8" s="3" t="s">
        <v>150</v>
      </c>
      <c r="C8" s="13" t="s">
        <v>151</v>
      </c>
      <c r="D8" s="13" t="s">
        <v>561</v>
      </c>
      <c r="E8" s="13" t="s">
        <v>562</v>
      </c>
      <c r="F8" s="13" t="s">
        <v>582</v>
      </c>
      <c r="G8" s="13" t="s">
        <v>583</v>
      </c>
    </row>
    <row r="9" spans="1:7" ht="15" customHeight="1">
      <c r="A9" s="2"/>
      <c r="B9" s="97" t="s">
        <v>254</v>
      </c>
      <c r="C9" s="6"/>
      <c r="D9" s="6"/>
      <c r="E9" s="6"/>
      <c r="F9" s="6"/>
      <c r="G9" s="5"/>
    </row>
    <row r="10" spans="1:7" ht="12">
      <c r="A10" s="2"/>
      <c r="B10" s="85"/>
      <c r="C10" s="289"/>
      <c r="D10" s="289"/>
      <c r="E10" s="289"/>
      <c r="F10" s="289"/>
      <c r="G10" s="5"/>
    </row>
    <row r="11" spans="1:7" ht="12">
      <c r="A11" s="4">
        <v>1710</v>
      </c>
      <c r="B11" s="4" t="s">
        <v>297</v>
      </c>
      <c r="C11" s="292">
        <f aca="true" t="shared" si="0" ref="C11">SUM(C12:C19)</f>
        <v>2053547</v>
      </c>
      <c r="D11" s="292">
        <f aca="true" t="shared" si="1" ref="D11">SUM(D12:D19)</f>
        <v>2921733</v>
      </c>
      <c r="E11" s="292">
        <f aca="true" t="shared" si="2" ref="E11:F11">SUM(E12:E19)</f>
        <v>2941917</v>
      </c>
      <c r="F11" s="292">
        <f t="shared" si="2"/>
        <v>1739861</v>
      </c>
      <c r="G11" s="181">
        <f>SUM(F11/E11)</f>
        <v>0.5914038363420858</v>
      </c>
    </row>
    <row r="12" spans="1:7" ht="12.75">
      <c r="A12" s="6">
        <v>1711</v>
      </c>
      <c r="B12" s="6" t="s">
        <v>255</v>
      </c>
      <c r="C12" s="289">
        <f>SUM('3a.m.'!C42)</f>
        <v>1420857</v>
      </c>
      <c r="D12" s="289">
        <f>SUM('3a.m.'!D42)</f>
        <v>1818850</v>
      </c>
      <c r="E12" s="289">
        <f>SUM('3a.m.'!E42)</f>
        <v>1819010</v>
      </c>
      <c r="F12" s="289">
        <f>SUM('3a.m.'!F42)</f>
        <v>1188397</v>
      </c>
      <c r="G12" s="720">
        <f aca="true" t="shared" si="3" ref="G12:G74">SUM(F12/E12)</f>
        <v>0.6533207623927301</v>
      </c>
    </row>
    <row r="13" spans="1:7" ht="12.75">
      <c r="A13" s="6">
        <v>1712</v>
      </c>
      <c r="B13" s="6" t="s">
        <v>99</v>
      </c>
      <c r="C13" s="289">
        <f>SUM('3a.m.'!C43)</f>
        <v>241890</v>
      </c>
      <c r="D13" s="289">
        <f>SUM('3a.m.'!D43)</f>
        <v>314064</v>
      </c>
      <c r="E13" s="289">
        <f>SUM('3a.m.'!E43)</f>
        <v>314088</v>
      </c>
      <c r="F13" s="289">
        <f>SUM('3a.m.'!F43)</f>
        <v>204556</v>
      </c>
      <c r="G13" s="720">
        <f t="shared" si="3"/>
        <v>0.6512697078525763</v>
      </c>
    </row>
    <row r="14" spans="1:7" ht="12.75">
      <c r="A14" s="6">
        <v>1713</v>
      </c>
      <c r="B14" s="6" t="s">
        <v>100</v>
      </c>
      <c r="C14" s="289">
        <f>SUM('3a.m.'!C44)</f>
        <v>373000</v>
      </c>
      <c r="D14" s="289">
        <f>SUM('3a.m.'!D44)</f>
        <v>672394</v>
      </c>
      <c r="E14" s="289">
        <f>SUM('3a.m.'!E44)</f>
        <v>672394</v>
      </c>
      <c r="F14" s="289">
        <f>SUM('3a.m.'!F44)</f>
        <v>274029</v>
      </c>
      <c r="G14" s="720">
        <f t="shared" si="3"/>
        <v>0.40754230406577097</v>
      </c>
    </row>
    <row r="15" spans="1:7" ht="12.75">
      <c r="A15" s="6">
        <v>1714</v>
      </c>
      <c r="B15" s="6" t="s">
        <v>110</v>
      </c>
      <c r="C15" s="289">
        <f>SUM('3a.m.'!C45)</f>
        <v>0</v>
      </c>
      <c r="D15" s="289">
        <f>SUM('3a.m.'!D45)</f>
        <v>0</v>
      </c>
      <c r="E15" s="289">
        <f>SUM('3a.m.'!G45)</f>
        <v>0</v>
      </c>
      <c r="F15" s="289">
        <f>SUM('3a.m.'!H45)</f>
        <v>0</v>
      </c>
      <c r="G15" s="720"/>
    </row>
    <row r="16" spans="1:7" ht="12.75">
      <c r="A16" s="6">
        <v>1715</v>
      </c>
      <c r="B16" s="5" t="s">
        <v>269</v>
      </c>
      <c r="C16" s="289">
        <f>SUM('3a.m.'!C46)</f>
        <v>0</v>
      </c>
      <c r="D16" s="289">
        <f>SUM('3a.m.'!D46)</f>
        <v>54284</v>
      </c>
      <c r="E16" s="289">
        <f>SUM('3a.m.'!E46)</f>
        <v>54284</v>
      </c>
      <c r="F16" s="289">
        <f>SUM('3a.m.'!F46)</f>
        <v>54284</v>
      </c>
      <c r="G16" s="720">
        <f t="shared" si="3"/>
        <v>1</v>
      </c>
    </row>
    <row r="17" spans="1:7" ht="12.75">
      <c r="A17" s="6">
        <v>1716</v>
      </c>
      <c r="B17" s="42" t="s">
        <v>228</v>
      </c>
      <c r="C17" s="289">
        <f>SUM('3a.m.'!C50)</f>
        <v>13800</v>
      </c>
      <c r="D17" s="289">
        <f>SUM('3a.m.'!D50)</f>
        <v>58141</v>
      </c>
      <c r="E17" s="289">
        <f>SUM('3a.m.'!E50)</f>
        <v>78141</v>
      </c>
      <c r="F17" s="289">
        <f>SUM('3a.m.'!F50)</f>
        <v>18595</v>
      </c>
      <c r="G17" s="720">
        <f t="shared" si="3"/>
        <v>0.23796726430427048</v>
      </c>
    </row>
    <row r="18" spans="1:7" ht="12.75">
      <c r="A18" s="6">
        <v>1717</v>
      </c>
      <c r="B18" s="43" t="s">
        <v>229</v>
      </c>
      <c r="C18" s="289">
        <f>SUM('3a.m.'!C49)</f>
        <v>0</v>
      </c>
      <c r="D18" s="289">
        <f>SUM('3a.m.'!D49)</f>
        <v>0</v>
      </c>
      <c r="E18" s="289">
        <f>SUM('3a.m.'!G49)</f>
        <v>0</v>
      </c>
      <c r="F18" s="289">
        <f>SUM('3a.m.'!H49)</f>
        <v>0</v>
      </c>
      <c r="G18" s="720"/>
    </row>
    <row r="19" spans="1:7" ht="12.75">
      <c r="A19" s="6">
        <v>1718</v>
      </c>
      <c r="B19" s="43" t="s">
        <v>404</v>
      </c>
      <c r="C19" s="289">
        <f>SUM('3a.m.'!C51)</f>
        <v>4000</v>
      </c>
      <c r="D19" s="289">
        <f>SUM('3a.m.'!D51)</f>
        <v>4000</v>
      </c>
      <c r="E19" s="289">
        <f>SUM('3a.m.'!E51)</f>
        <v>4000</v>
      </c>
      <c r="F19" s="289">
        <f>SUM('3a.m.'!F51)</f>
        <v>0</v>
      </c>
      <c r="G19" s="720">
        <f t="shared" si="3"/>
        <v>0</v>
      </c>
    </row>
    <row r="20" spans="1:7" ht="12.75">
      <c r="A20" s="6"/>
      <c r="B20" s="6"/>
      <c r="C20" s="289"/>
      <c r="D20" s="289"/>
      <c r="E20" s="289"/>
      <c r="F20" s="289"/>
      <c r="G20" s="720"/>
    </row>
    <row r="21" spans="1:7" ht="13.2">
      <c r="A21" s="6"/>
      <c r="B21" s="98" t="s">
        <v>289</v>
      </c>
      <c r="C21" s="289"/>
      <c r="D21" s="289"/>
      <c r="E21" s="289"/>
      <c r="F21" s="289"/>
      <c r="G21" s="720"/>
    </row>
    <row r="22" spans="1:7" ht="6.75" customHeight="1">
      <c r="A22" s="6"/>
      <c r="B22" s="6"/>
      <c r="C22" s="289"/>
      <c r="D22" s="289"/>
      <c r="E22" s="289"/>
      <c r="F22" s="289"/>
      <c r="G22" s="181"/>
    </row>
    <row r="23" spans="1:7" ht="12">
      <c r="A23" s="70">
        <v>1740</v>
      </c>
      <c r="B23" s="70" t="s">
        <v>68</v>
      </c>
      <c r="C23" s="293">
        <f aca="true" t="shared" si="4" ref="C23">SUM(C24:C31)</f>
        <v>660000</v>
      </c>
      <c r="D23" s="293">
        <f aca="true" t="shared" si="5" ref="D23">SUM(D24:D31)</f>
        <v>204090</v>
      </c>
      <c r="E23" s="293">
        <f aca="true" t="shared" si="6" ref="E23:F23">SUM(E24:E31)</f>
        <v>204090</v>
      </c>
      <c r="F23" s="293">
        <f t="shared" si="6"/>
        <v>204090</v>
      </c>
      <c r="G23" s="181">
        <f t="shared" si="3"/>
        <v>1</v>
      </c>
    </row>
    <row r="24" spans="1:7" ht="12.75">
      <c r="A24" s="6">
        <v>1741</v>
      </c>
      <c r="B24" s="6" t="s">
        <v>255</v>
      </c>
      <c r="C24" s="289">
        <f>SUM('3b.m.'!C37)</f>
        <v>420826</v>
      </c>
      <c r="D24" s="289">
        <f>SUM('3b.m.'!D37)</f>
        <v>107241</v>
      </c>
      <c r="E24" s="289">
        <f>SUM('3b.m.'!E37)</f>
        <v>107241</v>
      </c>
      <c r="F24" s="289">
        <f>SUM('3b.m.'!F37)</f>
        <v>107241</v>
      </c>
      <c r="G24" s="720">
        <f t="shared" si="3"/>
        <v>1</v>
      </c>
    </row>
    <row r="25" spans="1:7" ht="12.75">
      <c r="A25" s="6">
        <v>1742</v>
      </c>
      <c r="B25" s="6" t="s">
        <v>99</v>
      </c>
      <c r="C25" s="289">
        <f>SUM('3b.m.'!C38)</f>
        <v>65244</v>
      </c>
      <c r="D25" s="289">
        <f>SUM('3b.m.'!D38)</f>
        <v>20542</v>
      </c>
      <c r="E25" s="289">
        <f>SUM('3b.m.'!E38)</f>
        <v>20542</v>
      </c>
      <c r="F25" s="289">
        <f>SUM('3b.m.'!F38)</f>
        <v>20542</v>
      </c>
      <c r="G25" s="720">
        <f t="shared" si="3"/>
        <v>1</v>
      </c>
    </row>
    <row r="26" spans="1:7" ht="12.75">
      <c r="A26" s="6">
        <v>1743</v>
      </c>
      <c r="B26" s="6" t="s">
        <v>100</v>
      </c>
      <c r="C26" s="289">
        <f>SUM('3b.m.'!C39)</f>
        <v>170930</v>
      </c>
      <c r="D26" s="289">
        <f>SUM('3b.m.'!D39)</f>
        <v>44198</v>
      </c>
      <c r="E26" s="289">
        <f>SUM('3b.m.'!E39)</f>
        <v>44198</v>
      </c>
      <c r="F26" s="289">
        <f>SUM('3b.m.'!F39)</f>
        <v>44198</v>
      </c>
      <c r="G26" s="720">
        <f t="shared" si="3"/>
        <v>1</v>
      </c>
    </row>
    <row r="27" spans="1:7" ht="12.75">
      <c r="A27" s="6">
        <v>1744</v>
      </c>
      <c r="B27" s="6" t="s">
        <v>110</v>
      </c>
      <c r="C27" s="289">
        <f>SUM('3b.m.'!C40)</f>
        <v>0</v>
      </c>
      <c r="D27" s="289">
        <f>SUM('3b.m.'!D40)</f>
        <v>0</v>
      </c>
      <c r="E27" s="289">
        <f>SUM('3b.m.'!G40)</f>
        <v>0</v>
      </c>
      <c r="F27" s="289">
        <f>SUM('3b.m.'!H40)</f>
        <v>0</v>
      </c>
      <c r="G27" s="720"/>
    </row>
    <row r="28" spans="1:7" ht="12.75">
      <c r="A28" s="6">
        <v>1745</v>
      </c>
      <c r="B28" s="6" t="s">
        <v>269</v>
      </c>
      <c r="C28" s="289">
        <f>SUM('3b.m.'!C41)</f>
        <v>0</v>
      </c>
      <c r="D28" s="289">
        <f>SUM('3b.m.'!D41)</f>
        <v>32034</v>
      </c>
      <c r="E28" s="289">
        <f>SUM('3b.m.'!E41)</f>
        <v>32034</v>
      </c>
      <c r="F28" s="289">
        <f>SUM('3b.m.'!F41)</f>
        <v>32034</v>
      </c>
      <c r="G28" s="720">
        <f t="shared" si="3"/>
        <v>1</v>
      </c>
    </row>
    <row r="29" spans="1:7" ht="12.75">
      <c r="A29" s="6">
        <v>1746</v>
      </c>
      <c r="B29" s="6" t="s">
        <v>228</v>
      </c>
      <c r="C29" s="289">
        <f>SUM('3b.m.'!C45)</f>
        <v>3000</v>
      </c>
      <c r="D29" s="289">
        <f>SUM('3b.m.'!D45)</f>
        <v>75</v>
      </c>
      <c r="E29" s="289">
        <f>SUM('3b.m.'!E45)</f>
        <v>75</v>
      </c>
      <c r="F29" s="289">
        <f>SUM('3b.m.'!F45)</f>
        <v>75</v>
      </c>
      <c r="G29" s="720">
        <f t="shared" si="3"/>
        <v>1</v>
      </c>
    </row>
    <row r="30" spans="1:7" ht="12.75">
      <c r="A30" s="6">
        <v>1747</v>
      </c>
      <c r="B30" s="6" t="s">
        <v>229</v>
      </c>
      <c r="C30" s="289">
        <f>SUM('3b.m.'!C46)</f>
        <v>0</v>
      </c>
      <c r="D30" s="289">
        <f>SUM('3b.m.'!D46)</f>
        <v>0</v>
      </c>
      <c r="E30" s="289">
        <f>SUM('3b.m.'!G46)</f>
        <v>0</v>
      </c>
      <c r="F30" s="289"/>
      <c r="G30" s="720"/>
    </row>
    <row r="31" spans="1:7" ht="12">
      <c r="A31" s="6">
        <v>1748</v>
      </c>
      <c r="B31" s="5" t="s">
        <v>302</v>
      </c>
      <c r="C31" s="289"/>
      <c r="D31" s="289"/>
      <c r="E31" s="289"/>
      <c r="F31" s="289"/>
      <c r="G31" s="181"/>
    </row>
    <row r="32" spans="1:7" ht="7.5" customHeight="1">
      <c r="A32" s="6"/>
      <c r="B32" s="6"/>
      <c r="C32" s="289"/>
      <c r="D32" s="289"/>
      <c r="E32" s="289"/>
      <c r="F32" s="289"/>
      <c r="G32" s="181"/>
    </row>
    <row r="33" spans="1:7" ht="13.2">
      <c r="A33" s="6"/>
      <c r="B33" s="98" t="s">
        <v>290</v>
      </c>
      <c r="C33" s="289"/>
      <c r="D33" s="289"/>
      <c r="E33" s="289"/>
      <c r="F33" s="289"/>
      <c r="G33" s="181"/>
    </row>
    <row r="34" spans="1:7" ht="7.5" customHeight="1">
      <c r="A34" s="2"/>
      <c r="B34" s="85"/>
      <c r="C34" s="289"/>
      <c r="D34" s="289"/>
      <c r="E34" s="289"/>
      <c r="F34" s="289"/>
      <c r="G34" s="181"/>
    </row>
    <row r="35" spans="1:7" ht="12">
      <c r="A35" s="7">
        <v>1750</v>
      </c>
      <c r="B35" s="7" t="s">
        <v>38</v>
      </c>
      <c r="C35" s="294">
        <f aca="true" t="shared" si="7" ref="C35">SUM(C36:C44)</f>
        <v>4000574</v>
      </c>
      <c r="D35" s="294">
        <f aca="true" t="shared" si="8" ref="D35">SUM(D36:D44)</f>
        <v>5441331</v>
      </c>
      <c r="E35" s="294">
        <f aca="true" t="shared" si="9" ref="E35">SUM(E36:E44)</f>
        <v>5457188</v>
      </c>
      <c r="F35" s="294">
        <f aca="true" t="shared" si="10" ref="F35">SUM(F36:F44)</f>
        <v>2926225</v>
      </c>
      <c r="G35" s="181">
        <f t="shared" si="3"/>
        <v>0.5362148051340727</v>
      </c>
    </row>
    <row r="36" spans="1:7" ht="12.75">
      <c r="A36" s="6">
        <v>1751</v>
      </c>
      <c r="B36" s="6" t="s">
        <v>255</v>
      </c>
      <c r="C36" s="289">
        <f>SUM('3c.m.'!C820)</f>
        <v>193360</v>
      </c>
      <c r="D36" s="289">
        <f>SUM('3c.m.'!D820)</f>
        <v>206546</v>
      </c>
      <c r="E36" s="289">
        <f>SUM('3c.m.'!E820)</f>
        <v>209623</v>
      </c>
      <c r="F36" s="289">
        <f>SUM('3c.m.'!F820)</f>
        <v>125358</v>
      </c>
      <c r="G36" s="720">
        <f t="shared" si="3"/>
        <v>0.5980164390357928</v>
      </c>
    </row>
    <row r="37" spans="1:7" ht="12.75">
      <c r="A37" s="6">
        <v>1752</v>
      </c>
      <c r="B37" s="6" t="s">
        <v>99</v>
      </c>
      <c r="C37" s="289">
        <f>SUM('3c.m.'!C821)</f>
        <v>30605</v>
      </c>
      <c r="D37" s="289">
        <f>SUM('3c.m.'!D821)</f>
        <v>34580</v>
      </c>
      <c r="E37" s="289">
        <f>SUM('3c.m.'!E821)</f>
        <v>34169</v>
      </c>
      <c r="F37" s="289">
        <f>SUM('3c.m.'!F821)</f>
        <v>16397</v>
      </c>
      <c r="G37" s="720">
        <f t="shared" si="3"/>
        <v>0.4798794228686821</v>
      </c>
    </row>
    <row r="38" spans="1:7" ht="12.75">
      <c r="A38" s="6">
        <v>1753</v>
      </c>
      <c r="B38" s="6" t="s">
        <v>100</v>
      </c>
      <c r="C38" s="289">
        <f>SUM('3c.m.'!C822)</f>
        <v>3371870</v>
      </c>
      <c r="D38" s="289">
        <f>SUM('3c.m.'!D822)</f>
        <v>3957519</v>
      </c>
      <c r="E38" s="289">
        <f>SUM('3c.m.'!E822)</f>
        <v>3971364</v>
      </c>
      <c r="F38" s="289">
        <f>SUM('3c.m.'!F822)</f>
        <v>2357424</v>
      </c>
      <c r="G38" s="720">
        <f t="shared" si="3"/>
        <v>0.5936056226525698</v>
      </c>
    </row>
    <row r="39" spans="1:7" ht="12.75">
      <c r="A39" s="6">
        <v>1754</v>
      </c>
      <c r="B39" s="6" t="s">
        <v>110</v>
      </c>
      <c r="C39" s="289">
        <f>SUM('3c.m.'!C823)</f>
        <v>239894</v>
      </c>
      <c r="D39" s="289">
        <f>SUM('3c.m.'!D823)</f>
        <v>252687</v>
      </c>
      <c r="E39" s="289">
        <f>SUM('3c.m.'!E823)</f>
        <v>257687</v>
      </c>
      <c r="F39" s="289">
        <f>SUM('3c.m.'!F823)</f>
        <v>112239</v>
      </c>
      <c r="G39" s="720">
        <f t="shared" si="3"/>
        <v>0.43556329966199303</v>
      </c>
    </row>
    <row r="40" spans="1:7" ht="12.75">
      <c r="A40" s="6">
        <v>1755</v>
      </c>
      <c r="B40" s="6" t="s">
        <v>269</v>
      </c>
      <c r="C40" s="289">
        <f>SUM('3c.m.'!C824)</f>
        <v>51700</v>
      </c>
      <c r="D40" s="289">
        <f>SUM('3c.m.'!D824)</f>
        <v>69911</v>
      </c>
      <c r="E40" s="289">
        <f>SUM('3c.m.'!E824)</f>
        <v>66915</v>
      </c>
      <c r="F40" s="289">
        <f>SUM('3c.m.'!F824)</f>
        <v>21156</v>
      </c>
      <c r="G40" s="720">
        <f t="shared" si="3"/>
        <v>0.3161622954494508</v>
      </c>
    </row>
    <row r="41" spans="1:7" ht="12.75">
      <c r="A41" s="6">
        <v>1756</v>
      </c>
      <c r="B41" s="6" t="s">
        <v>228</v>
      </c>
      <c r="C41" s="289">
        <f>SUM('3c.m.'!C827)</f>
        <v>13945</v>
      </c>
      <c r="D41" s="289">
        <f>SUM('3c.m.'!D827)</f>
        <v>39006</v>
      </c>
      <c r="E41" s="289">
        <f>SUM('3c.m.'!E827)</f>
        <v>40321</v>
      </c>
      <c r="F41" s="289">
        <f>SUM('3c.m.'!F827)</f>
        <v>6364</v>
      </c>
      <c r="G41" s="720">
        <f t="shared" si="3"/>
        <v>0.1578333870687731</v>
      </c>
    </row>
    <row r="42" spans="1:7" ht="12.75">
      <c r="A42" s="5">
        <v>1757</v>
      </c>
      <c r="B42" s="5" t="s">
        <v>229</v>
      </c>
      <c r="C42" s="289">
        <f>SUM('3c.m.'!C828)</f>
        <v>0</v>
      </c>
      <c r="D42" s="289">
        <f>SUM('3c.m.'!D828)</f>
        <v>1264</v>
      </c>
      <c r="E42" s="289">
        <f>SUM('3c.m.'!E828)</f>
        <v>1264</v>
      </c>
      <c r="F42" s="289">
        <f>SUM('3c.m.'!F828)</f>
        <v>0</v>
      </c>
      <c r="G42" s="720">
        <f t="shared" si="3"/>
        <v>0</v>
      </c>
    </row>
    <row r="43" spans="1:7" ht="12.75">
      <c r="A43" s="6">
        <v>1758</v>
      </c>
      <c r="B43" s="6" t="s">
        <v>405</v>
      </c>
      <c r="C43" s="289">
        <f>SUM('3c.m.'!C829)</f>
        <v>99200</v>
      </c>
      <c r="D43" s="289">
        <f>SUM('3c.m.'!D829)</f>
        <v>879818</v>
      </c>
      <c r="E43" s="289">
        <f>SUM('3c.m.'!E829)</f>
        <v>875845</v>
      </c>
      <c r="F43" s="289">
        <f>SUM('3c.m.'!F829)</f>
        <v>287287</v>
      </c>
      <c r="G43" s="720">
        <f t="shared" si="3"/>
        <v>0.3280112348646165</v>
      </c>
    </row>
    <row r="44" spans="1:7" ht="12">
      <c r="A44" s="6"/>
      <c r="B44" s="6"/>
      <c r="C44" s="289"/>
      <c r="D44" s="289"/>
      <c r="E44" s="289"/>
      <c r="F44" s="289"/>
      <c r="G44" s="181"/>
    </row>
    <row r="45" spans="1:7" ht="12">
      <c r="A45" s="4">
        <v>1760</v>
      </c>
      <c r="B45" s="4" t="s">
        <v>300</v>
      </c>
      <c r="C45" s="292">
        <f aca="true" t="shared" si="11" ref="C45">SUM(C46:C52)</f>
        <v>914390</v>
      </c>
      <c r="D45" s="292">
        <f aca="true" t="shared" si="12" ref="D45">SUM(D46:D52)</f>
        <v>1149465</v>
      </c>
      <c r="E45" s="292">
        <f aca="true" t="shared" si="13" ref="E45">SUM(E46:E52)</f>
        <v>1145866</v>
      </c>
      <c r="F45" s="292">
        <f aca="true" t="shared" si="14" ref="F45">SUM(F46:F52)</f>
        <v>774151</v>
      </c>
      <c r="G45" s="181">
        <f t="shared" si="3"/>
        <v>0.6756034300694845</v>
      </c>
    </row>
    <row r="46" spans="1:7" ht="12.75">
      <c r="A46" s="6">
        <v>1761</v>
      </c>
      <c r="B46" s="6" t="s">
        <v>255</v>
      </c>
      <c r="C46" s="176">
        <f>SUM('3d.m.'!C55)</f>
        <v>350</v>
      </c>
      <c r="D46" s="176">
        <f>SUM('3d.m.'!D55)</f>
        <v>350</v>
      </c>
      <c r="E46" s="176">
        <f>SUM('3d.m.'!E55)</f>
        <v>350</v>
      </c>
      <c r="F46" s="176">
        <f>SUM('3d.m.'!F55)</f>
        <v>0</v>
      </c>
      <c r="G46" s="720">
        <f t="shared" si="3"/>
        <v>0</v>
      </c>
    </row>
    <row r="47" spans="1:7" ht="12.75">
      <c r="A47" s="5">
        <v>1762</v>
      </c>
      <c r="B47" s="5" t="s">
        <v>99</v>
      </c>
      <c r="C47" s="176">
        <f>SUM('3d.m.'!C56)</f>
        <v>150</v>
      </c>
      <c r="D47" s="176">
        <f>SUM('3d.m.'!D56)</f>
        <v>150</v>
      </c>
      <c r="E47" s="176">
        <f>SUM('3d.m.'!E56)</f>
        <v>150</v>
      </c>
      <c r="F47" s="176">
        <f>SUM('3d.m.'!F56)</f>
        <v>0</v>
      </c>
      <c r="G47" s="720">
        <f t="shared" si="3"/>
        <v>0</v>
      </c>
    </row>
    <row r="48" spans="1:7" ht="12.75">
      <c r="A48" s="6">
        <v>1763</v>
      </c>
      <c r="B48" s="6" t="s">
        <v>100</v>
      </c>
      <c r="C48" s="176">
        <f>SUM('3d.m.'!C57)</f>
        <v>5000</v>
      </c>
      <c r="D48" s="176">
        <f>SUM('3d.m.'!D57)</f>
        <v>5575</v>
      </c>
      <c r="E48" s="176">
        <f>SUM('3d.m.'!E57)</f>
        <v>5575</v>
      </c>
      <c r="F48" s="176">
        <f>SUM('3d.m.'!F57)</f>
        <v>3784</v>
      </c>
      <c r="G48" s="720">
        <f t="shared" si="3"/>
        <v>0.6787443946188341</v>
      </c>
    </row>
    <row r="49" spans="1:7" ht="12.75">
      <c r="A49" s="6">
        <v>1764</v>
      </c>
      <c r="B49" s="6" t="s">
        <v>269</v>
      </c>
      <c r="C49" s="176">
        <f>SUM('3d.m.'!C58)</f>
        <v>895390</v>
      </c>
      <c r="D49" s="176">
        <f>SUM('3d.m.'!D58)</f>
        <v>915684</v>
      </c>
      <c r="E49" s="176">
        <f>SUM('3d.m.'!E58)</f>
        <v>916084</v>
      </c>
      <c r="F49" s="176">
        <f>SUM('3d.m.'!F58)</f>
        <v>632629</v>
      </c>
      <c r="G49" s="720">
        <f t="shared" si="3"/>
        <v>0.6905796848323953</v>
      </c>
    </row>
    <row r="50" spans="1:7" ht="12.75">
      <c r="A50" s="6">
        <v>1765</v>
      </c>
      <c r="B50" s="6" t="s">
        <v>364</v>
      </c>
      <c r="C50" s="176">
        <f>SUM('3d.m.'!C61)</f>
        <v>0</v>
      </c>
      <c r="D50" s="176">
        <f>SUM('3d.m.'!D61)</f>
        <v>386</v>
      </c>
      <c r="E50" s="176">
        <f>SUM('3d.m.'!E61)</f>
        <v>386</v>
      </c>
      <c r="F50" s="176">
        <f>SUM('3d.m.'!F61)</f>
        <v>0</v>
      </c>
      <c r="G50" s="720">
        <f t="shared" si="3"/>
        <v>0</v>
      </c>
    </row>
    <row r="51" spans="1:7" ht="12.75">
      <c r="A51" s="6">
        <v>1766</v>
      </c>
      <c r="B51" s="6" t="s">
        <v>302</v>
      </c>
      <c r="C51" s="176">
        <f>SUM('3d.m.'!C62)</f>
        <v>13500</v>
      </c>
      <c r="D51" s="176">
        <f>SUM('3d.m.'!D62)</f>
        <v>227320</v>
      </c>
      <c r="E51" s="176">
        <f>SUM('3d.m.'!E62)</f>
        <v>223321</v>
      </c>
      <c r="F51" s="176">
        <f>SUM('3d.m.'!F62)</f>
        <v>137738</v>
      </c>
      <c r="G51" s="720">
        <f t="shared" si="3"/>
        <v>0.616771373941546</v>
      </c>
    </row>
    <row r="52" spans="1:7" ht="12">
      <c r="A52" s="6"/>
      <c r="B52" s="6"/>
      <c r="C52" s="176"/>
      <c r="D52" s="176"/>
      <c r="E52" s="176"/>
      <c r="F52" s="176"/>
      <c r="G52" s="181"/>
    </row>
    <row r="53" spans="1:7" ht="12">
      <c r="A53" s="4">
        <v>1770</v>
      </c>
      <c r="B53" s="21" t="s">
        <v>291</v>
      </c>
      <c r="C53" s="292">
        <f aca="true" t="shared" si="15" ref="C53">SUM(C54:C60)</f>
        <v>1911874</v>
      </c>
      <c r="D53" s="292">
        <f aca="true" t="shared" si="16" ref="D53:E53">SUM(D54:D60)</f>
        <v>3053922</v>
      </c>
      <c r="E53" s="292">
        <f t="shared" si="16"/>
        <v>2963074</v>
      </c>
      <c r="F53" s="292">
        <f aca="true" t="shared" si="17" ref="F53">SUM(F54:F60)</f>
        <v>266622</v>
      </c>
      <c r="G53" s="181">
        <f t="shared" si="3"/>
        <v>0.08998155294130353</v>
      </c>
    </row>
    <row r="54" spans="1:7" ht="12">
      <c r="A54" s="68">
        <v>1771</v>
      </c>
      <c r="B54" s="6" t="s">
        <v>255</v>
      </c>
      <c r="C54" s="176">
        <f>SUM('4.mell.'!C83)</f>
        <v>0</v>
      </c>
      <c r="D54" s="176">
        <f>SUM('4.mell.'!D83)</f>
        <v>0</v>
      </c>
      <c r="E54" s="176">
        <f>'4.mell.'!E83</f>
        <v>70</v>
      </c>
      <c r="F54" s="176">
        <f>'4.mell.'!F83</f>
        <v>70</v>
      </c>
      <c r="G54" s="181">
        <f t="shared" si="3"/>
        <v>1</v>
      </c>
    </row>
    <row r="55" spans="1:7" ht="12">
      <c r="A55" s="68">
        <v>1772</v>
      </c>
      <c r="B55" s="6" t="s">
        <v>99</v>
      </c>
      <c r="C55" s="176">
        <f>SUM('4.mell.'!C84)</f>
        <v>0</v>
      </c>
      <c r="D55" s="176">
        <f>SUM('4.mell.'!D84)</f>
        <v>0</v>
      </c>
      <c r="E55" s="176">
        <f>'4.mell.'!E84</f>
        <v>11</v>
      </c>
      <c r="F55" s="176">
        <f>'4.mell.'!F84</f>
        <v>10</v>
      </c>
      <c r="G55" s="181">
        <f t="shared" si="3"/>
        <v>0.9090909090909091</v>
      </c>
    </row>
    <row r="56" spans="1:7" ht="12.75">
      <c r="A56" s="6">
        <v>1773</v>
      </c>
      <c r="B56" s="6" t="s">
        <v>100</v>
      </c>
      <c r="C56" s="176">
        <f>SUM('4.mell.'!C85)</f>
        <v>60000</v>
      </c>
      <c r="D56" s="176">
        <f>SUM('4.mell.'!D85)</f>
        <v>69307</v>
      </c>
      <c r="E56" s="176">
        <f>SUM('4.mell.'!E85)</f>
        <v>86707</v>
      </c>
      <c r="F56" s="176">
        <f>SUM('4.mell.'!F85)</f>
        <v>30258</v>
      </c>
      <c r="G56" s="720">
        <f t="shared" si="3"/>
        <v>0.3489683647225714</v>
      </c>
    </row>
    <row r="57" spans="1:7" ht="12.75">
      <c r="A57" s="6">
        <v>1774</v>
      </c>
      <c r="B57" s="6" t="s">
        <v>249</v>
      </c>
      <c r="C57" s="176">
        <f>SUM('4.mell.'!C86)</f>
        <v>0</v>
      </c>
      <c r="D57" s="176">
        <f>SUM('4.mell.'!D86)</f>
        <v>0</v>
      </c>
      <c r="E57" s="176">
        <f>SUM('4.mell.'!E86)</f>
        <v>0</v>
      </c>
      <c r="F57" s="176">
        <f>SUM('4.mell.'!F86)</f>
        <v>0</v>
      </c>
      <c r="G57" s="720"/>
    </row>
    <row r="58" spans="1:7" ht="12.75">
      <c r="A58" s="6">
        <v>1775</v>
      </c>
      <c r="B58" s="6" t="s">
        <v>228</v>
      </c>
      <c r="C58" s="176">
        <f>SUM('4.mell.'!C89)</f>
        <v>0</v>
      </c>
      <c r="D58" s="176">
        <f>SUM('4.mell.'!D89)</f>
        <v>3334</v>
      </c>
      <c r="E58" s="176">
        <f>SUM('4.mell.'!E89)</f>
        <v>668386</v>
      </c>
      <c r="F58" s="176">
        <f>SUM('4.mell.'!F89)</f>
        <v>46455</v>
      </c>
      <c r="G58" s="720">
        <f t="shared" si="3"/>
        <v>0.06950325111537345</v>
      </c>
    </row>
    <row r="59" spans="1:7" ht="12.75">
      <c r="A59" s="6">
        <v>1776</v>
      </c>
      <c r="B59" s="6" t="s">
        <v>229</v>
      </c>
      <c r="C59" s="295">
        <f>SUM('4.mell.'!C90)</f>
        <v>1845874</v>
      </c>
      <c r="D59" s="295">
        <f>SUM('4.mell.'!D90)</f>
        <v>2957795</v>
      </c>
      <c r="E59" s="295">
        <f>SUM('4.mell.'!E90)</f>
        <v>2184414</v>
      </c>
      <c r="F59" s="295">
        <f>SUM('4.mell.'!F90)</f>
        <v>180169</v>
      </c>
      <c r="G59" s="720">
        <f t="shared" si="3"/>
        <v>0.08247932855218837</v>
      </c>
    </row>
    <row r="60" spans="1:7" ht="12.75">
      <c r="A60" s="6">
        <v>1777</v>
      </c>
      <c r="B60" s="6" t="s">
        <v>302</v>
      </c>
      <c r="C60" s="295">
        <f>SUM('4.mell.'!C91)</f>
        <v>6000</v>
      </c>
      <c r="D60" s="295">
        <f>SUM('4.mell.'!D91)</f>
        <v>23486</v>
      </c>
      <c r="E60" s="295">
        <f>SUM('4.mell.'!E91)</f>
        <v>23486</v>
      </c>
      <c r="F60" s="295">
        <f>SUM('4.mell.'!F91)</f>
        <v>9660</v>
      </c>
      <c r="G60" s="720">
        <f t="shared" si="3"/>
        <v>0.4113088648556587</v>
      </c>
    </row>
    <row r="61" spans="1:7" ht="12">
      <c r="A61" s="6"/>
      <c r="B61" s="6"/>
      <c r="C61" s="289"/>
      <c r="D61" s="289"/>
      <c r="E61" s="289"/>
      <c r="F61" s="289"/>
      <c r="G61" s="181"/>
    </row>
    <row r="62" spans="1:7" ht="12">
      <c r="A62" s="4">
        <v>1780</v>
      </c>
      <c r="B62" s="4" t="s">
        <v>292</v>
      </c>
      <c r="C62" s="292">
        <f aca="true" t="shared" si="18" ref="C62">SUM(C63:C69)</f>
        <v>220165</v>
      </c>
      <c r="D62" s="292">
        <f aca="true" t="shared" si="19" ref="D62">SUM(D63:D69)</f>
        <v>488086</v>
      </c>
      <c r="E62" s="292">
        <f>SUM(E63:E69)</f>
        <v>498086</v>
      </c>
      <c r="F62" s="292">
        <f>SUM(F63:F69)</f>
        <v>69258</v>
      </c>
      <c r="G62" s="181">
        <f t="shared" si="3"/>
        <v>0.1390482768036042</v>
      </c>
    </row>
    <row r="63" spans="1:7" ht="12">
      <c r="A63" s="68">
        <v>1781</v>
      </c>
      <c r="B63" s="6" t="s">
        <v>255</v>
      </c>
      <c r="C63" s="295">
        <f>SUM('5.mell. '!C47)</f>
        <v>0</v>
      </c>
      <c r="D63" s="295">
        <f>SUM('5.mell. '!D47)</f>
        <v>0</v>
      </c>
      <c r="E63" s="295">
        <f>SUM('5.mell. '!G47)</f>
        <v>0</v>
      </c>
      <c r="F63" s="295">
        <f>SUM('5.mell. '!H47)</f>
        <v>0</v>
      </c>
      <c r="G63" s="181"/>
    </row>
    <row r="64" spans="1:7" ht="12">
      <c r="A64" s="68">
        <v>1782</v>
      </c>
      <c r="B64" s="6" t="s">
        <v>99</v>
      </c>
      <c r="C64" s="295">
        <f>SUM('5.mell. '!C48)</f>
        <v>0</v>
      </c>
      <c r="D64" s="295">
        <f>SUM('5.mell. '!D48)</f>
        <v>0</v>
      </c>
      <c r="E64" s="295">
        <f>SUM('5.mell. '!G48)</f>
        <v>0</v>
      </c>
      <c r="F64" s="295">
        <f>SUM('5.mell. '!H48)</f>
        <v>0</v>
      </c>
      <c r="G64" s="181"/>
    </row>
    <row r="65" spans="1:7" ht="12.75">
      <c r="A65" s="6">
        <v>1783</v>
      </c>
      <c r="B65" s="6" t="s">
        <v>100</v>
      </c>
      <c r="C65" s="176">
        <f>SUM('5.mell. '!C49)</f>
        <v>0</v>
      </c>
      <c r="D65" s="176">
        <f>SUM('5.mell. '!D49)</f>
        <v>7171</v>
      </c>
      <c r="E65" s="176">
        <f>SUM('5.mell. '!E49)</f>
        <v>7205</v>
      </c>
      <c r="F65" s="176">
        <f>SUM('5.mell. '!F49)</f>
        <v>2746</v>
      </c>
      <c r="G65" s="720">
        <f t="shared" si="3"/>
        <v>0.38112421929215823</v>
      </c>
    </row>
    <row r="66" spans="1:7" ht="12">
      <c r="A66" s="6">
        <v>1784</v>
      </c>
      <c r="B66" s="6" t="s">
        <v>249</v>
      </c>
      <c r="C66" s="176">
        <f>SUM('5.mell. '!C50)</f>
        <v>0</v>
      </c>
      <c r="D66" s="176">
        <f>SUM('5.mell. '!D50)</f>
        <v>0</v>
      </c>
      <c r="E66" s="176">
        <f>SUM('5.mell. '!G50)</f>
        <v>0</v>
      </c>
      <c r="F66" s="176">
        <f>SUM('5.mell. '!H50)</f>
        <v>0</v>
      </c>
      <c r="G66" s="181"/>
    </row>
    <row r="67" spans="1:7" ht="12.75">
      <c r="A67" s="6">
        <v>1785</v>
      </c>
      <c r="B67" s="6" t="s">
        <v>228</v>
      </c>
      <c r="C67" s="176">
        <f>SUM('5.mell. '!C54)</f>
        <v>220165</v>
      </c>
      <c r="D67" s="176">
        <f>SUM('5.mell. '!D54)</f>
        <v>480915</v>
      </c>
      <c r="E67" s="176">
        <f>SUM('5.mell. '!E54)</f>
        <v>490881</v>
      </c>
      <c r="F67" s="176">
        <f>SUM('5.mell. '!F54)</f>
        <v>66512</v>
      </c>
      <c r="G67" s="720">
        <f t="shared" si="3"/>
        <v>0.1354951607416054</v>
      </c>
    </row>
    <row r="68" spans="1:7" ht="12">
      <c r="A68" s="6">
        <v>1786</v>
      </c>
      <c r="B68" s="6" t="s">
        <v>229</v>
      </c>
      <c r="C68" s="176"/>
      <c r="D68" s="766"/>
      <c r="E68" s="766"/>
      <c r="F68" s="766"/>
      <c r="G68" s="181"/>
    </row>
    <row r="69" spans="1:7" ht="12">
      <c r="A69" s="5">
        <v>1787</v>
      </c>
      <c r="B69" s="6" t="s">
        <v>302</v>
      </c>
      <c r="C69" s="176"/>
      <c r="D69" s="766"/>
      <c r="E69" s="766"/>
      <c r="F69" s="766"/>
      <c r="G69" s="181"/>
    </row>
    <row r="70" spans="1:7" ht="12">
      <c r="A70" s="5"/>
      <c r="B70" s="6"/>
      <c r="C70" s="760"/>
      <c r="D70" s="760"/>
      <c r="E70" s="760"/>
      <c r="F70" s="760"/>
      <c r="G70" s="181"/>
    </row>
    <row r="71" spans="1:7" ht="0.6" hidden="1">
      <c r="A71" s="69">
        <v>1790</v>
      </c>
      <c r="B71" s="124" t="s">
        <v>421</v>
      </c>
      <c r="C71" s="711">
        <f aca="true" t="shared" si="20" ref="C71:D71">SUM(C72:C72)</f>
        <v>0</v>
      </c>
      <c r="D71" s="711">
        <f t="shared" si="20"/>
        <v>0</v>
      </c>
      <c r="E71" s="711">
        <f>SUM(E72:E72)</f>
        <v>0</v>
      </c>
      <c r="F71" s="711"/>
      <c r="G71" s="181"/>
    </row>
    <row r="72" spans="1:7" ht="12" hidden="1">
      <c r="A72" s="5">
        <v>1795</v>
      </c>
      <c r="B72" s="5" t="s">
        <v>352</v>
      </c>
      <c r="C72" s="761"/>
      <c r="D72" s="761"/>
      <c r="E72" s="761"/>
      <c r="F72" s="761"/>
      <c r="G72" s="181"/>
    </row>
    <row r="73" spans="1:7" s="19" customFormat="1" ht="12">
      <c r="A73" s="5"/>
      <c r="B73" s="65"/>
      <c r="C73" s="760"/>
      <c r="D73" s="760"/>
      <c r="E73" s="760"/>
      <c r="F73" s="760"/>
      <c r="G73" s="181"/>
    </row>
    <row r="74" spans="1:7" s="22" customFormat="1" ht="14.1" customHeight="1">
      <c r="A74" s="4">
        <v>1801</v>
      </c>
      <c r="B74" s="7" t="s">
        <v>558</v>
      </c>
      <c r="C74" s="712">
        <v>30000</v>
      </c>
      <c r="D74" s="712">
        <f>30000+357</f>
        <v>30357</v>
      </c>
      <c r="E74" s="712">
        <f>30000+357</f>
        <v>30357</v>
      </c>
      <c r="F74" s="712">
        <v>13857</v>
      </c>
      <c r="G74" s="181">
        <f t="shared" si="3"/>
        <v>0.4564680304377903</v>
      </c>
    </row>
    <row r="75" spans="1:7" s="22" customFormat="1" ht="11.4" customHeight="1">
      <c r="A75" s="4"/>
      <c r="B75" s="7"/>
      <c r="C75" s="712"/>
      <c r="D75" s="712"/>
      <c r="E75" s="712"/>
      <c r="F75" s="712"/>
      <c r="G75" s="181"/>
    </row>
    <row r="76" spans="1:7" s="22" customFormat="1" ht="14.1" customHeight="1">
      <c r="A76" s="4">
        <v>1802</v>
      </c>
      <c r="B76" s="7" t="s">
        <v>372</v>
      </c>
      <c r="C76" s="712">
        <v>5500</v>
      </c>
      <c r="D76" s="712">
        <v>5500</v>
      </c>
      <c r="E76" s="712">
        <f>5500+735</f>
        <v>6235</v>
      </c>
      <c r="F76" s="712">
        <v>6234</v>
      </c>
      <c r="G76" s="181">
        <f aca="true" t="shared" si="21" ref="G76:G139">SUM(F76/E76)</f>
        <v>0.9998396150761828</v>
      </c>
    </row>
    <row r="77" spans="1:7" s="22" customFormat="1" ht="14.1" customHeight="1">
      <c r="A77" s="4"/>
      <c r="B77" s="7"/>
      <c r="C77" s="712"/>
      <c r="D77" s="712"/>
      <c r="E77" s="712"/>
      <c r="F77" s="712"/>
      <c r="G77" s="181"/>
    </row>
    <row r="78" spans="1:7" s="22" customFormat="1" ht="14.1" customHeight="1">
      <c r="A78" s="4">
        <v>1803</v>
      </c>
      <c r="B78" s="7" t="s">
        <v>403</v>
      </c>
      <c r="C78" s="712">
        <v>1049905</v>
      </c>
      <c r="D78" s="712">
        <v>1049905</v>
      </c>
      <c r="E78" s="712">
        <v>1049905</v>
      </c>
      <c r="F78" s="712">
        <v>797928</v>
      </c>
      <c r="G78" s="181">
        <f t="shared" si="21"/>
        <v>0.7600001904934256</v>
      </c>
    </row>
    <row r="79" spans="1:7" s="22" customFormat="1" ht="11.1" customHeight="1">
      <c r="A79" s="4"/>
      <c r="B79" s="7"/>
      <c r="C79" s="712"/>
      <c r="D79" s="712"/>
      <c r="E79" s="712"/>
      <c r="F79" s="712"/>
      <c r="G79" s="181"/>
    </row>
    <row r="80" spans="1:7" s="22" customFormat="1" ht="12">
      <c r="A80" s="4">
        <v>1804</v>
      </c>
      <c r="B80" s="7" t="s">
        <v>449</v>
      </c>
      <c r="C80" s="712">
        <v>75000</v>
      </c>
      <c r="D80" s="712">
        <f>75000+158016</f>
        <v>233016</v>
      </c>
      <c r="E80" s="712">
        <f>75000+158016</f>
        <v>233016</v>
      </c>
      <c r="F80" s="712">
        <v>161619</v>
      </c>
      <c r="G80" s="181">
        <f t="shared" si="21"/>
        <v>0.6935961479040066</v>
      </c>
    </row>
    <row r="81" spans="1:7" s="22" customFormat="1" ht="12">
      <c r="A81" s="4"/>
      <c r="B81" s="7"/>
      <c r="C81" s="762"/>
      <c r="D81" s="762"/>
      <c r="E81" s="762"/>
      <c r="F81" s="762"/>
      <c r="G81" s="181"/>
    </row>
    <row r="82" spans="1:7" s="22" customFormat="1" ht="12">
      <c r="A82" s="4">
        <v>1806</v>
      </c>
      <c r="B82" s="4" t="s">
        <v>348</v>
      </c>
      <c r="C82" s="708">
        <f>SUM(C83)</f>
        <v>0</v>
      </c>
      <c r="D82" s="708">
        <f>SUM(D83)</f>
        <v>0</v>
      </c>
      <c r="E82" s="708">
        <f>SUM(E83)</f>
        <v>0</v>
      </c>
      <c r="F82" s="708"/>
      <c r="G82" s="181"/>
    </row>
    <row r="83" spans="1:7" s="22" customFormat="1" ht="12">
      <c r="A83" s="18"/>
      <c r="B83" s="73" t="s">
        <v>349</v>
      </c>
      <c r="C83" s="763"/>
      <c r="D83" s="763"/>
      <c r="E83" s="763"/>
      <c r="F83" s="763"/>
      <c r="G83" s="181"/>
    </row>
    <row r="84" spans="1:7" s="22" customFormat="1" ht="12">
      <c r="A84" s="4"/>
      <c r="B84" s="4"/>
      <c r="C84" s="712"/>
      <c r="D84" s="712"/>
      <c r="E84" s="712"/>
      <c r="F84" s="712"/>
      <c r="G84" s="181"/>
    </row>
    <row r="85" spans="1:7" s="22" customFormat="1" ht="12">
      <c r="A85" s="69">
        <v>1812</v>
      </c>
      <c r="B85" s="94" t="s">
        <v>39</v>
      </c>
      <c r="C85" s="708">
        <f>SUM('6.mell. '!C12)</f>
        <v>28111</v>
      </c>
      <c r="D85" s="708">
        <f>SUM('6.mell. '!D12)</f>
        <v>34168</v>
      </c>
      <c r="E85" s="708">
        <f>SUM('6.mell. '!E12)</f>
        <v>25834</v>
      </c>
      <c r="F85" s="708"/>
      <c r="G85" s="181">
        <f t="shared" si="21"/>
        <v>0</v>
      </c>
    </row>
    <row r="86" spans="1:7" s="22" customFormat="1" ht="12">
      <c r="A86" s="69">
        <v>1813</v>
      </c>
      <c r="B86" s="89" t="s">
        <v>40</v>
      </c>
      <c r="C86" s="708">
        <f>SUM('6.mell. '!C14)</f>
        <v>17680</v>
      </c>
      <c r="D86" s="708">
        <f>SUM('6.mell. '!D14)</f>
        <v>268948</v>
      </c>
      <c r="E86" s="708">
        <f>SUM('6.mell. '!E14)</f>
        <v>261220</v>
      </c>
      <c r="F86" s="708"/>
      <c r="G86" s="181">
        <f t="shared" si="21"/>
        <v>0</v>
      </c>
    </row>
    <row r="87" spans="1:7" s="22" customFormat="1" ht="12">
      <c r="A87" s="18">
        <v>1816</v>
      </c>
      <c r="B87" s="69" t="s">
        <v>70</v>
      </c>
      <c r="C87" s="708">
        <f aca="true" t="shared" si="22" ref="C87">SUM(C85+C86)</f>
        <v>45791</v>
      </c>
      <c r="D87" s="708">
        <f aca="true" t="shared" si="23" ref="D87">SUM(D85+D86)</f>
        <v>303116</v>
      </c>
      <c r="E87" s="708">
        <f aca="true" t="shared" si="24" ref="E87">SUM(E85+E86)</f>
        <v>287054</v>
      </c>
      <c r="F87" s="708"/>
      <c r="G87" s="181">
        <f t="shared" si="21"/>
        <v>0</v>
      </c>
    </row>
    <row r="88" spans="1:7" ht="12">
      <c r="A88" s="5"/>
      <c r="B88" s="5"/>
      <c r="C88" s="708"/>
      <c r="D88" s="708"/>
      <c r="E88" s="708"/>
      <c r="F88" s="708"/>
      <c r="G88" s="181"/>
    </row>
    <row r="89" spans="1:7" s="24" customFormat="1" ht="14.1" customHeight="1">
      <c r="A89" s="78"/>
      <c r="B89" s="78" t="s">
        <v>61</v>
      </c>
      <c r="C89" s="764"/>
      <c r="D89" s="764"/>
      <c r="E89" s="764"/>
      <c r="F89" s="764"/>
      <c r="G89" s="181"/>
    </row>
    <row r="90" spans="1:7" s="19" customFormat="1" ht="12" customHeight="1">
      <c r="A90" s="5">
        <v>1821</v>
      </c>
      <c r="B90" s="6" t="s">
        <v>255</v>
      </c>
      <c r="C90" s="765">
        <f>SUM(C12+C24+C36+C46+C54+C63)</f>
        <v>2035393</v>
      </c>
      <c r="D90" s="765">
        <f>SUM(D12+D24+D36+D46+D54+D63)</f>
        <v>2132987</v>
      </c>
      <c r="E90" s="765">
        <f>SUM(E12+E24+E36+E46+E54+E63)</f>
        <v>2136294</v>
      </c>
      <c r="F90" s="765">
        <f>SUM(F12+F24+F36+F46+F54+F63)</f>
        <v>1421066</v>
      </c>
      <c r="G90" s="720">
        <f t="shared" si="21"/>
        <v>0.6652015125258977</v>
      </c>
    </row>
    <row r="91" spans="1:7" s="19" customFormat="1" ht="12" customHeight="1">
      <c r="A91" s="5">
        <v>1822</v>
      </c>
      <c r="B91" s="6" t="s">
        <v>99</v>
      </c>
      <c r="C91" s="766">
        <f aca="true" t="shared" si="25" ref="C91:D91">SUM(C13+C25+C37+C47+C55+C64)</f>
        <v>337889</v>
      </c>
      <c r="D91" s="766">
        <f t="shared" si="25"/>
        <v>369336</v>
      </c>
      <c r="E91" s="766">
        <f aca="true" t="shared" si="26" ref="E91:F91">SUM(E13+E25+E37+E47+E55+E64)</f>
        <v>368960</v>
      </c>
      <c r="F91" s="766">
        <f t="shared" si="26"/>
        <v>241505</v>
      </c>
      <c r="G91" s="720">
        <f t="shared" si="21"/>
        <v>0.6545560494362532</v>
      </c>
    </row>
    <row r="92" spans="1:7" s="19" customFormat="1" ht="12.75">
      <c r="A92" s="166">
        <v>1823</v>
      </c>
      <c r="B92" s="6" t="s">
        <v>100</v>
      </c>
      <c r="C92" s="766">
        <f aca="true" t="shared" si="27" ref="C92">SUM(C14+C26+C38+C48+C56+C65+C74+C80+C76)</f>
        <v>4091300</v>
      </c>
      <c r="D92" s="766">
        <f aca="true" t="shared" si="28" ref="D92">SUM(D14+D26+D38+D48+D56+D65+D74+D80+D76)</f>
        <v>5025037</v>
      </c>
      <c r="E92" s="766">
        <f aca="true" t="shared" si="29" ref="E92:F92">SUM(E14+E26+E38+E48+E56+E65+E74+E80+E76)</f>
        <v>5057051</v>
      </c>
      <c r="F92" s="766">
        <f t="shared" si="29"/>
        <v>2894149</v>
      </c>
      <c r="G92" s="720">
        <f t="shared" si="21"/>
        <v>0.5722997454445289</v>
      </c>
    </row>
    <row r="93" spans="1:7" s="19" customFormat="1" ht="12.75">
      <c r="A93" s="166">
        <v>1824</v>
      </c>
      <c r="B93" s="6" t="s">
        <v>110</v>
      </c>
      <c r="C93" s="765">
        <f aca="true" t="shared" si="30" ref="C93">SUM(C15+C27+C39)</f>
        <v>239894</v>
      </c>
      <c r="D93" s="765">
        <f aca="true" t="shared" si="31" ref="D93">SUM(D15+D27+D39)</f>
        <v>252687</v>
      </c>
      <c r="E93" s="765">
        <f aca="true" t="shared" si="32" ref="E93:F93">SUM(E15+E27+E39)</f>
        <v>257687</v>
      </c>
      <c r="F93" s="765">
        <f t="shared" si="32"/>
        <v>112239</v>
      </c>
      <c r="G93" s="720">
        <f t="shared" si="21"/>
        <v>0.43556329966199303</v>
      </c>
    </row>
    <row r="94" spans="1:7" s="19" customFormat="1" ht="12.75">
      <c r="A94" s="5">
        <v>1825</v>
      </c>
      <c r="B94" s="6" t="s">
        <v>269</v>
      </c>
      <c r="C94" s="766">
        <f aca="true" t="shared" si="33" ref="C94">SUM(C16+C28+C40+C49+C57+C66+C85+C86+C83+C78)</f>
        <v>2042786</v>
      </c>
      <c r="D94" s="766">
        <f aca="true" t="shared" si="34" ref="D94">SUM(D16+D28+D40+D49+D57+D66+D85+D86+D83+D78)</f>
        <v>2424934</v>
      </c>
      <c r="E94" s="766">
        <f aca="true" t="shared" si="35" ref="E94:F94">SUM(E16+E28+E40+E49+E57+E66+E85+E86+E83+E78)</f>
        <v>2406276</v>
      </c>
      <c r="F94" s="766">
        <f t="shared" si="35"/>
        <v>1538031</v>
      </c>
      <c r="G94" s="720">
        <f t="shared" si="21"/>
        <v>0.6391748078774006</v>
      </c>
    </row>
    <row r="95" spans="1:7" s="19" customFormat="1" ht="12" thickBot="1">
      <c r="A95" s="93"/>
      <c r="B95" s="184" t="s">
        <v>76</v>
      </c>
      <c r="C95" s="767">
        <f aca="true" t="shared" si="36" ref="C95">SUM(C87)</f>
        <v>45791</v>
      </c>
      <c r="D95" s="767">
        <f aca="true" t="shared" si="37" ref="D95">SUM(D87)</f>
        <v>303116</v>
      </c>
      <c r="E95" s="767">
        <f aca="true" t="shared" si="38" ref="E95:F95">SUM(E87)</f>
        <v>287054</v>
      </c>
      <c r="F95" s="767">
        <f t="shared" si="38"/>
        <v>0</v>
      </c>
      <c r="G95" s="857">
        <f t="shared" si="21"/>
        <v>0</v>
      </c>
    </row>
    <row r="96" spans="1:7" s="19" customFormat="1" ht="17.25" customHeight="1" thickBot="1">
      <c r="A96" s="175">
        <v>1820</v>
      </c>
      <c r="B96" s="175" t="s">
        <v>51</v>
      </c>
      <c r="C96" s="768">
        <f aca="true" t="shared" si="39" ref="C96">SUM(C90:C95)-C95</f>
        <v>8747262</v>
      </c>
      <c r="D96" s="768">
        <f aca="true" t="shared" si="40" ref="D96">SUM(D90:D95)-D95</f>
        <v>10204981</v>
      </c>
      <c r="E96" s="768">
        <f aca="true" t="shared" si="41" ref="E96:F96">SUM(E90:E95)-E95</f>
        <v>10226268</v>
      </c>
      <c r="F96" s="768">
        <f t="shared" si="41"/>
        <v>6206990</v>
      </c>
      <c r="G96" s="721">
        <f t="shared" si="21"/>
        <v>0.6069653171616468</v>
      </c>
    </row>
    <row r="97" spans="1:7" s="19" customFormat="1" ht="12">
      <c r="A97" s="70"/>
      <c r="B97" s="70"/>
      <c r="C97" s="711"/>
      <c r="D97" s="711"/>
      <c r="E97" s="711"/>
      <c r="F97" s="711"/>
      <c r="G97" s="903"/>
    </row>
    <row r="98" spans="1:7" s="19" customFormat="1" ht="12">
      <c r="A98" s="5"/>
      <c r="B98" s="94" t="s">
        <v>62</v>
      </c>
      <c r="C98" s="708"/>
      <c r="D98" s="708"/>
      <c r="E98" s="708"/>
      <c r="F98" s="708"/>
      <c r="G98" s="181"/>
    </row>
    <row r="99" spans="1:7" s="19" customFormat="1" ht="12.75">
      <c r="A99" s="5">
        <v>1831</v>
      </c>
      <c r="B99" s="6" t="s">
        <v>228</v>
      </c>
      <c r="C99" s="765">
        <f aca="true" t="shared" si="42" ref="C99">SUM(C17+C29+C41+C58+C67+C50)</f>
        <v>250910</v>
      </c>
      <c r="D99" s="765">
        <f aca="true" t="shared" si="43" ref="D99">SUM(D17+D29+D41+D58+D67+D50)</f>
        <v>581857</v>
      </c>
      <c r="E99" s="765">
        <f aca="true" t="shared" si="44" ref="E99:F99">SUM(E17+E29+E41+E58+E67+E50)</f>
        <v>1278190</v>
      </c>
      <c r="F99" s="765">
        <f t="shared" si="44"/>
        <v>138001</v>
      </c>
      <c r="G99" s="720">
        <f t="shared" si="21"/>
        <v>0.10796595185379325</v>
      </c>
    </row>
    <row r="100" spans="1:7" s="19" customFormat="1" ht="12.75">
      <c r="A100" s="5">
        <v>1832</v>
      </c>
      <c r="B100" s="6" t="s">
        <v>229</v>
      </c>
      <c r="C100" s="765">
        <f aca="true" t="shared" si="45" ref="C100">SUM(C18+C42+C30+C59+C68)</f>
        <v>1845874</v>
      </c>
      <c r="D100" s="765">
        <f aca="true" t="shared" si="46" ref="D100">SUM(D18+D42+D30+D59+D68)</f>
        <v>2959059</v>
      </c>
      <c r="E100" s="765">
        <f aca="true" t="shared" si="47" ref="E100:F100">SUM(E18+E42+E30+E59+E68)</f>
        <v>2185678</v>
      </c>
      <c r="F100" s="765">
        <f t="shared" si="47"/>
        <v>180169</v>
      </c>
      <c r="G100" s="720">
        <f t="shared" si="21"/>
        <v>0.08243162991071878</v>
      </c>
    </row>
    <row r="101" spans="1:7" s="19" customFormat="1" ht="12" thickBot="1">
      <c r="A101" s="5">
        <v>1833</v>
      </c>
      <c r="B101" s="6" t="s">
        <v>302</v>
      </c>
      <c r="C101" s="766">
        <f aca="true" t="shared" si="48" ref="C101">SUM(C43+C60+C51+C69+C71+C19)</f>
        <v>122700</v>
      </c>
      <c r="D101" s="765">
        <f aca="true" t="shared" si="49" ref="D101">SUM(D43+D60+D51+D69+D71+D19)</f>
        <v>1134624</v>
      </c>
      <c r="E101" s="765">
        <f aca="true" t="shared" si="50" ref="E101:F101">SUM(E43+E60+E51+E69+E71+E19)</f>
        <v>1126652</v>
      </c>
      <c r="F101" s="765">
        <f t="shared" si="50"/>
        <v>434685</v>
      </c>
      <c r="G101" s="857">
        <f t="shared" si="21"/>
        <v>0.38582011126772064</v>
      </c>
    </row>
    <row r="102" spans="1:7" s="19" customFormat="1" ht="18.75" customHeight="1" thickBot="1">
      <c r="A102" s="160">
        <v>1830</v>
      </c>
      <c r="B102" s="160" t="s">
        <v>63</v>
      </c>
      <c r="C102" s="769">
        <f aca="true" t="shared" si="51" ref="C102">SUM(C99:C101)</f>
        <v>2219484</v>
      </c>
      <c r="D102" s="769">
        <f aca="true" t="shared" si="52" ref="D102">SUM(D99:D101)</f>
        <v>4675540</v>
      </c>
      <c r="E102" s="769">
        <f aca="true" t="shared" si="53" ref="E102:F102">SUM(E99:E101)</f>
        <v>4590520</v>
      </c>
      <c r="F102" s="769">
        <f t="shared" si="53"/>
        <v>752855</v>
      </c>
      <c r="G102" s="721">
        <f t="shared" si="21"/>
        <v>0.16400211740717827</v>
      </c>
    </row>
    <row r="103" spans="1:7" s="19" customFormat="1" ht="18.75" customHeight="1">
      <c r="A103" s="843"/>
      <c r="B103" s="843"/>
      <c r="C103" s="844"/>
      <c r="D103" s="844"/>
      <c r="E103" s="844"/>
      <c r="F103" s="844"/>
      <c r="G103" s="903"/>
    </row>
    <row r="104" spans="1:8" s="19" customFormat="1" ht="12">
      <c r="A104" s="73">
        <v>1842</v>
      </c>
      <c r="B104" s="119" t="s">
        <v>553</v>
      </c>
      <c r="C104" s="708"/>
      <c r="D104" s="708"/>
      <c r="E104" s="708">
        <v>339900</v>
      </c>
      <c r="F104" s="708">
        <v>361622</v>
      </c>
      <c r="G104" s="181">
        <f t="shared" si="21"/>
        <v>1.063907031479847</v>
      </c>
      <c r="H104" s="851"/>
    </row>
    <row r="105" spans="1:7" s="19" customFormat="1" ht="12">
      <c r="A105" s="73">
        <v>1843</v>
      </c>
      <c r="B105" s="119" t="s">
        <v>422</v>
      </c>
      <c r="C105" s="711">
        <v>96485</v>
      </c>
      <c r="D105" s="711">
        <v>96485</v>
      </c>
      <c r="E105" s="711">
        <v>96485</v>
      </c>
      <c r="F105" s="711">
        <v>96485</v>
      </c>
      <c r="G105" s="181">
        <f t="shared" si="21"/>
        <v>1</v>
      </c>
    </row>
    <row r="106" spans="1:7" s="19" customFormat="1" ht="12">
      <c r="A106" s="73">
        <v>1844</v>
      </c>
      <c r="B106" s="119" t="s">
        <v>429</v>
      </c>
      <c r="C106" s="711"/>
      <c r="D106" s="711"/>
      <c r="E106" s="711"/>
      <c r="F106" s="711"/>
      <c r="G106" s="181"/>
    </row>
    <row r="107" spans="1:7" s="19" customFormat="1" ht="12">
      <c r="A107" s="69">
        <v>1845</v>
      </c>
      <c r="B107" s="124" t="s">
        <v>432</v>
      </c>
      <c r="C107" s="711">
        <f aca="true" t="shared" si="54" ref="C107">SUM(C108:C111)</f>
        <v>7230074</v>
      </c>
      <c r="D107" s="711">
        <f aca="true" t="shared" si="55" ref="D107">SUM(D108:D111)</f>
        <v>7456748</v>
      </c>
      <c r="E107" s="711">
        <f aca="true" t="shared" si="56" ref="E107">SUM(E108:E111)</f>
        <v>7590653</v>
      </c>
      <c r="F107" s="711">
        <f aca="true" t="shared" si="57" ref="F107">SUM(F108:F111)</f>
        <v>4682103</v>
      </c>
      <c r="G107" s="181">
        <f t="shared" si="21"/>
        <v>0.6168247975503557</v>
      </c>
    </row>
    <row r="108" spans="1:7" s="19" customFormat="1" ht="12.75">
      <c r="A108" s="73">
        <v>1846</v>
      </c>
      <c r="B108" s="68" t="s">
        <v>343</v>
      </c>
      <c r="C108" s="682">
        <f>SUM('2.mell'!C609)</f>
        <v>4150285</v>
      </c>
      <c r="D108" s="682">
        <f>SUM('2.mell'!D609)</f>
        <v>4356417</v>
      </c>
      <c r="E108" s="682">
        <f>SUM('2.mell'!E609)</f>
        <v>4470138</v>
      </c>
      <c r="F108" s="682">
        <f>SUM('2.mell'!F609)</f>
        <v>2892120</v>
      </c>
      <c r="G108" s="720">
        <f t="shared" si="21"/>
        <v>0.6469867373222035</v>
      </c>
    </row>
    <row r="109" spans="1:7" s="19" customFormat="1" ht="12.75">
      <c r="A109" s="73">
        <v>1847</v>
      </c>
      <c r="B109" s="73" t="s">
        <v>344</v>
      </c>
      <c r="C109" s="682">
        <f>SUM('2.mell'!C610)</f>
        <v>432652</v>
      </c>
      <c r="D109" s="682">
        <f>SUM('2.mell'!D610)</f>
        <v>467652</v>
      </c>
      <c r="E109" s="682">
        <f>SUM('2.mell'!E610)</f>
        <v>467652</v>
      </c>
      <c r="F109" s="682">
        <f>SUM('2.mell'!F610)</f>
        <v>265206</v>
      </c>
      <c r="G109" s="720">
        <f t="shared" si="21"/>
        <v>0.567101177798876</v>
      </c>
    </row>
    <row r="110" spans="1:7" s="19" customFormat="1" ht="12.75">
      <c r="A110" s="73">
        <v>1848</v>
      </c>
      <c r="B110" s="68" t="s">
        <v>64</v>
      </c>
      <c r="C110" s="682">
        <f>SUM('3b.m.'!C32)</f>
        <v>625000</v>
      </c>
      <c r="D110" s="682">
        <v>111500</v>
      </c>
      <c r="E110" s="682">
        <v>111500</v>
      </c>
      <c r="F110" s="682">
        <v>111500</v>
      </c>
      <c r="G110" s="720">
        <f t="shared" si="21"/>
        <v>1</v>
      </c>
    </row>
    <row r="111" spans="1:7" s="19" customFormat="1" ht="12" thickBot="1">
      <c r="A111" s="159">
        <v>1849</v>
      </c>
      <c r="B111" s="68" t="s">
        <v>327</v>
      </c>
      <c r="C111" s="770">
        <f>SUM('1b.mell '!C145)</f>
        <v>2022137</v>
      </c>
      <c r="D111" s="770">
        <f>SUM('1b.mell '!D145)</f>
        <v>2521179</v>
      </c>
      <c r="E111" s="770">
        <f>SUM('1b.mell '!E145)</f>
        <v>2541363</v>
      </c>
      <c r="F111" s="770">
        <f>SUM('1b.mell '!F145)</f>
        <v>1413277</v>
      </c>
      <c r="G111" s="857">
        <f t="shared" si="21"/>
        <v>0.5561098512884621</v>
      </c>
    </row>
    <row r="112" spans="1:7" s="19" customFormat="1" ht="18.75" customHeight="1" thickBot="1">
      <c r="A112" s="174">
        <v>1840</v>
      </c>
      <c r="B112" s="160" t="s">
        <v>53</v>
      </c>
      <c r="C112" s="771">
        <f>SUM(C107+C105+C106)+C104</f>
        <v>7326559</v>
      </c>
      <c r="D112" s="771">
        <f>SUM(D107+D105+D106)+D104</f>
        <v>7553233</v>
      </c>
      <c r="E112" s="771">
        <f>SUM(E107+E105+E106)+E104</f>
        <v>8027038</v>
      </c>
      <c r="F112" s="771">
        <f>SUM(F107+F105+F106)+F104</f>
        <v>5140210</v>
      </c>
      <c r="G112" s="721">
        <f t="shared" si="21"/>
        <v>0.6403619865758702</v>
      </c>
    </row>
    <row r="113" spans="1:7" s="19" customFormat="1" ht="12">
      <c r="A113" s="177"/>
      <c r="B113" s="177"/>
      <c r="C113" s="711"/>
      <c r="D113" s="711"/>
      <c r="E113" s="711"/>
      <c r="F113" s="711"/>
      <c r="G113" s="903"/>
    </row>
    <row r="114" spans="1:7" s="19" customFormat="1" ht="12" thickBot="1">
      <c r="A114" s="68">
        <v>1851</v>
      </c>
      <c r="B114" s="123" t="s">
        <v>423</v>
      </c>
      <c r="C114" s="770">
        <v>48000</v>
      </c>
      <c r="D114" s="770">
        <v>48000</v>
      </c>
      <c r="E114" s="770">
        <v>48000</v>
      </c>
      <c r="F114" s="770">
        <v>36000</v>
      </c>
      <c r="G114" s="857">
        <f t="shared" si="21"/>
        <v>0.75</v>
      </c>
    </row>
    <row r="115" spans="1:7" s="19" customFormat="1" ht="18.75" customHeight="1" thickBot="1">
      <c r="A115" s="174">
        <v>1865</v>
      </c>
      <c r="B115" s="160" t="s">
        <v>55</v>
      </c>
      <c r="C115" s="768">
        <f aca="true" t="shared" si="58" ref="C115">SUM(C114)</f>
        <v>48000</v>
      </c>
      <c r="D115" s="768">
        <f aca="true" t="shared" si="59" ref="D115">SUM(D114)</f>
        <v>48000</v>
      </c>
      <c r="E115" s="768">
        <f aca="true" t="shared" si="60" ref="E115:F115">SUM(E114)</f>
        <v>48000</v>
      </c>
      <c r="F115" s="768">
        <f t="shared" si="60"/>
        <v>36000</v>
      </c>
      <c r="G115" s="721">
        <f t="shared" si="21"/>
        <v>0.75</v>
      </c>
    </row>
    <row r="116" spans="1:7" s="19" customFormat="1" ht="18.75" customHeight="1" thickBot="1">
      <c r="A116" s="174"/>
      <c r="B116" s="214"/>
      <c r="C116" s="768"/>
      <c r="D116" s="768"/>
      <c r="E116" s="768"/>
      <c r="F116" s="768"/>
      <c r="G116" s="721"/>
    </row>
    <row r="117" spans="1:7" s="19" customFormat="1" ht="18" customHeight="1" thickBot="1">
      <c r="A117" s="91">
        <v>1870</v>
      </c>
      <c r="B117" s="158" t="s">
        <v>65</v>
      </c>
      <c r="C117" s="799">
        <f aca="true" t="shared" si="61" ref="C117">SUM(C115+C112+C102+C96)</f>
        <v>18341305</v>
      </c>
      <c r="D117" s="799">
        <f aca="true" t="shared" si="62" ref="D117">SUM(D115+D112+D102+D96)</f>
        <v>22481754</v>
      </c>
      <c r="E117" s="799">
        <f aca="true" t="shared" si="63" ref="E117:F117">SUM(E115+E112+E102+E96)</f>
        <v>22891826</v>
      </c>
      <c r="F117" s="799">
        <f t="shared" si="63"/>
        <v>12136055</v>
      </c>
      <c r="G117" s="721">
        <f t="shared" si="21"/>
        <v>0.530147966352706</v>
      </c>
    </row>
    <row r="118" spans="1:7" ht="7.5" customHeight="1">
      <c r="A118" s="7"/>
      <c r="B118" s="60"/>
      <c r="C118" s="802"/>
      <c r="D118" s="802"/>
      <c r="E118" s="802"/>
      <c r="F118" s="802"/>
      <c r="G118" s="903"/>
    </row>
    <row r="119" spans="1:7" s="27" customFormat="1" ht="12" customHeight="1">
      <c r="A119" s="14"/>
      <c r="B119" s="26" t="s">
        <v>341</v>
      </c>
      <c r="C119" s="828"/>
      <c r="D119" s="828"/>
      <c r="E119" s="828"/>
      <c r="F119" s="828"/>
      <c r="G119" s="181"/>
    </row>
    <row r="120" spans="1:7" s="27" customFormat="1" ht="9" customHeight="1">
      <c r="A120" s="14"/>
      <c r="B120" s="26"/>
      <c r="C120" s="828"/>
      <c r="D120" s="828"/>
      <c r="E120" s="828"/>
      <c r="F120" s="828"/>
      <c r="G120" s="181"/>
    </row>
    <row r="121" spans="1:7" s="27" customFormat="1" ht="12" customHeight="1">
      <c r="A121" s="14"/>
      <c r="B121" s="78" t="s">
        <v>61</v>
      </c>
      <c r="C121" s="828"/>
      <c r="D121" s="828"/>
      <c r="E121" s="828"/>
      <c r="F121" s="828"/>
      <c r="G121" s="181"/>
    </row>
    <row r="122" spans="1:7" s="19" customFormat="1" ht="12.75">
      <c r="A122" s="5">
        <v>1911</v>
      </c>
      <c r="B122" s="6" t="s">
        <v>255</v>
      </c>
      <c r="C122" s="766">
        <f>SUM('2.mell'!C615)</f>
        <v>2938045</v>
      </c>
      <c r="D122" s="766">
        <f>SUM('2.mell'!D615)</f>
        <v>3003328</v>
      </c>
      <c r="E122" s="766">
        <f>SUM('2.mell'!E615)</f>
        <v>3055577</v>
      </c>
      <c r="F122" s="766">
        <f>SUM('2.mell'!F615)</f>
        <v>2078120</v>
      </c>
      <c r="G122" s="720">
        <f t="shared" si="21"/>
        <v>0.6801072268838259</v>
      </c>
    </row>
    <row r="123" spans="1:7" s="19" customFormat="1" ht="12.75">
      <c r="A123" s="5">
        <v>1912</v>
      </c>
      <c r="B123" s="6" t="s">
        <v>99</v>
      </c>
      <c r="C123" s="766">
        <f>SUM('2.mell'!C616)</f>
        <v>489097</v>
      </c>
      <c r="D123" s="766">
        <f>SUM('2.mell'!D616)</f>
        <v>501984</v>
      </c>
      <c r="E123" s="766">
        <f>SUM('2.mell'!E616)</f>
        <v>509690</v>
      </c>
      <c r="F123" s="766">
        <f>SUM('2.mell'!F616)</f>
        <v>350475</v>
      </c>
      <c r="G123" s="720">
        <f t="shared" si="21"/>
        <v>0.6876238497910495</v>
      </c>
    </row>
    <row r="124" spans="1:7" s="19" customFormat="1" ht="12.75">
      <c r="A124" s="5">
        <v>1913</v>
      </c>
      <c r="B124" s="5" t="s">
        <v>100</v>
      </c>
      <c r="C124" s="766">
        <f>SUM('2.mell'!C617)</f>
        <v>1477973</v>
      </c>
      <c r="D124" s="766">
        <f>SUM('2.mell'!D617)</f>
        <v>1714377</v>
      </c>
      <c r="E124" s="766">
        <f>SUM('2.mell'!E617)</f>
        <v>1721974</v>
      </c>
      <c r="F124" s="766">
        <f>SUM('2.mell'!F617)</f>
        <v>919318</v>
      </c>
      <c r="G124" s="720">
        <f t="shared" si="21"/>
        <v>0.5338744952014374</v>
      </c>
    </row>
    <row r="125" spans="1:7" s="25" customFormat="1" ht="12.75">
      <c r="A125" s="73">
        <v>1915</v>
      </c>
      <c r="B125" s="6" t="s">
        <v>225</v>
      </c>
      <c r="C125" s="766">
        <f>SUM('2.mell'!C618)</f>
        <v>230</v>
      </c>
      <c r="D125" s="766">
        <f>SUM('2.mell'!D618)</f>
        <v>230</v>
      </c>
      <c r="E125" s="766">
        <f>SUM('2.mell'!E618)</f>
        <v>230</v>
      </c>
      <c r="F125" s="766">
        <f>SUM('2.mell'!F618)</f>
        <v>227</v>
      </c>
      <c r="G125" s="720">
        <f t="shared" si="21"/>
        <v>0.9869565217391304</v>
      </c>
    </row>
    <row r="126" spans="1:7" s="19" customFormat="1" ht="12">
      <c r="A126" s="5">
        <v>1916</v>
      </c>
      <c r="B126" s="6" t="s">
        <v>269</v>
      </c>
      <c r="C126" s="766">
        <f>SUM('2.mell'!C619)</f>
        <v>0</v>
      </c>
      <c r="D126" s="766">
        <f>SUM('2.mell'!D619)</f>
        <v>1</v>
      </c>
      <c r="E126" s="766">
        <f>SUM('2.mell'!E619)</f>
        <v>1400</v>
      </c>
      <c r="F126" s="766">
        <f>SUM('2.mell'!F619)</f>
        <v>1399</v>
      </c>
      <c r="G126" s="181">
        <f t="shared" si="21"/>
        <v>0.9992857142857143</v>
      </c>
    </row>
    <row r="127" spans="1:7" s="19" customFormat="1" ht="12">
      <c r="A127" s="69">
        <v>1910</v>
      </c>
      <c r="B127" s="70" t="s">
        <v>51</v>
      </c>
      <c r="C127" s="708">
        <f aca="true" t="shared" si="64" ref="C127">SUM(C122:C126)</f>
        <v>4905345</v>
      </c>
      <c r="D127" s="708">
        <f aca="true" t="shared" si="65" ref="D127">SUM(D122:D126)</f>
        <v>5219920</v>
      </c>
      <c r="E127" s="708">
        <f aca="true" t="shared" si="66" ref="E127:F127">SUM(E122:E126)</f>
        <v>5288871</v>
      </c>
      <c r="F127" s="708">
        <f t="shared" si="66"/>
        <v>3349539</v>
      </c>
      <c r="G127" s="181">
        <f t="shared" si="21"/>
        <v>0.6333183395851402</v>
      </c>
    </row>
    <row r="128" spans="1:7" s="19" customFormat="1" ht="12">
      <c r="A128" s="5"/>
      <c r="B128" s="89" t="s">
        <v>62</v>
      </c>
      <c r="C128" s="708"/>
      <c r="D128" s="708"/>
      <c r="E128" s="708"/>
      <c r="F128" s="708"/>
      <c r="G128" s="181"/>
    </row>
    <row r="129" spans="1:7" s="19" customFormat="1" ht="12.75">
      <c r="A129" s="5">
        <v>1921</v>
      </c>
      <c r="B129" s="6" t="s">
        <v>228</v>
      </c>
      <c r="C129" s="766">
        <f>SUM('2.mell'!C621)</f>
        <v>15800</v>
      </c>
      <c r="D129" s="766">
        <f>SUM('2.mell'!D621)</f>
        <v>24014</v>
      </c>
      <c r="E129" s="766">
        <f>SUM('2.mell'!E621)</f>
        <v>61014</v>
      </c>
      <c r="F129" s="766">
        <f>SUM('2.mell'!F621)</f>
        <v>15762</v>
      </c>
      <c r="G129" s="720">
        <f t="shared" si="21"/>
        <v>0.2583341528173862</v>
      </c>
    </row>
    <row r="130" spans="1:7" s="19" customFormat="1" ht="12">
      <c r="A130" s="5">
        <v>1922</v>
      </c>
      <c r="B130" s="6" t="s">
        <v>229</v>
      </c>
      <c r="C130" s="766">
        <f>SUM('2.mell'!H622)</f>
        <v>0</v>
      </c>
      <c r="D130" s="766">
        <f>SUM('2.mell'!I622)</f>
        <v>0</v>
      </c>
      <c r="E130" s="766">
        <f>SUM('2.mell'!J622)</f>
        <v>0</v>
      </c>
      <c r="F130" s="766">
        <f>SUM('2.mell'!K622)</f>
        <v>0</v>
      </c>
      <c r="G130" s="181"/>
    </row>
    <row r="131" spans="1:7" s="19" customFormat="1" ht="12.75">
      <c r="A131" s="5">
        <v>1923</v>
      </c>
      <c r="B131" s="6" t="s">
        <v>302</v>
      </c>
      <c r="C131" s="766">
        <f>SUM('2.mell'!H623)</f>
        <v>0</v>
      </c>
      <c r="D131" s="766">
        <f>SUM('2.mell'!I623)</f>
        <v>0</v>
      </c>
      <c r="E131" s="766">
        <f>SUM('2.mell'!J623)</f>
        <v>0</v>
      </c>
      <c r="F131" s="766">
        <f>SUM('2.mell'!K623)</f>
        <v>0</v>
      </c>
      <c r="G131" s="766"/>
    </row>
    <row r="132" spans="1:7" s="19" customFormat="1" ht="12.6" thickBot="1">
      <c r="A132" s="90">
        <v>1920</v>
      </c>
      <c r="B132" s="90" t="s">
        <v>57</v>
      </c>
      <c r="C132" s="829">
        <f aca="true" t="shared" si="67" ref="C132">SUM(C129:C131)</f>
        <v>15800</v>
      </c>
      <c r="D132" s="934">
        <f aca="true" t="shared" si="68" ref="D132">SUM(D129:D131)</f>
        <v>24014</v>
      </c>
      <c r="E132" s="934">
        <f aca="true" t="shared" si="69" ref="E132:F132">SUM(E129:E131)</f>
        <v>61014</v>
      </c>
      <c r="F132" s="934">
        <f t="shared" si="69"/>
        <v>15762</v>
      </c>
      <c r="G132" s="747">
        <f t="shared" si="21"/>
        <v>0.2583341528173862</v>
      </c>
    </row>
    <row r="133" spans="1:7" s="19" customFormat="1" ht="16.5" customHeight="1" thickBot="1">
      <c r="A133" s="91"/>
      <c r="B133" s="160"/>
      <c r="C133" s="799"/>
      <c r="D133" s="799"/>
      <c r="E133" s="799"/>
      <c r="F133" s="799"/>
      <c r="G133" s="721"/>
    </row>
    <row r="134" spans="1:7" s="29" customFormat="1" ht="13.8" thickBot="1">
      <c r="A134" s="28">
        <v>1940</v>
      </c>
      <c r="B134" s="92" t="s">
        <v>342</v>
      </c>
      <c r="C134" s="830">
        <f aca="true" t="shared" si="70" ref="C134">SUM(C127+C132)</f>
        <v>4921145</v>
      </c>
      <c r="D134" s="830">
        <f aca="true" t="shared" si="71" ref="D134">SUM(D127+D132)</f>
        <v>5243934</v>
      </c>
      <c r="E134" s="830">
        <f aca="true" t="shared" si="72" ref="E134:F134">SUM(E127+E132)</f>
        <v>5349885</v>
      </c>
      <c r="F134" s="830">
        <f t="shared" si="72"/>
        <v>3365301</v>
      </c>
      <c r="G134" s="721">
        <f t="shared" si="21"/>
        <v>0.6290417457571518</v>
      </c>
    </row>
    <row r="135" spans="1:7" s="29" customFormat="1" ht="13.2">
      <c r="A135" s="88"/>
      <c r="B135" s="188"/>
      <c r="C135" s="831"/>
      <c r="D135" s="831"/>
      <c r="E135" s="831"/>
      <c r="F135" s="831"/>
      <c r="G135" s="903"/>
    </row>
    <row r="136" spans="1:7" ht="14.25" customHeight="1">
      <c r="A136" s="14"/>
      <c r="B136" s="14" t="s">
        <v>330</v>
      </c>
      <c r="C136" s="805"/>
      <c r="D136" s="805"/>
      <c r="E136" s="805"/>
      <c r="F136" s="805"/>
      <c r="G136" s="181"/>
    </row>
    <row r="137" spans="1:7" ht="14.25" customHeight="1">
      <c r="A137" s="14"/>
      <c r="B137" s="78" t="s">
        <v>61</v>
      </c>
      <c r="C137" s="828"/>
      <c r="D137" s="828"/>
      <c r="E137" s="828"/>
      <c r="F137" s="1058"/>
      <c r="G137" s="181"/>
    </row>
    <row r="138" spans="1:7" ht="12.75">
      <c r="A138" s="5">
        <v>1951</v>
      </c>
      <c r="B138" s="6" t="s">
        <v>144</v>
      </c>
      <c r="C138" s="760">
        <f aca="true" t="shared" si="73" ref="C138:D140">SUM(C90+C122)</f>
        <v>4973438</v>
      </c>
      <c r="D138" s="760">
        <f t="shared" si="73"/>
        <v>5136315</v>
      </c>
      <c r="E138" s="760">
        <f aca="true" t="shared" si="74" ref="E138">SUM(E90+E122)</f>
        <v>5191871</v>
      </c>
      <c r="F138" s="289">
        <f aca="true" t="shared" si="75" ref="F138">SUM(F90+F122)</f>
        <v>3499186</v>
      </c>
      <c r="G138" s="720">
        <f t="shared" si="21"/>
        <v>0.673973987412245</v>
      </c>
    </row>
    <row r="139" spans="1:7" ht="12.75">
      <c r="A139" s="5">
        <v>1952</v>
      </c>
      <c r="B139" s="6" t="s">
        <v>281</v>
      </c>
      <c r="C139" s="760">
        <f t="shared" si="73"/>
        <v>826986</v>
      </c>
      <c r="D139" s="760">
        <f t="shared" si="73"/>
        <v>871320</v>
      </c>
      <c r="E139" s="760">
        <f aca="true" t="shared" si="76" ref="E139">SUM(E91+E123)</f>
        <v>878650</v>
      </c>
      <c r="F139" s="289">
        <f aca="true" t="shared" si="77" ref="F139">SUM(F91+F123)</f>
        <v>591980</v>
      </c>
      <c r="G139" s="720">
        <f t="shared" si="21"/>
        <v>0.6737381209810505</v>
      </c>
    </row>
    <row r="140" spans="1:7" ht="12.75">
      <c r="A140" s="5">
        <v>1953</v>
      </c>
      <c r="B140" s="6" t="s">
        <v>282</v>
      </c>
      <c r="C140" s="760">
        <f t="shared" si="73"/>
        <v>5569273</v>
      </c>
      <c r="D140" s="760">
        <f t="shared" si="73"/>
        <v>6739414</v>
      </c>
      <c r="E140" s="760">
        <f aca="true" t="shared" si="78" ref="E140">SUM(E92+E124)</f>
        <v>6779025</v>
      </c>
      <c r="F140" s="289">
        <f aca="true" t="shared" si="79" ref="F140">SUM(F92+F124)</f>
        <v>3813467</v>
      </c>
      <c r="G140" s="720">
        <f aca="true" t="shared" si="80" ref="G140:G155">SUM(F140/E140)</f>
        <v>0.5625391557045445</v>
      </c>
    </row>
    <row r="141" spans="1:7" ht="12.75">
      <c r="A141" s="5">
        <v>1954</v>
      </c>
      <c r="B141" s="6" t="s">
        <v>147</v>
      </c>
      <c r="C141" s="760">
        <f aca="true" t="shared" si="81" ref="C141">SUM(C125+C93)</f>
        <v>240124</v>
      </c>
      <c r="D141" s="760">
        <f aca="true" t="shared" si="82" ref="D141">SUM(D125+D93)</f>
        <v>252917</v>
      </c>
      <c r="E141" s="760">
        <f aca="true" t="shared" si="83" ref="E141">SUM(E125+E93)</f>
        <v>257917</v>
      </c>
      <c r="F141" s="289">
        <f aca="true" t="shared" si="84" ref="F141">SUM(F125+F93)</f>
        <v>112466</v>
      </c>
      <c r="G141" s="720">
        <f t="shared" si="80"/>
        <v>0.43605500994505986</v>
      </c>
    </row>
    <row r="142" spans="1:7" ht="12" thickBot="1">
      <c r="A142" s="5">
        <v>1955</v>
      </c>
      <c r="B142" s="6" t="s">
        <v>89</v>
      </c>
      <c r="C142" s="760">
        <f aca="true" t="shared" si="85" ref="C142">SUM(C94+C126)</f>
        <v>2042786</v>
      </c>
      <c r="D142" s="956">
        <f aca="true" t="shared" si="86" ref="D142">SUM(D94+D126)</f>
        <v>2424935</v>
      </c>
      <c r="E142" s="956">
        <f aca="true" t="shared" si="87" ref="E142">SUM(E94+E126)</f>
        <v>2407676</v>
      </c>
      <c r="F142" s="472">
        <f aca="true" t="shared" si="88" ref="F142">SUM(F94+F126)</f>
        <v>1539430</v>
      </c>
      <c r="G142" s="857">
        <f t="shared" si="80"/>
        <v>0.6393842028578596</v>
      </c>
    </row>
    <row r="143" spans="1:7" ht="18" customHeight="1" thickBot="1">
      <c r="A143" s="160">
        <v>1950</v>
      </c>
      <c r="B143" s="160" t="s">
        <v>51</v>
      </c>
      <c r="C143" s="768">
        <f aca="true" t="shared" si="89" ref="C143">SUM(C138:C142)</f>
        <v>13652607</v>
      </c>
      <c r="D143" s="771">
        <f aca="true" t="shared" si="90" ref="D143">SUM(D138:D142)</f>
        <v>15424901</v>
      </c>
      <c r="E143" s="771">
        <f aca="true" t="shared" si="91" ref="E143">SUM(E138:E142)</f>
        <v>15515139</v>
      </c>
      <c r="F143" s="1059">
        <f aca="true" t="shared" si="92" ref="F143">SUM(F138:F142)</f>
        <v>9556529</v>
      </c>
      <c r="G143" s="747">
        <f t="shared" si="80"/>
        <v>0.6159486550523331</v>
      </c>
    </row>
    <row r="144" spans="1:7" ht="12">
      <c r="A144" s="6"/>
      <c r="B144" s="89" t="s">
        <v>62</v>
      </c>
      <c r="C144" s="760"/>
      <c r="D144" s="760"/>
      <c r="E144" s="760"/>
      <c r="F144" s="289"/>
      <c r="G144" s="903"/>
    </row>
    <row r="145" spans="1:7" ht="12.75">
      <c r="A145" s="6">
        <v>1961</v>
      </c>
      <c r="B145" s="89" t="s">
        <v>230</v>
      </c>
      <c r="C145" s="761">
        <f aca="true" t="shared" si="93" ref="C145:E146">SUM(C99+C129)</f>
        <v>266710</v>
      </c>
      <c r="D145" s="761">
        <f t="shared" si="93"/>
        <v>605871</v>
      </c>
      <c r="E145" s="761">
        <f t="shared" si="93"/>
        <v>1339204</v>
      </c>
      <c r="F145" s="295">
        <f aca="true" t="shared" si="94" ref="F145">SUM(F99+F129)</f>
        <v>153763</v>
      </c>
      <c r="G145" s="720">
        <f t="shared" si="80"/>
        <v>0.1148167120169892</v>
      </c>
    </row>
    <row r="146" spans="1:7" ht="12.75">
      <c r="A146" s="5">
        <v>1962</v>
      </c>
      <c r="B146" s="6" t="s">
        <v>229</v>
      </c>
      <c r="C146" s="682">
        <f t="shared" si="93"/>
        <v>1845874</v>
      </c>
      <c r="D146" s="682">
        <f t="shared" si="93"/>
        <v>2959059</v>
      </c>
      <c r="E146" s="682">
        <f t="shared" si="93"/>
        <v>2185678</v>
      </c>
      <c r="F146" s="715">
        <f aca="true" t="shared" si="95" ref="F146">SUM(F100+F130)</f>
        <v>180169</v>
      </c>
      <c r="G146" s="720">
        <f t="shared" si="80"/>
        <v>0.08243162991071878</v>
      </c>
    </row>
    <row r="147" spans="1:7" ht="12" thickBot="1">
      <c r="A147" s="5">
        <v>1963</v>
      </c>
      <c r="B147" s="6" t="s">
        <v>302</v>
      </c>
      <c r="C147" s="832">
        <f aca="true" t="shared" si="96" ref="C147">SUM(C131+C101)</f>
        <v>122700</v>
      </c>
      <c r="D147" s="832">
        <f aca="true" t="shared" si="97" ref="D147">SUM(D131+D101)</f>
        <v>1134624</v>
      </c>
      <c r="E147" s="832">
        <f aca="true" t="shared" si="98" ref="E147">SUM(E131+E101)</f>
        <v>1126652</v>
      </c>
      <c r="F147" s="1060">
        <f aca="true" t="shared" si="99" ref="F147">SUM(F131+F101)</f>
        <v>434685</v>
      </c>
      <c r="G147" s="857">
        <f t="shared" si="80"/>
        <v>0.38582011126772064</v>
      </c>
    </row>
    <row r="148" spans="1:7" ht="17.25" customHeight="1" thickBot="1">
      <c r="A148" s="160">
        <v>1960</v>
      </c>
      <c r="B148" s="160" t="s">
        <v>57</v>
      </c>
      <c r="C148" s="771">
        <f aca="true" t="shared" si="100" ref="C148">SUM(C145:C147)</f>
        <v>2235284</v>
      </c>
      <c r="D148" s="771">
        <f aca="true" t="shared" si="101" ref="D148">SUM(D145:D147)</f>
        <v>4699554</v>
      </c>
      <c r="E148" s="771">
        <f aca="true" t="shared" si="102" ref="E148">SUM(E145:E147)</f>
        <v>4651534</v>
      </c>
      <c r="F148" s="771">
        <f aca="true" t="shared" si="103" ref="F148">SUM(F145:F147)</f>
        <v>768617</v>
      </c>
      <c r="G148" s="721">
        <f t="shared" si="80"/>
        <v>0.16523946723811972</v>
      </c>
    </row>
    <row r="149" spans="1:7" ht="13.5" customHeight="1">
      <c r="A149" s="861">
        <v>1973</v>
      </c>
      <c r="B149" s="119" t="s">
        <v>553</v>
      </c>
      <c r="C149" s="862"/>
      <c r="D149" s="862"/>
      <c r="E149" s="862">
        <f>E104</f>
        <v>339900</v>
      </c>
      <c r="F149" s="862">
        <f>F104</f>
        <v>361622</v>
      </c>
      <c r="G149" s="903">
        <f t="shared" si="80"/>
        <v>1.063907031479847</v>
      </c>
    </row>
    <row r="150" spans="1:7" ht="12.75">
      <c r="A150" s="73">
        <v>1974</v>
      </c>
      <c r="B150" s="119" t="s">
        <v>432</v>
      </c>
      <c r="C150" s="761">
        <f aca="true" t="shared" si="104" ref="C150">SUM(C107)</f>
        <v>7230074</v>
      </c>
      <c r="D150" s="761">
        <f aca="true" t="shared" si="105" ref="D150">SUM(D107)</f>
        <v>7456748</v>
      </c>
      <c r="E150" s="761">
        <f aca="true" t="shared" si="106" ref="E150">SUM(E107)</f>
        <v>7590653</v>
      </c>
      <c r="F150" s="761">
        <f aca="true" t="shared" si="107" ref="F150">SUM(F107)</f>
        <v>4682103</v>
      </c>
      <c r="G150" s="720">
        <f t="shared" si="80"/>
        <v>0.6168247975503557</v>
      </c>
    </row>
    <row r="151" spans="1:7" ht="12.6" thickBot="1">
      <c r="A151" s="201">
        <v>1975</v>
      </c>
      <c r="B151" s="119" t="s">
        <v>422</v>
      </c>
      <c r="C151" s="761">
        <f aca="true" t="shared" si="108" ref="C151">SUM(C105)</f>
        <v>96485</v>
      </c>
      <c r="D151" s="935">
        <f aca="true" t="shared" si="109" ref="D151">SUM(D105)</f>
        <v>96485</v>
      </c>
      <c r="E151" s="935">
        <f aca="true" t="shared" si="110" ref="E151">SUM(E105)</f>
        <v>96485</v>
      </c>
      <c r="F151" s="935">
        <f aca="true" t="shared" si="111" ref="F151">SUM(F105)</f>
        <v>96485</v>
      </c>
      <c r="G151" s="859">
        <f t="shared" si="80"/>
        <v>1</v>
      </c>
    </row>
    <row r="152" spans="1:7" ht="17.25" customHeight="1" thickBot="1">
      <c r="A152" s="174">
        <v>1970</v>
      </c>
      <c r="B152" s="160" t="s">
        <v>31</v>
      </c>
      <c r="C152" s="769">
        <f>SUM(C149:C151)</f>
        <v>7326559</v>
      </c>
      <c r="D152" s="769">
        <f>SUM(D149:D151)</f>
        <v>7553233</v>
      </c>
      <c r="E152" s="769">
        <f>SUM(E149:E151)</f>
        <v>8027038</v>
      </c>
      <c r="F152" s="769">
        <f>SUM(F149:F151)</f>
        <v>5140210</v>
      </c>
      <c r="G152" s="721">
        <f t="shared" si="80"/>
        <v>0.6403619865758702</v>
      </c>
    </row>
    <row r="153" spans="1:7" ht="12" customHeight="1" thickBot="1">
      <c r="A153" s="6">
        <v>1981</v>
      </c>
      <c r="B153" s="123" t="s">
        <v>423</v>
      </c>
      <c r="C153" s="715">
        <f aca="true" t="shared" si="112" ref="C153">SUM(C114)</f>
        <v>48000</v>
      </c>
      <c r="D153" s="284">
        <f aca="true" t="shared" si="113" ref="D153">SUM(D114)</f>
        <v>48000</v>
      </c>
      <c r="E153" s="284">
        <f aca="true" t="shared" si="114" ref="E153">SUM(E114)</f>
        <v>48000</v>
      </c>
      <c r="F153" s="284">
        <f aca="true" t="shared" si="115" ref="F153">SUM(F114)</f>
        <v>36000</v>
      </c>
      <c r="G153" s="858">
        <f t="shared" si="80"/>
        <v>0.75</v>
      </c>
    </row>
    <row r="154" spans="1:7" ht="17.25" customHeight="1" thickBot="1">
      <c r="A154" s="174">
        <v>1980</v>
      </c>
      <c r="B154" s="160" t="s">
        <v>30</v>
      </c>
      <c r="C154" s="714">
        <f aca="true" t="shared" si="116" ref="C154">SUM(C153:C153)</f>
        <v>48000</v>
      </c>
      <c r="D154" s="714">
        <f aca="true" t="shared" si="117" ref="D154">SUM(D153:D153)</f>
        <v>48000</v>
      </c>
      <c r="E154" s="714">
        <f aca="true" t="shared" si="118" ref="E154">SUM(E153:E153)</f>
        <v>48000</v>
      </c>
      <c r="F154" s="714">
        <f aca="true" t="shared" si="119" ref="F154">SUM(F153:F153)</f>
        <v>36000</v>
      </c>
      <c r="G154" s="721">
        <f t="shared" si="80"/>
        <v>0.75</v>
      </c>
    </row>
    <row r="155" spans="1:7" ht="26.25" customHeight="1" thickBot="1">
      <c r="A155" s="30"/>
      <c r="B155" s="640" t="s">
        <v>374</v>
      </c>
      <c r="C155" s="716">
        <f>SUM(C153+C148+C143+C151)+C149</f>
        <v>16032376</v>
      </c>
      <c r="D155" s="716">
        <f>SUM(D153+D148+D143+D151)+D149</f>
        <v>20268940</v>
      </c>
      <c r="E155" s="716">
        <f>SUM(E153+E148+E143+E151)+E149</f>
        <v>20651058</v>
      </c>
      <c r="F155" s="716">
        <f>SUM(F153+F148+F143+F151)+F149</f>
        <v>10819253</v>
      </c>
      <c r="G155" s="920">
        <f t="shared" si="80"/>
        <v>0.523907927622885</v>
      </c>
    </row>
    <row r="156" ht="12">
      <c r="G156" s="552"/>
    </row>
    <row r="157" ht="12">
      <c r="G157" s="552"/>
    </row>
    <row r="158" ht="12">
      <c r="G158" s="552"/>
    </row>
    <row r="159" ht="12">
      <c r="G159" s="552"/>
    </row>
    <row r="160" ht="12">
      <c r="G160" s="552"/>
    </row>
    <row r="161" ht="12">
      <c r="G161" s="552"/>
    </row>
    <row r="162" ht="12">
      <c r="G162" s="552"/>
    </row>
    <row r="163" ht="12">
      <c r="G163" s="552"/>
    </row>
    <row r="164" ht="12">
      <c r="G164" s="552"/>
    </row>
    <row r="222" spans="1:2" ht="13.2">
      <c r="A222"/>
      <c r="B222"/>
    </row>
    <row r="223" spans="1:2" ht="13.2">
      <c r="A223"/>
      <c r="B223"/>
    </row>
    <row r="224" spans="1:2" ht="13.2">
      <c r="A224"/>
      <c r="B224"/>
    </row>
    <row r="225" spans="1:2" ht="13.2">
      <c r="A225"/>
      <c r="B225"/>
    </row>
    <row r="226" spans="1:2" ht="13.2">
      <c r="A226"/>
      <c r="B226"/>
    </row>
    <row r="227" spans="1:2" ht="13.2">
      <c r="A227"/>
      <c r="B227"/>
    </row>
    <row r="228" spans="1:2" ht="13.2">
      <c r="A228"/>
      <c r="B228"/>
    </row>
    <row r="229" spans="1:2" ht="13.2">
      <c r="A229"/>
      <c r="B229"/>
    </row>
    <row r="230" spans="1:2" ht="13.2">
      <c r="A230"/>
      <c r="B230"/>
    </row>
    <row r="231" spans="1:2" ht="13.2">
      <c r="A231"/>
      <c r="B231"/>
    </row>
    <row r="232" spans="1:2" ht="13.2">
      <c r="A232"/>
      <c r="B232"/>
    </row>
    <row r="233" spans="1:2" ht="13.2">
      <c r="A233"/>
      <c r="B233"/>
    </row>
    <row r="234" spans="1:2" ht="13.2">
      <c r="A234"/>
      <c r="B234"/>
    </row>
    <row r="235" spans="1:2" ht="13.2">
      <c r="A235"/>
      <c r="B235"/>
    </row>
    <row r="236" spans="1:2" ht="13.2">
      <c r="A236"/>
      <c r="B236"/>
    </row>
    <row r="237" spans="1:2" ht="13.2">
      <c r="A237"/>
      <c r="B237"/>
    </row>
    <row r="238" spans="1:2" ht="13.2">
      <c r="A238"/>
      <c r="B238"/>
    </row>
    <row r="239" spans="1:2" ht="13.2">
      <c r="A239"/>
      <c r="B239"/>
    </row>
    <row r="240" spans="1:2" ht="13.2">
      <c r="A240"/>
      <c r="B240"/>
    </row>
    <row r="241" spans="1:2" ht="13.2">
      <c r="A241"/>
      <c r="B241"/>
    </row>
    <row r="242" spans="1:2" ht="13.2">
      <c r="A242"/>
      <c r="B242"/>
    </row>
    <row r="243" spans="1:2" ht="13.2">
      <c r="A243"/>
      <c r="B243"/>
    </row>
    <row r="244" spans="1:2" ht="13.2">
      <c r="A244"/>
      <c r="B244"/>
    </row>
    <row r="245" spans="1:2" ht="13.2">
      <c r="A245"/>
      <c r="B245"/>
    </row>
    <row r="246" spans="1:2" ht="13.2">
      <c r="A246"/>
      <c r="B246"/>
    </row>
    <row r="247" spans="1:2" ht="13.2">
      <c r="A247"/>
      <c r="B247"/>
    </row>
    <row r="248" spans="1:2" ht="13.2">
      <c r="A248"/>
      <c r="B248"/>
    </row>
    <row r="249" spans="1:2" ht="13.2">
      <c r="A249"/>
      <c r="B249"/>
    </row>
    <row r="250" spans="1:2" ht="13.2">
      <c r="A250"/>
      <c r="B250"/>
    </row>
    <row r="251" spans="1:2" ht="13.2">
      <c r="A251"/>
      <c r="B251"/>
    </row>
    <row r="252" spans="1:2" ht="13.2">
      <c r="A252"/>
      <c r="B252"/>
    </row>
    <row r="253" spans="1:2" ht="13.2">
      <c r="A253"/>
      <c r="B253"/>
    </row>
    <row r="254" spans="1:2" ht="13.2">
      <c r="A254"/>
      <c r="B254"/>
    </row>
    <row r="255" spans="1:2" ht="13.2">
      <c r="A255"/>
      <c r="B255"/>
    </row>
    <row r="256" spans="1:2" ht="13.2">
      <c r="A256"/>
      <c r="B256"/>
    </row>
    <row r="257" spans="1:2" ht="13.2">
      <c r="A257"/>
      <c r="B257"/>
    </row>
    <row r="258" spans="1:2" ht="13.2">
      <c r="A258"/>
      <c r="B258"/>
    </row>
    <row r="259" spans="1:2" ht="13.2">
      <c r="A259"/>
      <c r="B259"/>
    </row>
    <row r="260" spans="1:2" ht="13.2">
      <c r="A260"/>
      <c r="B260"/>
    </row>
    <row r="261" spans="1:2" ht="13.2">
      <c r="A261"/>
      <c r="B261"/>
    </row>
    <row r="262" spans="1:2" ht="13.2">
      <c r="A262"/>
      <c r="B262"/>
    </row>
  </sheetData>
  <mergeCells count="7">
    <mergeCell ref="G5:G7"/>
    <mergeCell ref="A2:G2"/>
    <mergeCell ref="A1:G1"/>
    <mergeCell ref="C5:C7"/>
    <mergeCell ref="D5:D7"/>
    <mergeCell ref="E5:E7"/>
    <mergeCell ref="F5:F7"/>
  </mergeCells>
  <printOptions horizontalCentered="1"/>
  <pageMargins left="0" right="0" top="0.3937007874015748" bottom="0.31496062992125984" header="0.11811023622047245" footer="0"/>
  <pageSetup firstPageNumber="8" useFirstPageNumber="1" horizontalDpi="600" verticalDpi="600" orientation="landscape" paperSize="9" scale="93" r:id="rId1"/>
  <headerFooter alignWithMargins="0">
    <oddFooter>&amp;C&amp;P. oldal</oddFooter>
  </headerFooter>
  <rowBreaks count="2" manualBreakCount="2">
    <brk id="88" max="16383" man="1"/>
    <brk id="1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I625"/>
  <sheetViews>
    <sheetView view="pageBreakPreview" zoomScale="120" zoomScaleSheetLayoutView="120" workbookViewId="0" topLeftCell="A595">
      <selection activeCell="D593" sqref="D593"/>
    </sheetView>
  </sheetViews>
  <sheetFormatPr defaultColWidth="9.125" defaultRowHeight="12.75"/>
  <cols>
    <col min="1" max="1" width="8.50390625" style="216" customWidth="1"/>
    <col min="2" max="2" width="61.875" style="216" customWidth="1"/>
    <col min="3" max="6" width="11.625" style="216" customWidth="1"/>
    <col min="7" max="7" width="8.50390625" style="216" customWidth="1"/>
    <col min="8" max="8" width="9.00390625" style="216" bestFit="1" customWidth="1"/>
    <col min="9" max="9" width="9.625" style="216" bestFit="1" customWidth="1"/>
    <col min="10" max="16384" width="9.125" style="216" customWidth="1"/>
  </cols>
  <sheetData>
    <row r="1" spans="1:7" ht="12.75">
      <c r="A1" s="1098" t="s">
        <v>257</v>
      </c>
      <c r="B1" s="1094"/>
      <c r="C1" s="1094"/>
      <c r="D1" s="1094"/>
      <c r="E1" s="1094"/>
      <c r="F1" s="1094"/>
      <c r="G1" s="1094"/>
    </row>
    <row r="2" spans="1:7" ht="12.75">
      <c r="A2" s="1092" t="s">
        <v>607</v>
      </c>
      <c r="B2" s="1093"/>
      <c r="C2" s="1094"/>
      <c r="D2" s="1094"/>
      <c r="E2" s="1094"/>
      <c r="F2" s="1094"/>
      <c r="G2" s="1094"/>
    </row>
    <row r="3" spans="1:2" ht="12.75">
      <c r="A3" s="217"/>
      <c r="B3" s="217"/>
    </row>
    <row r="4" spans="1:7" ht="12.75">
      <c r="A4" s="296"/>
      <c r="B4" s="297"/>
      <c r="C4" s="298"/>
      <c r="D4" s="298"/>
      <c r="E4" s="298"/>
      <c r="F4" s="298"/>
      <c r="G4" s="298" t="s">
        <v>164</v>
      </c>
    </row>
    <row r="5" spans="1:7" ht="12.6" customHeight="1">
      <c r="A5" s="1099" t="s">
        <v>258</v>
      </c>
      <c r="B5" s="1099" t="s">
        <v>148</v>
      </c>
      <c r="C5" s="1102" t="s">
        <v>617</v>
      </c>
      <c r="D5" s="1102" t="s">
        <v>651</v>
      </c>
      <c r="E5" s="1102" t="s">
        <v>657</v>
      </c>
      <c r="F5" s="1102" t="s">
        <v>660</v>
      </c>
      <c r="G5" s="1095" t="s">
        <v>659</v>
      </c>
    </row>
    <row r="6" spans="1:7" ht="12.75">
      <c r="A6" s="1100"/>
      <c r="B6" s="1100"/>
      <c r="C6" s="1103"/>
      <c r="D6" s="1103"/>
      <c r="E6" s="1105"/>
      <c r="F6" s="1105"/>
      <c r="G6" s="1096"/>
    </row>
    <row r="7" spans="1:7" ht="13.8" thickBot="1">
      <c r="A7" s="1101"/>
      <c r="B7" s="1101"/>
      <c r="C7" s="1104"/>
      <c r="D7" s="1104"/>
      <c r="E7" s="1106"/>
      <c r="F7" s="1106"/>
      <c r="G7" s="1097"/>
    </row>
    <row r="8" spans="1:7" ht="13.8" thickBot="1">
      <c r="A8" s="299" t="s">
        <v>260</v>
      </c>
      <c r="B8" s="300" t="s">
        <v>261</v>
      </c>
      <c r="C8" s="299" t="s">
        <v>151</v>
      </c>
      <c r="D8" s="299" t="s">
        <v>561</v>
      </c>
      <c r="E8" s="299" t="s">
        <v>562</v>
      </c>
      <c r="F8" s="299" t="s">
        <v>582</v>
      </c>
      <c r="G8" s="299" t="s">
        <v>583</v>
      </c>
    </row>
    <row r="9" spans="1:7" ht="13.8">
      <c r="A9" s="218">
        <v>2305</v>
      </c>
      <c r="B9" s="301" t="s">
        <v>301</v>
      </c>
      <c r="C9" s="302"/>
      <c r="D9" s="302"/>
      <c r="E9" s="302"/>
      <c r="F9" s="302"/>
      <c r="G9" s="1010"/>
    </row>
    <row r="10" spans="1:7" ht="12.75" customHeight="1">
      <c r="A10" s="218"/>
      <c r="B10" s="303" t="s">
        <v>173</v>
      </c>
      <c r="C10" s="302"/>
      <c r="D10" s="302"/>
      <c r="E10" s="302"/>
      <c r="F10" s="302"/>
      <c r="G10" s="1010"/>
    </row>
    <row r="11" spans="1:7" ht="12.75" customHeight="1" thickBot="1">
      <c r="A11" s="218"/>
      <c r="B11" s="304" t="s">
        <v>174</v>
      </c>
      <c r="C11" s="1011"/>
      <c r="D11" s="1011"/>
      <c r="E11" s="1011"/>
      <c r="F11" s="1012"/>
      <c r="G11" s="1010"/>
    </row>
    <row r="12" spans="1:7" ht="13.5" customHeight="1" thickBot="1">
      <c r="A12" s="218"/>
      <c r="B12" s="305" t="s">
        <v>175</v>
      </c>
      <c r="C12" s="528"/>
      <c r="D12" s="528"/>
      <c r="E12" s="528"/>
      <c r="F12" s="1009">
        <f>SUM(F10:F11)</f>
        <v>0</v>
      </c>
      <c r="G12" s="1013"/>
    </row>
    <row r="13" spans="1:7" ht="12.75">
      <c r="A13" s="306"/>
      <c r="B13" s="303" t="s">
        <v>176</v>
      </c>
      <c r="C13" s="1014"/>
      <c r="D13" s="1014"/>
      <c r="E13" s="1014"/>
      <c r="F13" s="1014">
        <f>F14+F15</f>
        <v>0</v>
      </c>
      <c r="G13" s="1010"/>
    </row>
    <row r="14" spans="1:7" ht="12.75">
      <c r="A14" s="306"/>
      <c r="B14" s="308" t="s">
        <v>177</v>
      </c>
      <c r="C14" s="1015"/>
      <c r="D14" s="1015"/>
      <c r="E14" s="1015"/>
      <c r="F14" s="1015"/>
      <c r="G14" s="1010"/>
    </row>
    <row r="15" spans="1:7" ht="12.75">
      <c r="A15" s="306"/>
      <c r="B15" s="308" t="s">
        <v>178</v>
      </c>
      <c r="C15" s="1015"/>
      <c r="D15" s="1015"/>
      <c r="E15" s="1015"/>
      <c r="F15" s="1015"/>
      <c r="G15" s="1010"/>
    </row>
    <row r="16" spans="1:7" ht="12.75">
      <c r="A16" s="306"/>
      <c r="B16" s="309" t="s">
        <v>179</v>
      </c>
      <c r="C16" s="1014"/>
      <c r="D16" s="1014"/>
      <c r="E16" s="1014"/>
      <c r="F16" s="1014"/>
      <c r="G16" s="1010"/>
    </row>
    <row r="17" spans="1:7" ht="12.75">
      <c r="A17" s="306"/>
      <c r="B17" s="309" t="s">
        <v>180</v>
      </c>
      <c r="C17" s="1014"/>
      <c r="D17" s="1014"/>
      <c r="E17" s="1014"/>
      <c r="F17" s="1014"/>
      <c r="G17" s="1010"/>
    </row>
    <row r="18" spans="1:7" ht="12.75">
      <c r="A18" s="306"/>
      <c r="B18" s="309" t="s">
        <v>181</v>
      </c>
      <c r="C18" s="1014"/>
      <c r="D18" s="1014"/>
      <c r="E18" s="1014"/>
      <c r="F18" s="1014"/>
      <c r="G18" s="1010"/>
    </row>
    <row r="19" spans="1:7" ht="12.75">
      <c r="A19" s="306"/>
      <c r="B19" s="310" t="s">
        <v>424</v>
      </c>
      <c r="C19" s="1014"/>
      <c r="D19" s="1014"/>
      <c r="E19" s="1014"/>
      <c r="F19" s="1014"/>
      <c r="G19" s="1010"/>
    </row>
    <row r="20" spans="1:7" ht="13.8" thickBot="1">
      <c r="A20" s="306"/>
      <c r="B20" s="311" t="s">
        <v>182</v>
      </c>
      <c r="C20" s="1016"/>
      <c r="D20" s="1016"/>
      <c r="E20" s="1016"/>
      <c r="F20" s="1014"/>
      <c r="G20" s="1010"/>
    </row>
    <row r="21" spans="1:8" ht="13.8" thickBot="1">
      <c r="A21" s="306"/>
      <c r="B21" s="312" t="s">
        <v>324</v>
      </c>
      <c r="C21" s="1017"/>
      <c r="D21" s="1017"/>
      <c r="E21" s="1017"/>
      <c r="F21" s="1018">
        <f>SUM(F13,F16:F20)</f>
        <v>0</v>
      </c>
      <c r="G21" s="1053"/>
      <c r="H21" s="896"/>
    </row>
    <row r="22" spans="1:8" ht="18.75" customHeight="1" thickBot="1">
      <c r="A22" s="313"/>
      <c r="B22" s="314" t="s">
        <v>58</v>
      </c>
      <c r="C22" s="1020"/>
      <c r="D22" s="1020"/>
      <c r="E22" s="1020"/>
      <c r="F22" s="1020">
        <f>F12+F21</f>
        <v>0</v>
      </c>
      <c r="G22" s="1054"/>
      <c r="H22" s="896"/>
    </row>
    <row r="23" spans="1:8" ht="12.6" customHeight="1" thickBot="1">
      <c r="A23" s="313"/>
      <c r="B23" s="642" t="s">
        <v>437</v>
      </c>
      <c r="C23" s="1021"/>
      <c r="D23" s="1021"/>
      <c r="E23" s="1021"/>
      <c r="F23" s="1021"/>
      <c r="G23" s="1055"/>
      <c r="H23" s="896"/>
    </row>
    <row r="24" spans="1:8" ht="18.75" customHeight="1" thickBot="1">
      <c r="A24" s="306"/>
      <c r="B24" s="315" t="s">
        <v>59</v>
      </c>
      <c r="C24" s="1022"/>
      <c r="D24" s="1022"/>
      <c r="E24" s="1022"/>
      <c r="F24" s="1022">
        <f>F23</f>
        <v>0</v>
      </c>
      <c r="G24" s="1054"/>
      <c r="H24" s="896"/>
    </row>
    <row r="25" spans="1:8" ht="12.75" customHeight="1">
      <c r="A25" s="306"/>
      <c r="B25" s="637" t="s">
        <v>397</v>
      </c>
      <c r="C25" s="1023"/>
      <c r="D25" s="1023">
        <v>740</v>
      </c>
      <c r="E25" s="1023">
        <v>740</v>
      </c>
      <c r="F25" s="1023">
        <v>740</v>
      </c>
      <c r="G25" s="1010">
        <f aca="true" t="shared" si="0" ref="G25:G74">F25/E25</f>
        <v>1</v>
      </c>
      <c r="H25" s="896"/>
    </row>
    <row r="26" spans="1:8" ht="13.8" thickBot="1">
      <c r="A26" s="306"/>
      <c r="B26" s="318" t="s">
        <v>430</v>
      </c>
      <c r="C26" s="1024">
        <v>174336</v>
      </c>
      <c r="D26" s="1024">
        <v>174424</v>
      </c>
      <c r="E26" s="1024">
        <f>174424+520</f>
        <v>174944</v>
      </c>
      <c r="F26" s="1025">
        <v>117994</v>
      </c>
      <c r="G26" s="1010">
        <f t="shared" si="0"/>
        <v>0.6744672580940186</v>
      </c>
      <c r="H26" s="897"/>
    </row>
    <row r="27" spans="1:8" ht="18.75" customHeight="1" thickBot="1">
      <c r="A27" s="306"/>
      <c r="B27" s="319" t="s">
        <v>52</v>
      </c>
      <c r="C27" s="1022">
        <f aca="true" t="shared" si="1" ref="C27">SUM(C25:C26)</f>
        <v>174336</v>
      </c>
      <c r="D27" s="1022">
        <f aca="true" t="shared" si="2" ref="D27:F27">SUM(D25:D26)</f>
        <v>175164</v>
      </c>
      <c r="E27" s="1022">
        <f t="shared" si="2"/>
        <v>175684</v>
      </c>
      <c r="F27" s="1019">
        <f t="shared" si="2"/>
        <v>118734</v>
      </c>
      <c r="G27" s="1054">
        <f t="shared" si="0"/>
        <v>0.675838437194053</v>
      </c>
      <c r="H27" s="896"/>
    </row>
    <row r="28" spans="1:8" ht="12.75" customHeight="1" thickBot="1">
      <c r="A28" s="306"/>
      <c r="B28" s="241" t="s">
        <v>397</v>
      </c>
      <c r="C28" s="1021"/>
      <c r="D28" s="1021">
        <v>700</v>
      </c>
      <c r="E28" s="1021">
        <v>700</v>
      </c>
      <c r="F28" s="1021">
        <v>700</v>
      </c>
      <c r="G28" s="1054">
        <f>F28/E28</f>
        <v>1</v>
      </c>
      <c r="H28" s="896"/>
    </row>
    <row r="29" spans="1:8" ht="15" customHeight="1" thickBot="1">
      <c r="A29" s="306"/>
      <c r="B29" s="319" t="s">
        <v>54</v>
      </c>
      <c r="C29" s="1026"/>
      <c r="D29" s="1026">
        <f>SUM(D28)</f>
        <v>700</v>
      </c>
      <c r="E29" s="1026">
        <f>SUM(E28)</f>
        <v>700</v>
      </c>
      <c r="F29" s="1026">
        <f>SUM(F28)</f>
        <v>700</v>
      </c>
      <c r="G29" s="1054">
        <f t="shared" si="0"/>
        <v>1</v>
      </c>
      <c r="H29" s="896"/>
    </row>
    <row r="30" spans="1:8" ht="14.4" thickBot="1">
      <c r="A30" s="320"/>
      <c r="B30" s="321" t="s">
        <v>66</v>
      </c>
      <c r="C30" s="796">
        <f aca="true" t="shared" si="3" ref="C30">SUM(C22+C24+C27+C29)</f>
        <v>174336</v>
      </c>
      <c r="D30" s="796">
        <f aca="true" t="shared" si="4" ref="D30:E30">SUM(D22+D24+D27+D29)</f>
        <v>175864</v>
      </c>
      <c r="E30" s="796">
        <f t="shared" si="4"/>
        <v>176384</v>
      </c>
      <c r="F30" s="796">
        <f aca="true" t="shared" si="5" ref="F30">SUM(F22+F24+F27+F29)</f>
        <v>119434</v>
      </c>
      <c r="G30" s="1054">
        <f t="shared" si="0"/>
        <v>0.6771249092888244</v>
      </c>
      <c r="H30" s="896"/>
    </row>
    <row r="31" spans="1:8" ht="12.75">
      <c r="A31" s="302"/>
      <c r="B31" s="322" t="s">
        <v>304</v>
      </c>
      <c r="C31" s="1027">
        <v>144499</v>
      </c>
      <c r="D31" s="1027">
        <f>144499+2</f>
        <v>144501</v>
      </c>
      <c r="E31" s="1027">
        <f>144499+2+450</f>
        <v>144951</v>
      </c>
      <c r="F31" s="1027">
        <v>99540</v>
      </c>
      <c r="G31" s="1010">
        <f t="shared" si="0"/>
        <v>0.6867148208705011</v>
      </c>
      <c r="H31" s="897"/>
    </row>
    <row r="32" spans="1:8" ht="12.75">
      <c r="A32" s="302"/>
      <c r="B32" s="322" t="s">
        <v>305</v>
      </c>
      <c r="C32" s="1027">
        <v>24519</v>
      </c>
      <c r="D32" s="1027">
        <f>24519+61</f>
        <v>24580</v>
      </c>
      <c r="E32" s="1027">
        <f>24519+61+70</f>
        <v>24650</v>
      </c>
      <c r="F32" s="1027">
        <v>17204</v>
      </c>
      <c r="G32" s="1010">
        <f t="shared" si="0"/>
        <v>0.6979310344827586</v>
      </c>
      <c r="H32" s="897"/>
    </row>
    <row r="33" spans="1:8" ht="12.75">
      <c r="A33" s="302"/>
      <c r="B33" s="322" t="s">
        <v>306</v>
      </c>
      <c r="C33" s="1027">
        <v>4918</v>
      </c>
      <c r="D33" s="1027">
        <v>5683</v>
      </c>
      <c r="E33" s="1027">
        <v>5683</v>
      </c>
      <c r="F33" s="1027">
        <v>1610</v>
      </c>
      <c r="G33" s="1010">
        <f t="shared" si="0"/>
        <v>0.28330107337673766</v>
      </c>
      <c r="H33" s="897"/>
    </row>
    <row r="34" spans="1:8" ht="12.75">
      <c r="A34" s="302"/>
      <c r="B34" s="323" t="s">
        <v>308</v>
      </c>
      <c r="C34" s="1027"/>
      <c r="D34" s="1027"/>
      <c r="E34" s="1027"/>
      <c r="F34" s="1027"/>
      <c r="G34" s="1010"/>
      <c r="H34" s="896"/>
    </row>
    <row r="35" spans="1:8" ht="13.8" thickBot="1">
      <c r="A35" s="302"/>
      <c r="B35" s="324" t="s">
        <v>307</v>
      </c>
      <c r="C35" s="1028"/>
      <c r="D35" s="1028"/>
      <c r="E35" s="1028"/>
      <c r="F35" s="1027"/>
      <c r="G35" s="1010"/>
      <c r="H35" s="896"/>
    </row>
    <row r="36" spans="1:8" ht="13.8" thickBot="1">
      <c r="A36" s="302"/>
      <c r="B36" s="325" t="s">
        <v>51</v>
      </c>
      <c r="C36" s="796">
        <f aca="true" t="shared" si="6" ref="C36">SUM(C31:C35)</f>
        <v>173936</v>
      </c>
      <c r="D36" s="796">
        <f aca="true" t="shared" si="7" ref="D36:F36">SUM(D31:D35)</f>
        <v>174764</v>
      </c>
      <c r="E36" s="796">
        <f t="shared" si="7"/>
        <v>175284</v>
      </c>
      <c r="F36" s="796">
        <f t="shared" si="7"/>
        <v>118354</v>
      </c>
      <c r="G36" s="1053">
        <f t="shared" si="0"/>
        <v>0.6752127975171721</v>
      </c>
      <c r="H36" s="896"/>
    </row>
    <row r="37" spans="1:8" ht="12.75">
      <c r="A37" s="302"/>
      <c r="B37" s="322" t="s">
        <v>231</v>
      </c>
      <c r="C37" s="1027">
        <v>400</v>
      </c>
      <c r="D37" s="1027">
        <f>400+700</f>
        <v>1100</v>
      </c>
      <c r="E37" s="1027">
        <f>400+700</f>
        <v>1100</v>
      </c>
      <c r="F37" s="1027">
        <v>715</v>
      </c>
      <c r="G37" s="1010">
        <f t="shared" si="0"/>
        <v>0.65</v>
      </c>
      <c r="H37" s="897"/>
    </row>
    <row r="38" spans="1:8" ht="12.75">
      <c r="A38" s="302"/>
      <c r="B38" s="322" t="s">
        <v>232</v>
      </c>
      <c r="C38" s="1027"/>
      <c r="D38" s="1027"/>
      <c r="E38" s="1027"/>
      <c r="F38" s="1027"/>
      <c r="G38" s="1010"/>
      <c r="H38" s="896"/>
    </row>
    <row r="39" spans="1:8" ht="13.8" thickBot="1">
      <c r="A39" s="302"/>
      <c r="B39" s="324" t="s">
        <v>406</v>
      </c>
      <c r="C39" s="1028"/>
      <c r="D39" s="1028"/>
      <c r="E39" s="1028"/>
      <c r="F39" s="1027"/>
      <c r="G39" s="1010"/>
      <c r="H39" s="896"/>
    </row>
    <row r="40" spans="1:8" ht="13.8" thickBot="1">
      <c r="A40" s="302"/>
      <c r="B40" s="326" t="s">
        <v>57</v>
      </c>
      <c r="C40" s="796">
        <f aca="true" t="shared" si="8" ref="C40">SUM(C37:C39)</f>
        <v>400</v>
      </c>
      <c r="D40" s="796">
        <f aca="true" t="shared" si="9" ref="D40:E40">SUM(D37:D39)</f>
        <v>1100</v>
      </c>
      <c r="E40" s="796">
        <f t="shared" si="9"/>
        <v>1100</v>
      </c>
      <c r="F40" s="796">
        <f aca="true" t="shared" si="10" ref="F40">SUM(F37:F39)</f>
        <v>715</v>
      </c>
      <c r="G40" s="1053">
        <f t="shared" si="0"/>
        <v>0.65</v>
      </c>
      <c r="H40" s="896"/>
    </row>
    <row r="41" spans="1:8" ht="14.4" thickBot="1">
      <c r="A41" s="299"/>
      <c r="B41" s="327" t="s">
        <v>103</v>
      </c>
      <c r="C41" s="796">
        <f aca="true" t="shared" si="11" ref="C41">SUM(C36+C40)</f>
        <v>174336</v>
      </c>
      <c r="D41" s="796">
        <f aca="true" t="shared" si="12" ref="D41:E41">SUM(D36+D40)</f>
        <v>175864</v>
      </c>
      <c r="E41" s="796">
        <f t="shared" si="12"/>
        <v>176384</v>
      </c>
      <c r="F41" s="796">
        <f aca="true" t="shared" si="13" ref="F41">SUM(F36+F40)</f>
        <v>119069</v>
      </c>
      <c r="G41" s="1054">
        <f t="shared" si="0"/>
        <v>0.6750555605950653</v>
      </c>
      <c r="H41" s="896"/>
    </row>
    <row r="42" spans="1:8" ht="13.8">
      <c r="A42" s="218">
        <v>2309</v>
      </c>
      <c r="B42" s="328" t="s">
        <v>309</v>
      </c>
      <c r="C42" s="775"/>
      <c r="D42" s="775"/>
      <c r="E42" s="775"/>
      <c r="F42" s="775"/>
      <c r="G42" s="1029"/>
      <c r="H42" s="896"/>
    </row>
    <row r="43" spans="1:8" ht="12.6" customHeight="1">
      <c r="A43" s="302"/>
      <c r="B43" s="303" t="s">
        <v>173</v>
      </c>
      <c r="C43" s="775"/>
      <c r="D43" s="775"/>
      <c r="E43" s="775"/>
      <c r="F43" s="775"/>
      <c r="G43" s="1030"/>
      <c r="H43" s="896"/>
    </row>
    <row r="44" spans="1:8" ht="13.8" thickBot="1">
      <c r="A44" s="302"/>
      <c r="B44" s="304" t="s">
        <v>174</v>
      </c>
      <c r="C44" s="1031"/>
      <c r="D44" s="1031"/>
      <c r="E44" s="1031"/>
      <c r="F44" s="1031"/>
      <c r="G44" s="1032"/>
      <c r="H44" s="896"/>
    </row>
    <row r="45" spans="1:8" ht="13.8" thickBot="1">
      <c r="A45" s="302"/>
      <c r="B45" s="305" t="s">
        <v>175</v>
      </c>
      <c r="C45" s="777"/>
      <c r="D45" s="777"/>
      <c r="E45" s="777"/>
      <c r="F45" s="1009">
        <f>SUM(F43:F44)</f>
        <v>0</v>
      </c>
      <c r="G45" s="1033"/>
      <c r="H45" s="896"/>
    </row>
    <row r="46" spans="1:8" ht="12.75">
      <c r="A46" s="302"/>
      <c r="B46" s="303" t="s">
        <v>176</v>
      </c>
      <c r="C46" s="1027"/>
      <c r="D46" s="1027"/>
      <c r="E46" s="1027"/>
      <c r="F46" s="1027">
        <f>F47+F48</f>
        <v>0</v>
      </c>
      <c r="G46" s="1030"/>
      <c r="H46" s="896"/>
    </row>
    <row r="47" spans="1:8" ht="12.75">
      <c r="A47" s="302"/>
      <c r="B47" s="308" t="s">
        <v>177</v>
      </c>
      <c r="C47" s="1034"/>
      <c r="D47" s="1034"/>
      <c r="E47" s="1034"/>
      <c r="F47" s="1034"/>
      <c r="G47" s="1030"/>
      <c r="H47" s="896"/>
    </row>
    <row r="48" spans="1:8" ht="12.75">
      <c r="A48" s="302"/>
      <c r="B48" s="308" t="s">
        <v>178</v>
      </c>
      <c r="C48" s="1034"/>
      <c r="D48" s="1034"/>
      <c r="E48" s="1034"/>
      <c r="F48" s="1034"/>
      <c r="G48" s="1030"/>
      <c r="H48" s="896"/>
    </row>
    <row r="49" spans="1:8" ht="12.75">
      <c r="A49" s="302"/>
      <c r="B49" s="309" t="s">
        <v>179</v>
      </c>
      <c r="C49" s="1027"/>
      <c r="D49" s="1027"/>
      <c r="E49" s="1027"/>
      <c r="F49" s="1027"/>
      <c r="G49" s="1030"/>
      <c r="H49" s="896"/>
    </row>
    <row r="50" spans="1:8" ht="12.75">
      <c r="A50" s="302"/>
      <c r="B50" s="309" t="s">
        <v>180</v>
      </c>
      <c r="C50" s="1027"/>
      <c r="D50" s="1027"/>
      <c r="E50" s="1027"/>
      <c r="F50" s="1027"/>
      <c r="G50" s="1030"/>
      <c r="H50" s="896"/>
    </row>
    <row r="51" spans="1:8" ht="12.75">
      <c r="A51" s="302"/>
      <c r="B51" s="309" t="s">
        <v>181</v>
      </c>
      <c r="C51" s="1027"/>
      <c r="D51" s="1027"/>
      <c r="E51" s="1027"/>
      <c r="F51" s="1027"/>
      <c r="G51" s="1030"/>
      <c r="H51" s="896"/>
    </row>
    <row r="52" spans="1:8" ht="12.75">
      <c r="A52" s="302"/>
      <c r="B52" s="309" t="s">
        <v>328</v>
      </c>
      <c r="C52" s="1027"/>
      <c r="D52" s="1027"/>
      <c r="E52" s="1027"/>
      <c r="F52" s="1027"/>
      <c r="G52" s="1030"/>
      <c r="H52" s="896"/>
    </row>
    <row r="53" spans="1:8" ht="12.75">
      <c r="A53" s="302"/>
      <c r="B53" s="310" t="s">
        <v>424</v>
      </c>
      <c r="C53" s="1027"/>
      <c r="D53" s="1027"/>
      <c r="E53" s="1027"/>
      <c r="F53" s="1027"/>
      <c r="G53" s="1030"/>
      <c r="H53" s="896"/>
    </row>
    <row r="54" spans="1:8" ht="13.8" thickBot="1">
      <c r="A54" s="302"/>
      <c r="B54" s="311" t="s">
        <v>182</v>
      </c>
      <c r="C54" s="1028"/>
      <c r="D54" s="1028"/>
      <c r="E54" s="1028"/>
      <c r="F54" s="1028"/>
      <c r="G54" s="1032"/>
      <c r="H54" s="896"/>
    </row>
    <row r="55" spans="1:8" ht="13.8" thickBot="1">
      <c r="A55" s="302"/>
      <c r="B55" s="312" t="s">
        <v>324</v>
      </c>
      <c r="C55" s="788"/>
      <c r="D55" s="788"/>
      <c r="E55" s="788"/>
      <c r="F55" s="788">
        <f>SUM(F46,F49:F54)</f>
        <v>0</v>
      </c>
      <c r="G55" s="1033"/>
      <c r="H55" s="896"/>
    </row>
    <row r="56" spans="1:8" ht="13.8" thickBot="1">
      <c r="A56" s="302"/>
      <c r="B56" s="314" t="s">
        <v>58</v>
      </c>
      <c r="C56" s="1026"/>
      <c r="D56" s="1026"/>
      <c r="E56" s="1026"/>
      <c r="F56" s="1026">
        <f>F45+F55</f>
        <v>0</v>
      </c>
      <c r="G56" s="1032"/>
      <c r="H56" s="896"/>
    </row>
    <row r="57" spans="1:8" ht="13.8" thickBot="1">
      <c r="A57" s="302"/>
      <c r="B57" s="642" t="s">
        <v>437</v>
      </c>
      <c r="C57" s="1035"/>
      <c r="D57" s="1035"/>
      <c r="E57" s="1035"/>
      <c r="F57" s="1035"/>
      <c r="G57" s="1033"/>
      <c r="H57" s="896"/>
    </row>
    <row r="58" spans="1:8" ht="13.8" thickBot="1">
      <c r="A58" s="302"/>
      <c r="B58" s="315" t="s">
        <v>59</v>
      </c>
      <c r="C58" s="1026"/>
      <c r="D58" s="1026"/>
      <c r="E58" s="1026"/>
      <c r="F58" s="1026">
        <f>F57</f>
        <v>0</v>
      </c>
      <c r="G58" s="1033"/>
      <c r="H58" s="896"/>
    </row>
    <row r="59" spans="1:8" ht="12.75">
      <c r="A59" s="302"/>
      <c r="B59" s="637" t="s">
        <v>397</v>
      </c>
      <c r="C59" s="1036"/>
      <c r="D59" s="1036">
        <v>629</v>
      </c>
      <c r="E59" s="1036">
        <v>629</v>
      </c>
      <c r="F59" s="1036">
        <v>629</v>
      </c>
      <c r="G59" s="1030">
        <f t="shared" si="0"/>
        <v>1</v>
      </c>
      <c r="H59" s="896"/>
    </row>
    <row r="60" spans="1:8" ht="13.8" thickBot="1">
      <c r="A60" s="302"/>
      <c r="B60" s="318" t="s">
        <v>430</v>
      </c>
      <c r="C60" s="1028">
        <v>162902</v>
      </c>
      <c r="D60" s="1028">
        <v>163135</v>
      </c>
      <c r="E60" s="1028">
        <f>163135+578</f>
        <v>163713</v>
      </c>
      <c r="F60" s="1028">
        <v>112665</v>
      </c>
      <c r="G60" s="1032">
        <f t="shared" si="0"/>
        <v>0.6881860328746038</v>
      </c>
      <c r="H60" s="897"/>
    </row>
    <row r="61" spans="1:8" ht="13.8" thickBot="1">
      <c r="A61" s="302"/>
      <c r="B61" s="319" t="s">
        <v>52</v>
      </c>
      <c r="C61" s="1026">
        <f aca="true" t="shared" si="14" ref="C61">SUM(C59:C60)</f>
        <v>162902</v>
      </c>
      <c r="D61" s="1026">
        <f aca="true" t="shared" si="15" ref="D61:F61">SUM(D59:D60)</f>
        <v>163764</v>
      </c>
      <c r="E61" s="1026">
        <f t="shared" si="15"/>
        <v>164342</v>
      </c>
      <c r="F61" s="1026">
        <f t="shared" si="15"/>
        <v>113294</v>
      </c>
      <c r="G61" s="1037">
        <f t="shared" si="0"/>
        <v>0.6893794647746772</v>
      </c>
      <c r="H61" s="896"/>
    </row>
    <row r="62" spans="1:8" ht="13.8" thickBot="1">
      <c r="A62" s="302"/>
      <c r="B62" s="241" t="s">
        <v>397</v>
      </c>
      <c r="C62" s="1038"/>
      <c r="D62" s="1038">
        <v>400</v>
      </c>
      <c r="E62" s="1038">
        <v>400</v>
      </c>
      <c r="F62" s="1038">
        <v>400</v>
      </c>
      <c r="G62" s="1033">
        <f t="shared" si="0"/>
        <v>1</v>
      </c>
      <c r="H62" s="896"/>
    </row>
    <row r="63" spans="1:8" ht="13.8" thickBot="1">
      <c r="A63" s="302"/>
      <c r="B63" s="319" t="s">
        <v>54</v>
      </c>
      <c r="C63" s="1026"/>
      <c r="D63" s="1026">
        <f>SUM(D62)</f>
        <v>400</v>
      </c>
      <c r="E63" s="1026">
        <f>SUM(E62)</f>
        <v>400</v>
      </c>
      <c r="F63" s="1026">
        <f>SUM(F62)</f>
        <v>400</v>
      </c>
      <c r="G63" s="1033">
        <f t="shared" si="0"/>
        <v>1</v>
      </c>
      <c r="H63" s="896"/>
    </row>
    <row r="64" spans="1:8" ht="14.4" thickBot="1">
      <c r="A64" s="302"/>
      <c r="B64" s="321" t="s">
        <v>66</v>
      </c>
      <c r="C64" s="796">
        <f aca="true" t="shared" si="16" ref="C64">SUM(C56+C58+C61+C63)</f>
        <v>162902</v>
      </c>
      <c r="D64" s="796">
        <f aca="true" t="shared" si="17" ref="D64:E64">SUM(D56+D58+D61+D63)</f>
        <v>164164</v>
      </c>
      <c r="E64" s="796">
        <f t="shared" si="17"/>
        <v>164742</v>
      </c>
      <c r="F64" s="796">
        <f aca="true" t="shared" si="18" ref="F64">SUM(F56+F58+F61+F63)</f>
        <v>113694</v>
      </c>
      <c r="G64" s="1037">
        <f t="shared" si="0"/>
        <v>0.6901336635466365</v>
      </c>
      <c r="H64" s="896"/>
    </row>
    <row r="65" spans="1:8" ht="12.75">
      <c r="A65" s="302"/>
      <c r="B65" s="322" t="s">
        <v>304</v>
      </c>
      <c r="C65" s="1027">
        <v>133528</v>
      </c>
      <c r="D65" s="1027">
        <v>133528</v>
      </c>
      <c r="E65" s="1027">
        <f>133528+500</f>
        <v>134028</v>
      </c>
      <c r="F65" s="1027">
        <v>94090</v>
      </c>
      <c r="G65" s="1030">
        <f t="shared" si="0"/>
        <v>0.70201748888292</v>
      </c>
      <c r="H65" s="897"/>
    </row>
    <row r="66" spans="1:8" ht="12.75">
      <c r="A66" s="302"/>
      <c r="B66" s="322" t="s">
        <v>305</v>
      </c>
      <c r="C66" s="1027">
        <v>22864</v>
      </c>
      <c r="D66" s="1027">
        <f>22864+186</f>
        <v>23050</v>
      </c>
      <c r="E66" s="1027">
        <f>22864+186+78</f>
        <v>23128</v>
      </c>
      <c r="F66" s="1027">
        <v>16637</v>
      </c>
      <c r="G66" s="1030">
        <f t="shared" si="0"/>
        <v>0.7193445174680041</v>
      </c>
      <c r="H66" s="897"/>
    </row>
    <row r="67" spans="1:8" ht="12.75">
      <c r="A67" s="302"/>
      <c r="B67" s="322" t="s">
        <v>306</v>
      </c>
      <c r="C67" s="1027">
        <v>6110</v>
      </c>
      <c r="D67" s="1027">
        <v>6786</v>
      </c>
      <c r="E67" s="1027">
        <v>6786</v>
      </c>
      <c r="F67" s="1027">
        <v>2324</v>
      </c>
      <c r="G67" s="1030">
        <f t="shared" si="0"/>
        <v>0.3424697907456528</v>
      </c>
      <c r="H67" s="897"/>
    </row>
    <row r="68" spans="1:8" ht="12.75">
      <c r="A68" s="302"/>
      <c r="B68" s="323" t="s">
        <v>308</v>
      </c>
      <c r="C68" s="1027"/>
      <c r="D68" s="1027"/>
      <c r="E68" s="1027"/>
      <c r="F68" s="1027"/>
      <c r="G68" s="1030"/>
      <c r="H68" s="896"/>
    </row>
    <row r="69" spans="1:8" ht="13.8" thickBot="1">
      <c r="A69" s="302"/>
      <c r="B69" s="324" t="s">
        <v>307</v>
      </c>
      <c r="C69" s="1028"/>
      <c r="D69" s="1028"/>
      <c r="E69" s="1028"/>
      <c r="F69" s="1028"/>
      <c r="G69" s="1032"/>
      <c r="H69" s="896"/>
    </row>
    <row r="70" spans="1:8" ht="13.8" thickBot="1">
      <c r="A70" s="302"/>
      <c r="B70" s="325" t="s">
        <v>51</v>
      </c>
      <c r="C70" s="788">
        <f aca="true" t="shared" si="19" ref="C70">SUM(C65:C69)</f>
        <v>162502</v>
      </c>
      <c r="D70" s="788">
        <f aca="true" t="shared" si="20" ref="D70:F70">SUM(D65:D69)</f>
        <v>163364</v>
      </c>
      <c r="E70" s="788">
        <f t="shared" si="20"/>
        <v>163942</v>
      </c>
      <c r="F70" s="788">
        <f t="shared" si="20"/>
        <v>113051</v>
      </c>
      <c r="G70" s="1037">
        <f t="shared" si="0"/>
        <v>0.6895792414390455</v>
      </c>
      <c r="H70" s="896"/>
    </row>
    <row r="71" spans="1:8" ht="12.75">
      <c r="A71" s="302"/>
      <c r="B71" s="322" t="s">
        <v>231</v>
      </c>
      <c r="C71" s="1027">
        <v>400</v>
      </c>
      <c r="D71" s="1027">
        <f>400+400</f>
        <v>800</v>
      </c>
      <c r="E71" s="1027">
        <f>400+400</f>
        <v>800</v>
      </c>
      <c r="F71" s="1027">
        <v>334</v>
      </c>
      <c r="G71" s="1030">
        <f t="shared" si="0"/>
        <v>0.4175</v>
      </c>
      <c r="H71" s="897"/>
    </row>
    <row r="72" spans="1:8" ht="12.75">
      <c r="A72" s="302"/>
      <c r="B72" s="322" t="s">
        <v>232</v>
      </c>
      <c r="C72" s="1027"/>
      <c r="D72" s="1027"/>
      <c r="E72" s="1027"/>
      <c r="F72" s="1027"/>
      <c r="G72" s="1030"/>
      <c r="H72" s="896"/>
    </row>
    <row r="73" spans="1:8" ht="13.8" thickBot="1">
      <c r="A73" s="302"/>
      <c r="B73" s="324" t="s">
        <v>406</v>
      </c>
      <c r="C73" s="1028"/>
      <c r="D73" s="1028"/>
      <c r="E73" s="1028"/>
      <c r="F73" s="1028"/>
      <c r="G73" s="1032"/>
      <c r="H73" s="896"/>
    </row>
    <row r="74" spans="1:8" ht="13.8" thickBot="1">
      <c r="A74" s="302"/>
      <c r="B74" s="326" t="s">
        <v>57</v>
      </c>
      <c r="C74" s="788">
        <f aca="true" t="shared" si="21" ref="C74">SUM(C71:C73)</f>
        <v>400</v>
      </c>
      <c r="D74" s="788">
        <f aca="true" t="shared" si="22" ref="D74:E74">SUM(D71:D73)</f>
        <v>800</v>
      </c>
      <c r="E74" s="788">
        <f t="shared" si="22"/>
        <v>800</v>
      </c>
      <c r="F74" s="788">
        <f aca="true" t="shared" si="23" ref="F74">SUM(F71:F73)</f>
        <v>334</v>
      </c>
      <c r="G74" s="1037">
        <f t="shared" si="0"/>
        <v>0.4175</v>
      </c>
      <c r="H74" s="896"/>
    </row>
    <row r="75" spans="1:8" ht="14.4" thickBot="1">
      <c r="A75" s="299"/>
      <c r="B75" s="327" t="s">
        <v>103</v>
      </c>
      <c r="C75" s="796">
        <f aca="true" t="shared" si="24" ref="C75">SUM(C70+C74)</f>
        <v>162902</v>
      </c>
      <c r="D75" s="796">
        <f aca="true" t="shared" si="25" ref="D75:E75">SUM(D70+D74)</f>
        <v>164164</v>
      </c>
      <c r="E75" s="796">
        <f t="shared" si="25"/>
        <v>164742</v>
      </c>
      <c r="F75" s="796">
        <f aca="true" t="shared" si="26" ref="F75">SUM(F70+F74)</f>
        <v>113385</v>
      </c>
      <c r="G75" s="1037">
        <f aca="true" t="shared" si="27" ref="G75:G138">F75/E75</f>
        <v>0.6882580034235349</v>
      </c>
      <c r="H75" s="896"/>
    </row>
    <row r="76" spans="1:8" ht="13.8">
      <c r="A76" s="218">
        <v>2310</v>
      </c>
      <c r="B76" s="328" t="s">
        <v>310</v>
      </c>
      <c r="C76" s="772"/>
      <c r="D76" s="772"/>
      <c r="E76" s="772"/>
      <c r="F76" s="772"/>
      <c r="G76" s="307"/>
      <c r="H76" s="896"/>
    </row>
    <row r="77" spans="1:8" ht="12.6" customHeight="1">
      <c r="A77" s="302"/>
      <c r="B77" s="303" t="s">
        <v>173</v>
      </c>
      <c r="C77" s="775"/>
      <c r="D77" s="775"/>
      <c r="E77" s="775"/>
      <c r="F77" s="775"/>
      <c r="G77" s="307"/>
      <c r="H77" s="896"/>
    </row>
    <row r="78" spans="1:8" ht="13.8" thickBot="1">
      <c r="A78" s="302"/>
      <c r="B78" s="304" t="s">
        <v>174</v>
      </c>
      <c r="C78" s="776"/>
      <c r="D78" s="776"/>
      <c r="E78" s="776"/>
      <c r="F78" s="776"/>
      <c r="G78" s="623"/>
      <c r="H78" s="896"/>
    </row>
    <row r="79" spans="1:8" ht="13.8" thickBot="1">
      <c r="A79" s="302"/>
      <c r="B79" s="305" t="s">
        <v>175</v>
      </c>
      <c r="C79" s="777"/>
      <c r="D79" s="777"/>
      <c r="E79" s="777"/>
      <c r="F79" s="777">
        <f>SUM(F77:F78)</f>
        <v>0</v>
      </c>
      <c r="G79" s="733"/>
      <c r="H79" s="896"/>
    </row>
    <row r="80" spans="1:8" ht="12.75">
      <c r="A80" s="302"/>
      <c r="B80" s="303" t="s">
        <v>176</v>
      </c>
      <c r="C80" s="772"/>
      <c r="D80" s="772"/>
      <c r="E80" s="772"/>
      <c r="F80" s="772">
        <f>F81+F82</f>
        <v>0</v>
      </c>
      <c r="G80" s="307"/>
      <c r="H80" s="896"/>
    </row>
    <row r="81" spans="1:8" ht="12.75">
      <c r="A81" s="302"/>
      <c r="B81" s="308" t="s">
        <v>177</v>
      </c>
      <c r="C81" s="778"/>
      <c r="D81" s="778"/>
      <c r="E81" s="778"/>
      <c r="F81" s="778"/>
      <c r="G81" s="307"/>
      <c r="H81" s="896"/>
    </row>
    <row r="82" spans="1:8" ht="12.75">
      <c r="A82" s="302"/>
      <c r="B82" s="308" t="s">
        <v>178</v>
      </c>
      <c r="C82" s="778"/>
      <c r="D82" s="778"/>
      <c r="E82" s="778"/>
      <c r="F82" s="778"/>
      <c r="G82" s="307"/>
      <c r="H82" s="896"/>
    </row>
    <row r="83" spans="1:8" ht="12.75">
      <c r="A83" s="302"/>
      <c r="B83" s="309" t="s">
        <v>179</v>
      </c>
      <c r="C83" s="772"/>
      <c r="D83" s="772"/>
      <c r="E83" s="772"/>
      <c r="F83" s="772"/>
      <c r="G83" s="307"/>
      <c r="H83" s="896"/>
    </row>
    <row r="84" spans="1:8" ht="12.75">
      <c r="A84" s="302"/>
      <c r="B84" s="309" t="s">
        <v>180</v>
      </c>
      <c r="C84" s="772"/>
      <c r="D84" s="772"/>
      <c r="E84" s="772"/>
      <c r="F84" s="772"/>
      <c r="G84" s="307"/>
      <c r="H84" s="896"/>
    </row>
    <row r="85" spans="1:8" ht="12.75">
      <c r="A85" s="302"/>
      <c r="B85" s="309" t="s">
        <v>181</v>
      </c>
      <c r="C85" s="772"/>
      <c r="D85" s="772"/>
      <c r="E85" s="772"/>
      <c r="F85" s="772"/>
      <c r="G85" s="307"/>
      <c r="H85" s="896"/>
    </row>
    <row r="86" spans="1:8" ht="12.75">
      <c r="A86" s="302"/>
      <c r="B86" s="310" t="s">
        <v>424</v>
      </c>
      <c r="C86" s="772"/>
      <c r="D86" s="772"/>
      <c r="E86" s="772"/>
      <c r="F86" s="772"/>
      <c r="G86" s="307"/>
      <c r="H86" s="896"/>
    </row>
    <row r="87" spans="1:8" ht="13.8" thickBot="1">
      <c r="A87" s="302"/>
      <c r="B87" s="311" t="s">
        <v>182</v>
      </c>
      <c r="C87" s="773"/>
      <c r="D87" s="773"/>
      <c r="E87" s="773"/>
      <c r="F87" s="773"/>
      <c r="G87" s="623"/>
      <c r="H87" s="896"/>
    </row>
    <row r="88" spans="1:8" ht="13.8" thickBot="1">
      <c r="A88" s="302"/>
      <c r="B88" s="312" t="s">
        <v>324</v>
      </c>
      <c r="C88" s="779"/>
      <c r="D88" s="779"/>
      <c r="E88" s="779"/>
      <c r="F88" s="779">
        <f>SUM(F80,F83:F87)</f>
        <v>0</v>
      </c>
      <c r="G88" s="733"/>
      <c r="H88" s="896"/>
    </row>
    <row r="89" spans="1:8" ht="13.8" thickBot="1">
      <c r="A89" s="302"/>
      <c r="B89" s="314" t="s">
        <v>58</v>
      </c>
      <c r="C89" s="1039"/>
      <c r="D89" s="1039"/>
      <c r="E89" s="1039"/>
      <c r="F89" s="1039">
        <f>F79+F88</f>
        <v>0</v>
      </c>
      <c r="G89" s="733"/>
      <c r="H89" s="896"/>
    </row>
    <row r="90" spans="1:8" ht="13.8" thickBot="1">
      <c r="A90" s="302"/>
      <c r="B90" s="642" t="s">
        <v>437</v>
      </c>
      <c r="C90" s="780"/>
      <c r="D90" s="780"/>
      <c r="E90" s="780"/>
      <c r="F90" s="780"/>
      <c r="G90" s="733"/>
      <c r="H90" s="896"/>
    </row>
    <row r="91" spans="1:8" ht="13.8" thickBot="1">
      <c r="A91" s="302"/>
      <c r="B91" s="315" t="s">
        <v>59</v>
      </c>
      <c r="C91" s="781"/>
      <c r="D91" s="781"/>
      <c r="E91" s="781"/>
      <c r="F91" s="781">
        <f>F90</f>
        <v>0</v>
      </c>
      <c r="G91" s="733"/>
      <c r="H91" s="896"/>
    </row>
    <row r="92" spans="1:8" ht="12.75">
      <c r="A92" s="302"/>
      <c r="B92" s="637" t="s">
        <v>397</v>
      </c>
      <c r="C92" s="782"/>
      <c r="D92" s="782">
        <v>869</v>
      </c>
      <c r="E92" s="782">
        <v>869</v>
      </c>
      <c r="F92" s="782">
        <v>869</v>
      </c>
      <c r="G92" s="307">
        <f t="shared" si="27"/>
        <v>1</v>
      </c>
      <c r="H92" s="896"/>
    </row>
    <row r="93" spans="1:8" ht="13.8" thickBot="1">
      <c r="A93" s="302"/>
      <c r="B93" s="318" t="s">
        <v>430</v>
      </c>
      <c r="C93" s="773">
        <v>85703</v>
      </c>
      <c r="D93" s="773">
        <v>85779</v>
      </c>
      <c r="E93" s="773">
        <v>85779</v>
      </c>
      <c r="F93" s="773">
        <v>48310</v>
      </c>
      <c r="G93" s="623">
        <f t="shared" si="27"/>
        <v>0.5631914571165437</v>
      </c>
      <c r="H93" s="897"/>
    </row>
    <row r="94" spans="1:8" ht="13.8" thickBot="1">
      <c r="A94" s="302"/>
      <c r="B94" s="319" t="s">
        <v>52</v>
      </c>
      <c r="C94" s="781">
        <f aca="true" t="shared" si="28" ref="C94">SUM(C92:C93)</f>
        <v>85703</v>
      </c>
      <c r="D94" s="781">
        <f aca="true" t="shared" si="29" ref="D94:F94">SUM(D92:D93)</f>
        <v>86648</v>
      </c>
      <c r="E94" s="781">
        <f t="shared" si="29"/>
        <v>86648</v>
      </c>
      <c r="F94" s="781">
        <f t="shared" si="29"/>
        <v>49179</v>
      </c>
      <c r="G94" s="722">
        <f t="shared" si="27"/>
        <v>0.5675722463299787</v>
      </c>
      <c r="H94" s="896"/>
    </row>
    <row r="95" spans="1:8" ht="13.8" thickBot="1">
      <c r="A95" s="302"/>
      <c r="B95" s="241" t="s">
        <v>397</v>
      </c>
      <c r="C95" s="780"/>
      <c r="D95" s="780">
        <v>100</v>
      </c>
      <c r="E95" s="780">
        <v>100</v>
      </c>
      <c r="F95" s="780">
        <v>100</v>
      </c>
      <c r="G95" s="733">
        <f t="shared" si="27"/>
        <v>1</v>
      </c>
      <c r="H95" s="896"/>
    </row>
    <row r="96" spans="1:8" ht="13.8" thickBot="1">
      <c r="A96" s="302"/>
      <c r="B96" s="319" t="s">
        <v>54</v>
      </c>
      <c r="C96" s="781"/>
      <c r="D96" s="781">
        <f>SUM(D95)</f>
        <v>100</v>
      </c>
      <c r="E96" s="781">
        <f>SUM(E95)</f>
        <v>100</v>
      </c>
      <c r="F96" s="781">
        <f>SUM(F95)</f>
        <v>100</v>
      </c>
      <c r="G96" s="733">
        <f t="shared" si="27"/>
        <v>1</v>
      </c>
      <c r="H96" s="896"/>
    </row>
    <row r="97" spans="1:8" ht="14.4" thickBot="1">
      <c r="A97" s="302"/>
      <c r="B97" s="321" t="s">
        <v>66</v>
      </c>
      <c r="C97" s="774">
        <f aca="true" t="shared" si="30" ref="C97">SUM(C89+C91+C94+C96)</f>
        <v>85703</v>
      </c>
      <c r="D97" s="774">
        <f aca="true" t="shared" si="31" ref="D97:E97">SUM(D89+D91+D94+D96)</f>
        <v>86748</v>
      </c>
      <c r="E97" s="774">
        <f t="shared" si="31"/>
        <v>86748</v>
      </c>
      <c r="F97" s="774">
        <f aca="true" t="shared" si="32" ref="F97">SUM(F89+F91+F94+F96)</f>
        <v>49279</v>
      </c>
      <c r="G97" s="722">
        <f t="shared" si="27"/>
        <v>0.5680707336192189</v>
      </c>
      <c r="H97" s="896"/>
    </row>
    <row r="98" spans="1:8" ht="12.75">
      <c r="A98" s="302"/>
      <c r="B98" s="322" t="s">
        <v>304</v>
      </c>
      <c r="C98" s="772">
        <v>72294</v>
      </c>
      <c r="D98" s="772">
        <f>72294+15</f>
        <v>72309</v>
      </c>
      <c r="E98" s="772">
        <f>72294+15</f>
        <v>72309</v>
      </c>
      <c r="F98" s="772">
        <v>40884</v>
      </c>
      <c r="G98" s="307">
        <f t="shared" si="27"/>
        <v>0.5654067958345435</v>
      </c>
      <c r="H98" s="897"/>
    </row>
    <row r="99" spans="1:8" ht="12.75">
      <c r="A99" s="302"/>
      <c r="B99" s="322" t="s">
        <v>305</v>
      </c>
      <c r="C99" s="772">
        <v>11005</v>
      </c>
      <c r="D99" s="772">
        <f>11005+44</f>
        <v>11049</v>
      </c>
      <c r="E99" s="772">
        <f>11005+44</f>
        <v>11049</v>
      </c>
      <c r="F99" s="772">
        <v>6759</v>
      </c>
      <c r="G99" s="307">
        <f t="shared" si="27"/>
        <v>0.6117295682867228</v>
      </c>
      <c r="H99" s="897"/>
    </row>
    <row r="100" spans="1:8" ht="12.75">
      <c r="A100" s="302"/>
      <c r="B100" s="322" t="s">
        <v>306</v>
      </c>
      <c r="C100" s="772">
        <v>2204</v>
      </c>
      <c r="D100" s="772">
        <v>3090</v>
      </c>
      <c r="E100" s="772">
        <v>3090</v>
      </c>
      <c r="F100" s="772">
        <v>793</v>
      </c>
      <c r="G100" s="307">
        <f t="shared" si="27"/>
        <v>0.25663430420711975</v>
      </c>
      <c r="H100" s="897"/>
    </row>
    <row r="101" spans="1:8" ht="12.75">
      <c r="A101" s="302"/>
      <c r="B101" s="323" t="s">
        <v>308</v>
      </c>
      <c r="C101" s="772"/>
      <c r="D101" s="772"/>
      <c r="E101" s="772"/>
      <c r="F101" s="772"/>
      <c r="G101" s="307"/>
      <c r="H101" s="896"/>
    </row>
    <row r="102" spans="1:8" ht="13.8" thickBot="1">
      <c r="A102" s="302"/>
      <c r="B102" s="324" t="s">
        <v>307</v>
      </c>
      <c r="C102" s="773"/>
      <c r="D102" s="773"/>
      <c r="E102" s="773"/>
      <c r="F102" s="773"/>
      <c r="G102" s="623"/>
      <c r="H102" s="896"/>
    </row>
    <row r="103" spans="1:8" ht="13.8" thickBot="1">
      <c r="A103" s="302"/>
      <c r="B103" s="325" t="s">
        <v>51</v>
      </c>
      <c r="C103" s="779">
        <f aca="true" t="shared" si="33" ref="C103">SUM(C98:C102)</f>
        <v>85503</v>
      </c>
      <c r="D103" s="779">
        <f aca="true" t="shared" si="34" ref="D103:F103">SUM(D98:D102)</f>
        <v>86448</v>
      </c>
      <c r="E103" s="779">
        <f t="shared" si="34"/>
        <v>86448</v>
      </c>
      <c r="F103" s="779">
        <f t="shared" si="34"/>
        <v>48436</v>
      </c>
      <c r="G103" s="722">
        <f t="shared" si="27"/>
        <v>0.5602905793077919</v>
      </c>
      <c r="H103" s="896"/>
    </row>
    <row r="104" spans="1:8" ht="12.75">
      <c r="A104" s="302"/>
      <c r="B104" s="322" t="s">
        <v>231</v>
      </c>
      <c r="C104" s="772">
        <v>200</v>
      </c>
      <c r="D104" s="772">
        <f>200+100</f>
        <v>300</v>
      </c>
      <c r="E104" s="772">
        <f>200+100</f>
        <v>300</v>
      </c>
      <c r="F104" s="772">
        <v>215</v>
      </c>
      <c r="G104" s="307">
        <f t="shared" si="27"/>
        <v>0.7166666666666667</v>
      </c>
      <c r="H104" s="897"/>
    </row>
    <row r="105" spans="1:8" ht="12.75">
      <c r="A105" s="302"/>
      <c r="B105" s="322" t="s">
        <v>232</v>
      </c>
      <c r="C105" s="772"/>
      <c r="D105" s="772"/>
      <c r="E105" s="772"/>
      <c r="F105" s="772"/>
      <c r="G105" s="307"/>
      <c r="H105" s="896"/>
    </row>
    <row r="106" spans="1:8" ht="13.8" thickBot="1">
      <c r="A106" s="302"/>
      <c r="B106" s="324" t="s">
        <v>406</v>
      </c>
      <c r="C106" s="773"/>
      <c r="D106" s="773"/>
      <c r="E106" s="773"/>
      <c r="F106" s="773"/>
      <c r="G106" s="623"/>
      <c r="H106" s="896"/>
    </row>
    <row r="107" spans="1:8" ht="13.8" thickBot="1">
      <c r="A107" s="302"/>
      <c r="B107" s="326" t="s">
        <v>57</v>
      </c>
      <c r="C107" s="779">
        <f aca="true" t="shared" si="35" ref="C107">SUM(C104:C106)</f>
        <v>200</v>
      </c>
      <c r="D107" s="779">
        <f aca="true" t="shared" si="36" ref="D107:E107">SUM(D104:D106)</f>
        <v>300</v>
      </c>
      <c r="E107" s="779">
        <f t="shared" si="36"/>
        <v>300</v>
      </c>
      <c r="F107" s="779">
        <f aca="true" t="shared" si="37" ref="F107">SUM(F104:F106)</f>
        <v>215</v>
      </c>
      <c r="G107" s="722">
        <f t="shared" si="27"/>
        <v>0.7166666666666667</v>
      </c>
      <c r="H107" s="896"/>
    </row>
    <row r="108" spans="1:8" ht="14.4" thickBot="1">
      <c r="A108" s="299"/>
      <c r="B108" s="327" t="s">
        <v>103</v>
      </c>
      <c r="C108" s="774">
        <f aca="true" t="shared" si="38" ref="C108">SUM(C103+C107)</f>
        <v>85703</v>
      </c>
      <c r="D108" s="774">
        <f aca="true" t="shared" si="39" ref="D108:E108">SUM(D103+D107)</f>
        <v>86748</v>
      </c>
      <c r="E108" s="774">
        <f t="shared" si="39"/>
        <v>86748</v>
      </c>
      <c r="F108" s="774">
        <f aca="true" t="shared" si="40" ref="F108">SUM(F103+F107)</f>
        <v>48651</v>
      </c>
      <c r="G108" s="722">
        <f t="shared" si="27"/>
        <v>0.5608313736339743</v>
      </c>
      <c r="H108" s="896"/>
    </row>
    <row r="109" spans="1:8" ht="13.8">
      <c r="A109" s="219">
        <v>2315</v>
      </c>
      <c r="B109" s="222" t="s">
        <v>185</v>
      </c>
      <c r="C109" s="772"/>
      <c r="D109" s="772"/>
      <c r="E109" s="772"/>
      <c r="F109" s="772"/>
      <c r="G109" s="307"/>
      <c r="H109" s="896"/>
    </row>
    <row r="110" spans="1:8" ht="12.6" customHeight="1">
      <c r="A110" s="302"/>
      <c r="B110" s="303" t="s">
        <v>173</v>
      </c>
      <c r="C110" s="775"/>
      <c r="D110" s="775"/>
      <c r="E110" s="775"/>
      <c r="F110" s="775"/>
      <c r="G110" s="307"/>
      <c r="H110" s="896"/>
    </row>
    <row r="111" spans="1:8" ht="13.8" thickBot="1">
      <c r="A111" s="302"/>
      <c r="B111" s="304" t="s">
        <v>174</v>
      </c>
      <c r="C111" s="776"/>
      <c r="D111" s="776"/>
      <c r="E111" s="776"/>
      <c r="F111" s="776"/>
      <c r="G111" s="623"/>
      <c r="H111" s="896"/>
    </row>
    <row r="112" spans="1:8" ht="13.8" thickBot="1">
      <c r="A112" s="302"/>
      <c r="B112" s="305" t="s">
        <v>175</v>
      </c>
      <c r="C112" s="777"/>
      <c r="D112" s="777"/>
      <c r="E112" s="777"/>
      <c r="F112" s="777">
        <f>SUM(F110:F111)</f>
        <v>0</v>
      </c>
      <c r="G112" s="733"/>
      <c r="H112" s="896"/>
    </row>
    <row r="113" spans="1:8" ht="12.75">
      <c r="A113" s="302"/>
      <c r="B113" s="303" t="s">
        <v>176</v>
      </c>
      <c r="C113" s="772"/>
      <c r="D113" s="772"/>
      <c r="E113" s="772"/>
      <c r="F113" s="772">
        <f>F114+F115</f>
        <v>0</v>
      </c>
      <c r="G113" s="307"/>
      <c r="H113" s="896"/>
    </row>
    <row r="114" spans="1:8" ht="12.75">
      <c r="A114" s="302"/>
      <c r="B114" s="308" t="s">
        <v>177</v>
      </c>
      <c r="C114" s="778"/>
      <c r="D114" s="778"/>
      <c r="E114" s="778"/>
      <c r="F114" s="778"/>
      <c r="G114" s="307"/>
      <c r="H114" s="896"/>
    </row>
    <row r="115" spans="1:8" ht="12.75">
      <c r="A115" s="302"/>
      <c r="B115" s="308" t="s">
        <v>178</v>
      </c>
      <c r="C115" s="778"/>
      <c r="D115" s="778"/>
      <c r="E115" s="778"/>
      <c r="F115" s="778"/>
      <c r="G115" s="307"/>
      <c r="H115" s="896"/>
    </row>
    <row r="116" spans="1:8" ht="12.75">
      <c r="A116" s="302"/>
      <c r="B116" s="309" t="s">
        <v>179</v>
      </c>
      <c r="C116" s="772"/>
      <c r="D116" s="772"/>
      <c r="E116" s="772"/>
      <c r="F116" s="772"/>
      <c r="G116" s="307"/>
      <c r="H116" s="896"/>
    </row>
    <row r="117" spans="1:8" ht="12.75">
      <c r="A117" s="302"/>
      <c r="B117" s="309" t="s">
        <v>180</v>
      </c>
      <c r="C117" s="772"/>
      <c r="D117" s="772"/>
      <c r="E117" s="772"/>
      <c r="F117" s="772"/>
      <c r="G117" s="307"/>
      <c r="H117" s="896"/>
    </row>
    <row r="118" spans="1:8" ht="12.75">
      <c r="A118" s="302"/>
      <c r="B118" s="309" t="s">
        <v>181</v>
      </c>
      <c r="C118" s="772"/>
      <c r="D118" s="772"/>
      <c r="E118" s="772"/>
      <c r="F118" s="772"/>
      <c r="G118" s="307"/>
      <c r="H118" s="896"/>
    </row>
    <row r="119" spans="1:8" ht="12.75">
      <c r="A119" s="302"/>
      <c r="B119" s="309" t="s">
        <v>328</v>
      </c>
      <c r="C119" s="772"/>
      <c r="D119" s="772"/>
      <c r="E119" s="772"/>
      <c r="F119" s="772"/>
      <c r="G119" s="307"/>
      <c r="H119" s="896"/>
    </row>
    <row r="120" spans="1:8" ht="12.75">
      <c r="A120" s="302"/>
      <c r="B120" s="310" t="s">
        <v>424</v>
      </c>
      <c r="C120" s="772"/>
      <c r="D120" s="772"/>
      <c r="E120" s="772"/>
      <c r="F120" s="772"/>
      <c r="G120" s="307"/>
      <c r="H120" s="896"/>
    </row>
    <row r="121" spans="1:8" ht="13.8" thickBot="1">
      <c r="A121" s="302"/>
      <c r="B121" s="311" t="s">
        <v>182</v>
      </c>
      <c r="C121" s="773"/>
      <c r="D121" s="773"/>
      <c r="E121" s="773"/>
      <c r="F121" s="773"/>
      <c r="G121" s="623"/>
      <c r="H121" s="896"/>
    </row>
    <row r="122" spans="1:8" ht="13.8" thickBot="1">
      <c r="A122" s="302"/>
      <c r="B122" s="312" t="s">
        <v>324</v>
      </c>
      <c r="C122" s="779"/>
      <c r="D122" s="779"/>
      <c r="E122" s="779"/>
      <c r="F122" s="779">
        <f>SUM(F113,F116:F121)</f>
        <v>0</v>
      </c>
      <c r="G122" s="733"/>
      <c r="H122" s="896"/>
    </row>
    <row r="123" spans="1:8" ht="13.8" thickBot="1">
      <c r="A123" s="302"/>
      <c r="B123" s="314" t="s">
        <v>58</v>
      </c>
      <c r="C123" s="1026"/>
      <c r="D123" s="1026"/>
      <c r="E123" s="1026"/>
      <c r="F123" s="1026">
        <f>F112+F122</f>
        <v>0</v>
      </c>
      <c r="G123" s="733"/>
      <c r="H123" s="896"/>
    </row>
    <row r="124" spans="1:8" ht="13.8" thickBot="1">
      <c r="A124" s="302"/>
      <c r="B124" s="642" t="s">
        <v>437</v>
      </c>
      <c r="C124" s="780"/>
      <c r="D124" s="780"/>
      <c r="E124" s="780"/>
      <c r="F124" s="780"/>
      <c r="G124" s="733"/>
      <c r="H124" s="896"/>
    </row>
    <row r="125" spans="1:8" ht="13.8" thickBot="1">
      <c r="A125" s="302"/>
      <c r="B125" s="315" t="s">
        <v>59</v>
      </c>
      <c r="C125" s="781"/>
      <c r="D125" s="781"/>
      <c r="E125" s="781"/>
      <c r="F125" s="781">
        <f>F124</f>
        <v>0</v>
      </c>
      <c r="G125" s="733"/>
      <c r="H125" s="896"/>
    </row>
    <row r="126" spans="1:8" ht="12.75">
      <c r="A126" s="302"/>
      <c r="B126" s="637" t="s">
        <v>397</v>
      </c>
      <c r="C126" s="782"/>
      <c r="D126" s="782">
        <v>2651</v>
      </c>
      <c r="E126" s="782">
        <v>2651</v>
      </c>
      <c r="F126" s="782">
        <v>2651</v>
      </c>
      <c r="G126" s="307">
        <f t="shared" si="27"/>
        <v>1</v>
      </c>
      <c r="H126" s="896"/>
    </row>
    <row r="127" spans="1:8" ht="13.8" thickBot="1">
      <c r="A127" s="302"/>
      <c r="B127" s="318" t="s">
        <v>430</v>
      </c>
      <c r="C127" s="773">
        <v>293687</v>
      </c>
      <c r="D127" s="773">
        <v>293881</v>
      </c>
      <c r="E127" s="773">
        <f>293881+687</f>
        <v>294568</v>
      </c>
      <c r="F127" s="773">
        <v>201351</v>
      </c>
      <c r="G127" s="623">
        <f t="shared" si="27"/>
        <v>0.6835467532114826</v>
      </c>
      <c r="H127" s="897"/>
    </row>
    <row r="128" spans="1:8" ht="13.8" thickBot="1">
      <c r="A128" s="302"/>
      <c r="B128" s="319" t="s">
        <v>52</v>
      </c>
      <c r="C128" s="781">
        <f aca="true" t="shared" si="41" ref="C128">SUM(C126:C127)</f>
        <v>293687</v>
      </c>
      <c r="D128" s="781">
        <f aca="true" t="shared" si="42" ref="D128:F128">SUM(D126:D127)</f>
        <v>296532</v>
      </c>
      <c r="E128" s="781">
        <f t="shared" si="42"/>
        <v>297219</v>
      </c>
      <c r="F128" s="781">
        <f t="shared" si="42"/>
        <v>204002</v>
      </c>
      <c r="G128" s="722">
        <f t="shared" si="27"/>
        <v>0.6863693101719608</v>
      </c>
      <c r="H128" s="896"/>
    </row>
    <row r="129" spans="1:8" ht="13.8" thickBot="1">
      <c r="A129" s="302"/>
      <c r="B129" s="241" t="s">
        <v>397</v>
      </c>
      <c r="C129" s="780"/>
      <c r="D129" s="780">
        <v>200</v>
      </c>
      <c r="E129" s="780">
        <v>200</v>
      </c>
      <c r="F129" s="780">
        <v>200</v>
      </c>
      <c r="G129" s="733">
        <f t="shared" si="27"/>
        <v>1</v>
      </c>
      <c r="H129" s="896"/>
    </row>
    <row r="130" spans="1:8" ht="13.8" thickBot="1">
      <c r="A130" s="302"/>
      <c r="B130" s="319" t="s">
        <v>54</v>
      </c>
      <c r="C130" s="781"/>
      <c r="D130" s="781">
        <f>SUM(D129)</f>
        <v>200</v>
      </c>
      <c r="E130" s="781">
        <f>SUM(E129)</f>
        <v>200</v>
      </c>
      <c r="F130" s="781">
        <f>SUM(F129)</f>
        <v>200</v>
      </c>
      <c r="G130" s="733">
        <f t="shared" si="27"/>
        <v>1</v>
      </c>
      <c r="H130" s="896"/>
    </row>
    <row r="131" spans="1:8" ht="14.4" thickBot="1">
      <c r="A131" s="302"/>
      <c r="B131" s="321" t="s">
        <v>66</v>
      </c>
      <c r="C131" s="774">
        <f aca="true" t="shared" si="43" ref="C131">SUM(C123+C125+C128+C130)</f>
        <v>293687</v>
      </c>
      <c r="D131" s="774">
        <f aca="true" t="shared" si="44" ref="D131:E131">SUM(D123+D125+D128+D130)</f>
        <v>296732</v>
      </c>
      <c r="E131" s="774">
        <f t="shared" si="44"/>
        <v>297419</v>
      </c>
      <c r="F131" s="774">
        <f aca="true" t="shared" si="45" ref="F131">SUM(F123+F125+F128+F130)</f>
        <v>204202</v>
      </c>
      <c r="G131" s="722">
        <f t="shared" si="27"/>
        <v>0.6865802117551333</v>
      </c>
      <c r="H131" s="896"/>
    </row>
    <row r="132" spans="1:8" ht="12.75">
      <c r="A132" s="302"/>
      <c r="B132" s="322" t="s">
        <v>304</v>
      </c>
      <c r="C132" s="772">
        <v>244002</v>
      </c>
      <c r="D132" s="772">
        <f>244002+41</f>
        <v>244043</v>
      </c>
      <c r="E132" s="772">
        <f>244002+41+595</f>
        <v>244638</v>
      </c>
      <c r="F132" s="772">
        <v>168267</v>
      </c>
      <c r="G132" s="307">
        <f t="shared" si="27"/>
        <v>0.6878203713241606</v>
      </c>
      <c r="H132" s="897"/>
    </row>
    <row r="133" spans="1:8" ht="12.75">
      <c r="A133" s="302"/>
      <c r="B133" s="322" t="s">
        <v>305</v>
      </c>
      <c r="C133" s="772">
        <v>41830</v>
      </c>
      <c r="D133" s="772">
        <f>41830+148</f>
        <v>41978</v>
      </c>
      <c r="E133" s="772">
        <f>41830+148+92</f>
        <v>42070</v>
      </c>
      <c r="F133" s="772">
        <v>29238</v>
      </c>
      <c r="G133" s="307">
        <f t="shared" si="27"/>
        <v>0.6949845495602567</v>
      </c>
      <c r="H133" s="897"/>
    </row>
    <row r="134" spans="1:8" ht="12.75">
      <c r="A134" s="302"/>
      <c r="B134" s="322" t="s">
        <v>306</v>
      </c>
      <c r="C134" s="772">
        <v>7455</v>
      </c>
      <c r="D134" s="772">
        <v>10111</v>
      </c>
      <c r="E134" s="772">
        <v>10111</v>
      </c>
      <c r="F134" s="772">
        <v>6260</v>
      </c>
      <c r="G134" s="307">
        <f t="shared" si="27"/>
        <v>0.6191276827217882</v>
      </c>
      <c r="H134" s="897"/>
    </row>
    <row r="135" spans="1:8" ht="12.75">
      <c r="A135" s="302"/>
      <c r="B135" s="323" t="s">
        <v>308</v>
      </c>
      <c r="C135" s="772"/>
      <c r="D135" s="772"/>
      <c r="E135" s="772"/>
      <c r="F135" s="772"/>
      <c r="G135" s="307"/>
      <c r="H135" s="896"/>
    </row>
    <row r="136" spans="1:8" ht="13.8" thickBot="1">
      <c r="A136" s="302"/>
      <c r="B136" s="324" t="s">
        <v>307</v>
      </c>
      <c r="C136" s="773"/>
      <c r="D136" s="773"/>
      <c r="E136" s="773"/>
      <c r="F136" s="773"/>
      <c r="G136" s="623"/>
      <c r="H136" s="896"/>
    </row>
    <row r="137" spans="1:8" ht="13.8" thickBot="1">
      <c r="A137" s="302"/>
      <c r="B137" s="325" t="s">
        <v>51</v>
      </c>
      <c r="C137" s="774">
        <f aca="true" t="shared" si="46" ref="C137">SUM(C132:C136)</f>
        <v>293287</v>
      </c>
      <c r="D137" s="774">
        <f aca="true" t="shared" si="47" ref="D137:F137">SUM(D132:D136)</f>
        <v>296132</v>
      </c>
      <c r="E137" s="774">
        <f t="shared" si="47"/>
        <v>296819</v>
      </c>
      <c r="F137" s="774">
        <f t="shared" si="47"/>
        <v>203765</v>
      </c>
      <c r="G137" s="722">
        <f t="shared" si="27"/>
        <v>0.6864958105781638</v>
      </c>
      <c r="H137" s="896"/>
    </row>
    <row r="138" spans="1:8" ht="12.75">
      <c r="A138" s="302"/>
      <c r="B138" s="322" t="s">
        <v>231</v>
      </c>
      <c r="C138" s="772">
        <v>400</v>
      </c>
      <c r="D138" s="772">
        <f>400+200</f>
        <v>600</v>
      </c>
      <c r="E138" s="772">
        <f>400+200</f>
        <v>600</v>
      </c>
      <c r="F138" s="772">
        <v>302</v>
      </c>
      <c r="G138" s="307">
        <f t="shared" si="27"/>
        <v>0.5033333333333333</v>
      </c>
      <c r="H138" s="897"/>
    </row>
    <row r="139" spans="1:8" ht="12.75">
      <c r="A139" s="302"/>
      <c r="B139" s="322" t="s">
        <v>232</v>
      </c>
      <c r="C139" s="772"/>
      <c r="D139" s="772"/>
      <c r="E139" s="772"/>
      <c r="F139" s="772"/>
      <c r="G139" s="307"/>
      <c r="H139" s="896"/>
    </row>
    <row r="140" spans="1:8" ht="13.8" thickBot="1">
      <c r="A140" s="302"/>
      <c r="B140" s="324" t="s">
        <v>406</v>
      </c>
      <c r="C140" s="773"/>
      <c r="D140" s="773"/>
      <c r="E140" s="773"/>
      <c r="F140" s="773"/>
      <c r="G140" s="623"/>
      <c r="H140" s="896"/>
    </row>
    <row r="141" spans="1:8" ht="13.8" thickBot="1">
      <c r="A141" s="302"/>
      <c r="B141" s="326" t="s">
        <v>57</v>
      </c>
      <c r="C141" s="774">
        <f aca="true" t="shared" si="48" ref="C141">SUM(C138:C140)</f>
        <v>400</v>
      </c>
      <c r="D141" s="774">
        <f aca="true" t="shared" si="49" ref="D141:E141">SUM(D138:D140)</f>
        <v>600</v>
      </c>
      <c r="E141" s="774">
        <f t="shared" si="49"/>
        <v>600</v>
      </c>
      <c r="F141" s="774">
        <f aca="true" t="shared" si="50" ref="F141">SUM(F138:F140)</f>
        <v>302</v>
      </c>
      <c r="G141" s="722">
        <f aca="true" t="shared" si="51" ref="G141:G200">F141/E141</f>
        <v>0.5033333333333333</v>
      </c>
      <c r="H141" s="896"/>
    </row>
    <row r="142" spans="1:8" ht="14.4" thickBot="1">
      <c r="A142" s="299"/>
      <c r="B142" s="327" t="s">
        <v>103</v>
      </c>
      <c r="C142" s="774">
        <f aca="true" t="shared" si="52" ref="C142">SUM(C137+C141)</f>
        <v>293687</v>
      </c>
      <c r="D142" s="1040">
        <f aca="true" t="shared" si="53" ref="D142:E142">SUM(D137+D141)</f>
        <v>296732</v>
      </c>
      <c r="E142" s="1040">
        <f t="shared" si="53"/>
        <v>297419</v>
      </c>
      <c r="F142" s="1040">
        <f aca="true" t="shared" si="54" ref="F142">SUM(F137+F141)</f>
        <v>204067</v>
      </c>
      <c r="G142" s="833">
        <f t="shared" si="51"/>
        <v>0.6861263066582834</v>
      </c>
      <c r="H142" s="896"/>
    </row>
    <row r="143" spans="1:8" ht="13.8">
      <c r="A143" s="219">
        <v>2325</v>
      </c>
      <c r="B143" s="329" t="s">
        <v>311</v>
      </c>
      <c r="C143" s="772"/>
      <c r="D143" s="772"/>
      <c r="E143" s="772"/>
      <c r="F143" s="772"/>
      <c r="G143" s="307"/>
      <c r="H143" s="896"/>
    </row>
    <row r="144" spans="1:8" ht="12.6" customHeight="1">
      <c r="A144" s="302"/>
      <c r="B144" s="303" t="s">
        <v>173</v>
      </c>
      <c r="C144" s="775"/>
      <c r="D144" s="775"/>
      <c r="E144" s="775"/>
      <c r="F144" s="775"/>
      <c r="G144" s="307"/>
      <c r="H144" s="896"/>
    </row>
    <row r="145" spans="1:8" ht="13.8" thickBot="1">
      <c r="A145" s="302"/>
      <c r="B145" s="304" t="s">
        <v>174</v>
      </c>
      <c r="C145" s="776"/>
      <c r="D145" s="776"/>
      <c r="E145" s="776">
        <v>215</v>
      </c>
      <c r="F145" s="776">
        <v>215</v>
      </c>
      <c r="G145" s="623">
        <f t="shared" si="51"/>
        <v>1</v>
      </c>
      <c r="H145" s="896"/>
    </row>
    <row r="146" spans="1:8" ht="13.8" thickBot="1">
      <c r="A146" s="302"/>
      <c r="B146" s="305" t="s">
        <v>175</v>
      </c>
      <c r="C146" s="777"/>
      <c r="D146" s="777"/>
      <c r="E146" s="777">
        <v>215</v>
      </c>
      <c r="F146" s="777">
        <f>F144+F145</f>
        <v>215</v>
      </c>
      <c r="G146" s="733">
        <f t="shared" si="51"/>
        <v>1</v>
      </c>
      <c r="H146" s="896"/>
    </row>
    <row r="147" spans="1:8" ht="12.75">
      <c r="A147" s="302"/>
      <c r="B147" s="303" t="s">
        <v>176</v>
      </c>
      <c r="C147" s="772"/>
      <c r="D147" s="772"/>
      <c r="E147" s="772"/>
      <c r="F147" s="772">
        <f>F148+F149</f>
        <v>0</v>
      </c>
      <c r="G147" s="307"/>
      <c r="H147" s="896"/>
    </row>
    <row r="148" spans="1:8" ht="12.75">
      <c r="A148" s="302"/>
      <c r="B148" s="308" t="s">
        <v>177</v>
      </c>
      <c r="C148" s="778"/>
      <c r="D148" s="778"/>
      <c r="E148" s="778"/>
      <c r="F148" s="778"/>
      <c r="G148" s="307"/>
      <c r="H148" s="896"/>
    </row>
    <row r="149" spans="1:8" ht="12.75">
      <c r="A149" s="302"/>
      <c r="B149" s="308" t="s">
        <v>178</v>
      </c>
      <c r="C149" s="778"/>
      <c r="D149" s="778"/>
      <c r="E149" s="778"/>
      <c r="F149" s="778"/>
      <c r="G149" s="307"/>
      <c r="H149" s="896"/>
    </row>
    <row r="150" spans="1:8" ht="12.75">
      <c r="A150" s="302"/>
      <c r="B150" s="309" t="s">
        <v>179</v>
      </c>
      <c r="C150" s="772"/>
      <c r="D150" s="772"/>
      <c r="E150" s="772"/>
      <c r="F150" s="772"/>
      <c r="G150" s="307"/>
      <c r="H150" s="896"/>
    </row>
    <row r="151" spans="1:8" ht="12.75">
      <c r="A151" s="302"/>
      <c r="B151" s="309" t="s">
        <v>180</v>
      </c>
      <c r="C151" s="772"/>
      <c r="D151" s="772"/>
      <c r="E151" s="772"/>
      <c r="F151" s="772"/>
      <c r="G151" s="307"/>
      <c r="H151" s="896"/>
    </row>
    <row r="152" spans="1:8" ht="12.75">
      <c r="A152" s="302"/>
      <c r="B152" s="309" t="s">
        <v>181</v>
      </c>
      <c r="C152" s="772"/>
      <c r="D152" s="772"/>
      <c r="E152" s="772"/>
      <c r="F152" s="772"/>
      <c r="G152" s="307"/>
      <c r="H152" s="896"/>
    </row>
    <row r="153" spans="1:8" ht="12.75">
      <c r="A153" s="302"/>
      <c r="B153" s="310" t="s">
        <v>424</v>
      </c>
      <c r="C153" s="772"/>
      <c r="D153" s="772"/>
      <c r="E153" s="772"/>
      <c r="F153" s="772"/>
      <c r="G153" s="307"/>
      <c r="H153" s="896"/>
    </row>
    <row r="154" spans="1:8" ht="13.8" thickBot="1">
      <c r="A154" s="302"/>
      <c r="B154" s="311" t="s">
        <v>182</v>
      </c>
      <c r="C154" s="773"/>
      <c r="D154" s="773"/>
      <c r="E154" s="773"/>
      <c r="F154" s="773"/>
      <c r="G154" s="623"/>
      <c r="H154" s="896"/>
    </row>
    <row r="155" spans="1:8" ht="13.8" thickBot="1">
      <c r="A155" s="302"/>
      <c r="B155" s="312" t="s">
        <v>324</v>
      </c>
      <c r="C155" s="779"/>
      <c r="D155" s="779"/>
      <c r="E155" s="779">
        <f>SUM(E147,E150:E154)</f>
        <v>0</v>
      </c>
      <c r="F155" s="779">
        <f>SUM(F147,F150:F154)</f>
        <v>0</v>
      </c>
      <c r="G155" s="733"/>
      <c r="H155" s="896"/>
    </row>
    <row r="156" spans="1:8" ht="13.8" thickBot="1">
      <c r="A156" s="302"/>
      <c r="B156" s="314" t="s">
        <v>58</v>
      </c>
      <c r="C156" s="1026"/>
      <c r="D156" s="1026"/>
      <c r="E156" s="1026">
        <f>E146+E155</f>
        <v>215</v>
      </c>
      <c r="F156" s="1026">
        <f>F146+F155</f>
        <v>215</v>
      </c>
      <c r="G156" s="733">
        <f t="shared" si="51"/>
        <v>1</v>
      </c>
      <c r="H156" s="896"/>
    </row>
    <row r="157" spans="1:8" ht="13.8" thickBot="1">
      <c r="A157" s="302"/>
      <c r="B157" s="642" t="s">
        <v>437</v>
      </c>
      <c r="C157" s="780"/>
      <c r="D157" s="780"/>
      <c r="E157" s="780"/>
      <c r="F157" s="780"/>
      <c r="G157" s="733"/>
      <c r="H157" s="896"/>
    </row>
    <row r="158" spans="1:8" ht="13.8" thickBot="1">
      <c r="A158" s="302"/>
      <c r="B158" s="315" t="s">
        <v>59</v>
      </c>
      <c r="C158" s="781"/>
      <c r="D158" s="781"/>
      <c r="E158" s="781">
        <f>E157</f>
        <v>0</v>
      </c>
      <c r="F158" s="781">
        <f>F157</f>
        <v>0</v>
      </c>
      <c r="G158" s="733"/>
      <c r="H158" s="896"/>
    </row>
    <row r="159" spans="1:8" ht="12.75">
      <c r="A159" s="302"/>
      <c r="B159" s="637" t="s">
        <v>397</v>
      </c>
      <c r="C159" s="782"/>
      <c r="D159" s="782">
        <v>1111</v>
      </c>
      <c r="E159" s="782">
        <v>1111</v>
      </c>
      <c r="F159" s="782">
        <v>1111</v>
      </c>
      <c r="G159" s="307">
        <f t="shared" si="51"/>
        <v>1</v>
      </c>
      <c r="H159" s="896"/>
    </row>
    <row r="160" spans="1:8" ht="13.8" thickBot="1">
      <c r="A160" s="302"/>
      <c r="B160" s="318" t="s">
        <v>430</v>
      </c>
      <c r="C160" s="773">
        <v>172500</v>
      </c>
      <c r="D160" s="773">
        <v>172665</v>
      </c>
      <c r="E160" s="773">
        <f>172665+578</f>
        <v>173243</v>
      </c>
      <c r="F160" s="773">
        <v>116458</v>
      </c>
      <c r="G160" s="623">
        <f t="shared" si="51"/>
        <v>0.6722234087380153</v>
      </c>
      <c r="H160" s="897"/>
    </row>
    <row r="161" spans="1:8" ht="13.8" thickBot="1">
      <c r="A161" s="302"/>
      <c r="B161" s="319" t="s">
        <v>52</v>
      </c>
      <c r="C161" s="781">
        <f aca="true" t="shared" si="55" ref="C161">SUM(C159:C160)</f>
        <v>172500</v>
      </c>
      <c r="D161" s="781">
        <f aca="true" t="shared" si="56" ref="D161:F161">SUM(D159:D160)</f>
        <v>173776</v>
      </c>
      <c r="E161" s="781">
        <f t="shared" si="56"/>
        <v>174354</v>
      </c>
      <c r="F161" s="781">
        <f t="shared" si="56"/>
        <v>117569</v>
      </c>
      <c r="G161" s="722">
        <f t="shared" si="51"/>
        <v>0.6743120318432614</v>
      </c>
      <c r="H161" s="896"/>
    </row>
    <row r="162" spans="1:8" ht="13.8" thickBot="1">
      <c r="A162" s="302"/>
      <c r="B162" s="241" t="s">
        <v>397</v>
      </c>
      <c r="C162" s="780"/>
      <c r="D162" s="780">
        <v>100</v>
      </c>
      <c r="E162" s="780">
        <v>100</v>
      </c>
      <c r="F162" s="780">
        <v>100</v>
      </c>
      <c r="G162" s="733">
        <f t="shared" si="51"/>
        <v>1</v>
      </c>
      <c r="H162" s="896"/>
    </row>
    <row r="163" spans="1:8" ht="13.8" thickBot="1">
      <c r="A163" s="302"/>
      <c r="B163" s="319" t="s">
        <v>54</v>
      </c>
      <c r="C163" s="781"/>
      <c r="D163" s="781">
        <f>SUM(D162)</f>
        <v>100</v>
      </c>
      <c r="E163" s="781">
        <f>SUM(E162)</f>
        <v>100</v>
      </c>
      <c r="F163" s="781">
        <f>SUM(F162)</f>
        <v>100</v>
      </c>
      <c r="G163" s="733">
        <f t="shared" si="51"/>
        <v>1</v>
      </c>
      <c r="H163" s="896"/>
    </row>
    <row r="164" spans="1:8" ht="14.4" thickBot="1">
      <c r="A164" s="302"/>
      <c r="B164" s="321" t="s">
        <v>66</v>
      </c>
      <c r="C164" s="774">
        <f aca="true" t="shared" si="57" ref="C164">SUM(C156+C158+C161+C163)</f>
        <v>172500</v>
      </c>
      <c r="D164" s="774">
        <f aca="true" t="shared" si="58" ref="D164">SUM(D156+D158+D161+D163)</f>
        <v>173876</v>
      </c>
      <c r="E164" s="774">
        <f>SUM(E156+E158+E161+E163)</f>
        <v>174669</v>
      </c>
      <c r="F164" s="774">
        <f>SUM(F156+F158+F161+F163)</f>
        <v>117884</v>
      </c>
      <c r="G164" s="722">
        <f t="shared" si="51"/>
        <v>0.6748993811151378</v>
      </c>
      <c r="H164" s="896"/>
    </row>
    <row r="165" spans="1:8" ht="12.75">
      <c r="A165" s="302"/>
      <c r="B165" s="322" t="s">
        <v>304</v>
      </c>
      <c r="C165" s="772">
        <v>142240</v>
      </c>
      <c r="D165" s="772">
        <f>142240+6</f>
        <v>142246</v>
      </c>
      <c r="E165" s="772">
        <f>142240+6+500</f>
        <v>142746</v>
      </c>
      <c r="F165" s="772">
        <v>97331</v>
      </c>
      <c r="G165" s="307">
        <f t="shared" si="51"/>
        <v>0.6818474773373685</v>
      </c>
      <c r="H165" s="897"/>
    </row>
    <row r="166" spans="1:8" ht="12.75">
      <c r="A166" s="302"/>
      <c r="B166" s="322" t="s">
        <v>305</v>
      </c>
      <c r="C166" s="772">
        <v>24233</v>
      </c>
      <c r="D166" s="772">
        <f>24233+156</f>
        <v>24389</v>
      </c>
      <c r="E166" s="772">
        <f>24233+156+78</f>
        <v>24467</v>
      </c>
      <c r="F166" s="772">
        <v>17541</v>
      </c>
      <c r="G166" s="307">
        <f t="shared" si="51"/>
        <v>0.7169248375362733</v>
      </c>
      <c r="H166" s="897"/>
    </row>
    <row r="167" spans="1:8" ht="12.75">
      <c r="A167" s="302"/>
      <c r="B167" s="322" t="s">
        <v>306</v>
      </c>
      <c r="C167" s="772">
        <v>5627</v>
      </c>
      <c r="D167" s="772">
        <v>6741</v>
      </c>
      <c r="E167" s="772">
        <f>6741-230</f>
        <v>6511</v>
      </c>
      <c r="F167" s="772">
        <v>2379</v>
      </c>
      <c r="G167" s="307">
        <f t="shared" si="51"/>
        <v>0.36538166180310244</v>
      </c>
      <c r="H167" s="897"/>
    </row>
    <row r="168" spans="1:8" ht="12.75">
      <c r="A168" s="302"/>
      <c r="B168" s="323" t="s">
        <v>308</v>
      </c>
      <c r="C168" s="772"/>
      <c r="D168" s="772"/>
      <c r="E168" s="772"/>
      <c r="F168" s="772"/>
      <c r="G168" s="307"/>
      <c r="H168" s="896"/>
    </row>
    <row r="169" spans="1:8" ht="13.8" thickBot="1">
      <c r="A169" s="302"/>
      <c r="B169" s="324" t="s">
        <v>307</v>
      </c>
      <c r="C169" s="773"/>
      <c r="D169" s="773"/>
      <c r="E169" s="773">
        <v>445</v>
      </c>
      <c r="F169" s="773">
        <v>445</v>
      </c>
      <c r="G169" s="623">
        <f t="shared" si="51"/>
        <v>1</v>
      </c>
      <c r="H169" s="896"/>
    </row>
    <row r="170" spans="1:8" ht="13.8" thickBot="1">
      <c r="A170" s="302"/>
      <c r="B170" s="325" t="s">
        <v>51</v>
      </c>
      <c r="C170" s="779">
        <f aca="true" t="shared" si="59" ref="C170">SUM(C165:C169)</f>
        <v>172100</v>
      </c>
      <c r="D170" s="779">
        <f aca="true" t="shared" si="60" ref="D170:F170">SUM(D165:D169)</f>
        <v>173376</v>
      </c>
      <c r="E170" s="779">
        <f t="shared" si="60"/>
        <v>174169</v>
      </c>
      <c r="F170" s="779">
        <f t="shared" si="60"/>
        <v>117696</v>
      </c>
      <c r="G170" s="722">
        <f t="shared" si="51"/>
        <v>0.6757574539671238</v>
      </c>
      <c r="H170" s="896"/>
    </row>
    <row r="171" spans="1:8" ht="12.75">
      <c r="A171" s="302"/>
      <c r="B171" s="322" t="s">
        <v>231</v>
      </c>
      <c r="C171" s="772">
        <v>400</v>
      </c>
      <c r="D171" s="772">
        <f>400+100</f>
        <v>500</v>
      </c>
      <c r="E171" s="772">
        <f>400+100</f>
        <v>500</v>
      </c>
      <c r="F171" s="772">
        <v>171</v>
      </c>
      <c r="G171" s="307">
        <f t="shared" si="51"/>
        <v>0.342</v>
      </c>
      <c r="H171" s="897"/>
    </row>
    <row r="172" spans="1:8" ht="12.75">
      <c r="A172" s="302"/>
      <c r="B172" s="322" t="s">
        <v>232</v>
      </c>
      <c r="C172" s="772"/>
      <c r="D172" s="772"/>
      <c r="E172" s="772"/>
      <c r="F172" s="772"/>
      <c r="G172" s="307"/>
      <c r="H172" s="896"/>
    </row>
    <row r="173" spans="1:8" ht="13.8" thickBot="1">
      <c r="A173" s="302"/>
      <c r="B173" s="324" t="s">
        <v>406</v>
      </c>
      <c r="C173" s="773"/>
      <c r="D173" s="773"/>
      <c r="E173" s="773"/>
      <c r="F173" s="773"/>
      <c r="G173" s="623"/>
      <c r="H173" s="896"/>
    </row>
    <row r="174" spans="1:8" ht="13.8" thickBot="1">
      <c r="A174" s="302"/>
      <c r="B174" s="326" t="s">
        <v>57</v>
      </c>
      <c r="C174" s="779">
        <f aca="true" t="shared" si="61" ref="C174">SUM(C171:C173)</f>
        <v>400</v>
      </c>
      <c r="D174" s="779">
        <f aca="true" t="shared" si="62" ref="D174:E174">SUM(D171:D173)</f>
        <v>500</v>
      </c>
      <c r="E174" s="779">
        <f t="shared" si="62"/>
        <v>500</v>
      </c>
      <c r="F174" s="779">
        <f aca="true" t="shared" si="63" ref="F174">SUM(F171:F173)</f>
        <v>171</v>
      </c>
      <c r="G174" s="722">
        <f t="shared" si="51"/>
        <v>0.342</v>
      </c>
      <c r="H174" s="896"/>
    </row>
    <row r="175" spans="1:8" ht="14.4" thickBot="1">
      <c r="A175" s="299"/>
      <c r="B175" s="327" t="s">
        <v>103</v>
      </c>
      <c r="C175" s="774">
        <f aca="true" t="shared" si="64" ref="C175">SUM(C170+C174)</f>
        <v>172500</v>
      </c>
      <c r="D175" s="779">
        <f aca="true" t="shared" si="65" ref="D175:E175">SUM(D170+D174)</f>
        <v>173876</v>
      </c>
      <c r="E175" s="779">
        <f t="shared" si="65"/>
        <v>174669</v>
      </c>
      <c r="F175" s="779">
        <f aca="true" t="shared" si="66" ref="F175">SUM(F170+F174)</f>
        <v>117867</v>
      </c>
      <c r="G175" s="734">
        <f t="shared" si="51"/>
        <v>0.6748020541710321</v>
      </c>
      <c r="H175" s="896"/>
    </row>
    <row r="176" spans="1:8" ht="13.8">
      <c r="A176" s="219">
        <v>2330</v>
      </c>
      <c r="B176" s="222" t="s">
        <v>312</v>
      </c>
      <c r="C176" s="772"/>
      <c r="D176" s="772"/>
      <c r="E176" s="772"/>
      <c r="F176" s="772"/>
      <c r="G176" s="307"/>
      <c r="H176" s="896"/>
    </row>
    <row r="177" spans="1:8" ht="12.6" customHeight="1">
      <c r="A177" s="302"/>
      <c r="B177" s="303" t="s">
        <v>173</v>
      </c>
      <c r="C177" s="775"/>
      <c r="D177" s="775"/>
      <c r="E177" s="775"/>
      <c r="F177" s="775"/>
      <c r="G177" s="307"/>
      <c r="H177" s="896"/>
    </row>
    <row r="178" spans="1:8" ht="13.8" thickBot="1">
      <c r="A178" s="302"/>
      <c r="B178" s="304" t="s">
        <v>174</v>
      </c>
      <c r="C178" s="776"/>
      <c r="D178" s="776"/>
      <c r="E178" s="776"/>
      <c r="F178" s="776"/>
      <c r="G178" s="623"/>
      <c r="H178" s="896"/>
    </row>
    <row r="179" spans="1:8" ht="13.8" thickBot="1">
      <c r="A179" s="302"/>
      <c r="B179" s="305" t="s">
        <v>186</v>
      </c>
      <c r="C179" s="777"/>
      <c r="D179" s="777"/>
      <c r="E179" s="777"/>
      <c r="F179" s="777">
        <f>SUM(F177:F178)</f>
        <v>0</v>
      </c>
      <c r="G179" s="733"/>
      <c r="H179" s="896"/>
    </row>
    <row r="180" spans="1:8" ht="12.75">
      <c r="A180" s="302"/>
      <c r="B180" s="303" t="s">
        <v>176</v>
      </c>
      <c r="C180" s="772"/>
      <c r="D180" s="772"/>
      <c r="E180" s="772"/>
      <c r="F180" s="772">
        <f>F181+F182</f>
        <v>0</v>
      </c>
      <c r="G180" s="307"/>
      <c r="H180" s="896"/>
    </row>
    <row r="181" spans="1:8" ht="12.75">
      <c r="A181" s="302"/>
      <c r="B181" s="308" t="s">
        <v>177</v>
      </c>
      <c r="C181" s="778"/>
      <c r="D181" s="778"/>
      <c r="E181" s="778"/>
      <c r="F181" s="778"/>
      <c r="G181" s="307"/>
      <c r="H181" s="896"/>
    </row>
    <row r="182" spans="1:8" ht="12.75">
      <c r="A182" s="302"/>
      <c r="B182" s="308" t="s">
        <v>178</v>
      </c>
      <c r="C182" s="778"/>
      <c r="D182" s="778"/>
      <c r="E182" s="778"/>
      <c r="F182" s="778"/>
      <c r="G182" s="307"/>
      <c r="H182" s="896"/>
    </row>
    <row r="183" spans="1:8" ht="12.75">
      <c r="A183" s="302"/>
      <c r="B183" s="309" t="s">
        <v>179</v>
      </c>
      <c r="C183" s="772"/>
      <c r="D183" s="772"/>
      <c r="E183" s="772"/>
      <c r="F183" s="772"/>
      <c r="G183" s="307"/>
      <c r="H183" s="896"/>
    </row>
    <row r="184" spans="1:8" ht="12.75">
      <c r="A184" s="302"/>
      <c r="B184" s="309" t="s">
        <v>180</v>
      </c>
      <c r="C184" s="772"/>
      <c r="D184" s="772"/>
      <c r="E184" s="772"/>
      <c r="F184" s="772"/>
      <c r="G184" s="307"/>
      <c r="H184" s="896"/>
    </row>
    <row r="185" spans="1:8" ht="12.75">
      <c r="A185" s="302"/>
      <c r="B185" s="309" t="s">
        <v>181</v>
      </c>
      <c r="C185" s="772"/>
      <c r="D185" s="772"/>
      <c r="E185" s="772"/>
      <c r="F185" s="772"/>
      <c r="G185" s="307"/>
      <c r="H185" s="896"/>
    </row>
    <row r="186" spans="1:8" ht="12.75">
      <c r="A186" s="302"/>
      <c r="B186" s="310" t="s">
        <v>424</v>
      </c>
      <c r="C186" s="772"/>
      <c r="D186" s="772"/>
      <c r="E186" s="772"/>
      <c r="F186" s="772"/>
      <c r="G186" s="307"/>
      <c r="H186" s="896"/>
    </row>
    <row r="187" spans="1:8" ht="13.8" thickBot="1">
      <c r="A187" s="302"/>
      <c r="B187" s="311" t="s">
        <v>182</v>
      </c>
      <c r="C187" s="773"/>
      <c r="D187" s="773"/>
      <c r="E187" s="773"/>
      <c r="F187" s="773"/>
      <c r="G187" s="623"/>
      <c r="H187" s="896"/>
    </row>
    <row r="188" spans="1:8" ht="13.8" thickBot="1">
      <c r="A188" s="302"/>
      <c r="B188" s="312" t="s">
        <v>324</v>
      </c>
      <c r="C188" s="779"/>
      <c r="D188" s="779"/>
      <c r="E188" s="779"/>
      <c r="F188" s="779">
        <f>SUM(F180,F183:F187)</f>
        <v>0</v>
      </c>
      <c r="G188" s="733"/>
      <c r="H188" s="896"/>
    </row>
    <row r="189" spans="1:8" ht="13.8" thickBot="1">
      <c r="A189" s="302"/>
      <c r="B189" s="314" t="s">
        <v>58</v>
      </c>
      <c r="C189" s="1026"/>
      <c r="D189" s="1026"/>
      <c r="E189" s="1026"/>
      <c r="F189" s="1026">
        <f>F179+F188</f>
        <v>0</v>
      </c>
      <c r="G189" s="733"/>
      <c r="H189" s="896"/>
    </row>
    <row r="190" spans="1:8" ht="13.8" thickBot="1">
      <c r="A190" s="302"/>
      <c r="B190" s="642" t="s">
        <v>437</v>
      </c>
      <c r="C190" s="780"/>
      <c r="D190" s="780"/>
      <c r="E190" s="780"/>
      <c r="F190" s="780"/>
      <c r="G190" s="733"/>
      <c r="H190" s="896"/>
    </row>
    <row r="191" spans="1:8" ht="13.8" thickBot="1">
      <c r="A191" s="302"/>
      <c r="B191" s="315" t="s">
        <v>59</v>
      </c>
      <c r="C191" s="781"/>
      <c r="D191" s="781"/>
      <c r="E191" s="781"/>
      <c r="F191" s="781">
        <f>F190</f>
        <v>0</v>
      </c>
      <c r="G191" s="733"/>
      <c r="H191" s="896"/>
    </row>
    <row r="192" spans="1:8" ht="12.75">
      <c r="A192" s="302"/>
      <c r="B192" s="637" t="s">
        <v>397</v>
      </c>
      <c r="C192" s="782"/>
      <c r="D192" s="782">
        <v>689</v>
      </c>
      <c r="E192" s="782">
        <v>689</v>
      </c>
      <c r="F192" s="782">
        <v>689</v>
      </c>
      <c r="G192" s="307">
        <f t="shared" si="51"/>
        <v>1</v>
      </c>
      <c r="H192" s="896"/>
    </row>
    <row r="193" spans="1:8" ht="13.8" thickBot="1">
      <c r="A193" s="302"/>
      <c r="B193" s="318" t="s">
        <v>430</v>
      </c>
      <c r="C193" s="773">
        <v>129787</v>
      </c>
      <c r="D193" s="773">
        <v>129915</v>
      </c>
      <c r="E193" s="773">
        <f>129915+462</f>
        <v>130377</v>
      </c>
      <c r="F193" s="773">
        <v>87536</v>
      </c>
      <c r="G193" s="623">
        <f t="shared" si="51"/>
        <v>0.6714067665309065</v>
      </c>
      <c r="H193" s="897"/>
    </row>
    <row r="194" spans="1:8" ht="13.8" thickBot="1">
      <c r="A194" s="302"/>
      <c r="B194" s="319" t="s">
        <v>52</v>
      </c>
      <c r="C194" s="781">
        <f aca="true" t="shared" si="67" ref="C194">SUM(C192:C193)</f>
        <v>129787</v>
      </c>
      <c r="D194" s="781">
        <f aca="true" t="shared" si="68" ref="D194:F194">SUM(D192:D193)</f>
        <v>130604</v>
      </c>
      <c r="E194" s="781">
        <f t="shared" si="68"/>
        <v>131066</v>
      </c>
      <c r="F194" s="781">
        <f t="shared" si="68"/>
        <v>88225</v>
      </c>
      <c r="G194" s="722">
        <f t="shared" si="51"/>
        <v>0.6731341461553721</v>
      </c>
      <c r="H194" s="896"/>
    </row>
    <row r="195" spans="1:8" ht="13.8" thickBot="1">
      <c r="A195" s="302"/>
      <c r="B195" s="948" t="s">
        <v>397</v>
      </c>
      <c r="C195" s="781"/>
      <c r="D195" s="780">
        <v>100</v>
      </c>
      <c r="E195" s="780">
        <v>100</v>
      </c>
      <c r="F195" s="780">
        <v>100</v>
      </c>
      <c r="G195" s="733">
        <f t="shared" si="51"/>
        <v>1</v>
      </c>
      <c r="H195" s="896"/>
    </row>
    <row r="196" spans="1:8" ht="13.8" thickBot="1">
      <c r="A196" s="302"/>
      <c r="B196" s="319" t="s">
        <v>54</v>
      </c>
      <c r="C196" s="781"/>
      <c r="D196" s="781">
        <f>SUM(D195)</f>
        <v>100</v>
      </c>
      <c r="E196" s="781">
        <f>SUM(E195)</f>
        <v>100</v>
      </c>
      <c r="F196" s="781">
        <f>SUM(F195)</f>
        <v>100</v>
      </c>
      <c r="G196" s="722">
        <f t="shared" si="51"/>
        <v>1</v>
      </c>
      <c r="H196" s="896"/>
    </row>
    <row r="197" spans="1:8" ht="14.4" thickBot="1">
      <c r="A197" s="302"/>
      <c r="B197" s="321" t="s">
        <v>66</v>
      </c>
      <c r="C197" s="774">
        <f aca="true" t="shared" si="69" ref="C197">SUM(C189+C191+C194)</f>
        <v>129787</v>
      </c>
      <c r="D197" s="774">
        <f>SUM(D189+D191+D194)+D196</f>
        <v>130704</v>
      </c>
      <c r="E197" s="774">
        <f>SUM(E189+E191+E194)+E196</f>
        <v>131166</v>
      </c>
      <c r="F197" s="774">
        <f>SUM(F189+F191+F194)+F196</f>
        <v>88325</v>
      </c>
      <c r="G197" s="722">
        <f t="shared" si="51"/>
        <v>0.6733833462940091</v>
      </c>
      <c r="H197" s="896"/>
    </row>
    <row r="198" spans="1:8" ht="12.75">
      <c r="A198" s="302"/>
      <c r="B198" s="322" t="s">
        <v>304</v>
      </c>
      <c r="C198" s="772">
        <v>108878</v>
      </c>
      <c r="D198" s="772">
        <v>108878</v>
      </c>
      <c r="E198" s="772">
        <f>108878+400</f>
        <v>109278</v>
      </c>
      <c r="F198" s="772">
        <v>74691</v>
      </c>
      <c r="G198" s="307">
        <f t="shared" si="51"/>
        <v>0.68349530555098</v>
      </c>
      <c r="H198" s="897"/>
    </row>
    <row r="199" spans="1:8" ht="12.75">
      <c r="A199" s="302"/>
      <c r="B199" s="322" t="s">
        <v>305</v>
      </c>
      <c r="C199" s="772">
        <v>16775</v>
      </c>
      <c r="D199" s="772">
        <f>16775+112</f>
        <v>16887</v>
      </c>
      <c r="E199" s="772">
        <f>16775+112+62</f>
        <v>16949</v>
      </c>
      <c r="F199" s="772">
        <v>11994</v>
      </c>
      <c r="G199" s="307">
        <f t="shared" si="51"/>
        <v>0.7076523688713199</v>
      </c>
      <c r="H199" s="897"/>
    </row>
    <row r="200" spans="1:8" ht="12.75">
      <c r="A200" s="302"/>
      <c r="B200" s="322" t="s">
        <v>306</v>
      </c>
      <c r="C200" s="772">
        <v>3934</v>
      </c>
      <c r="D200" s="772">
        <v>4639</v>
      </c>
      <c r="E200" s="772">
        <v>4639</v>
      </c>
      <c r="F200" s="772">
        <v>752</v>
      </c>
      <c r="G200" s="307">
        <f t="shared" si="51"/>
        <v>0.16210390170295322</v>
      </c>
      <c r="H200" s="897"/>
    </row>
    <row r="201" spans="1:8" ht="12.75">
      <c r="A201" s="302"/>
      <c r="B201" s="323" t="s">
        <v>308</v>
      </c>
      <c r="C201" s="772"/>
      <c r="D201" s="772"/>
      <c r="E201" s="772"/>
      <c r="F201" s="772"/>
      <c r="G201" s="307"/>
      <c r="H201" s="896"/>
    </row>
    <row r="202" spans="1:8" ht="13.8" thickBot="1">
      <c r="A202" s="302"/>
      <c r="B202" s="324" t="s">
        <v>307</v>
      </c>
      <c r="C202" s="773"/>
      <c r="D202" s="773"/>
      <c r="E202" s="773"/>
      <c r="F202" s="773"/>
      <c r="G202" s="623"/>
      <c r="H202" s="896"/>
    </row>
    <row r="203" spans="1:8" ht="13.8" thickBot="1">
      <c r="A203" s="302"/>
      <c r="B203" s="325" t="s">
        <v>51</v>
      </c>
      <c r="C203" s="779">
        <f aca="true" t="shared" si="70" ref="C203">SUM(C198:C202)</f>
        <v>129587</v>
      </c>
      <c r="D203" s="779">
        <f aca="true" t="shared" si="71" ref="D203:F203">SUM(D198:D202)</f>
        <v>130404</v>
      </c>
      <c r="E203" s="779">
        <f t="shared" si="71"/>
        <v>130866</v>
      </c>
      <c r="F203" s="779">
        <f t="shared" si="71"/>
        <v>87437</v>
      </c>
      <c r="G203" s="722">
        <f aca="true" t="shared" si="72" ref="G203:G266">F203/E203</f>
        <v>0.6681414576742623</v>
      </c>
      <c r="H203" s="896"/>
    </row>
    <row r="204" spans="1:8" ht="12.75">
      <c r="A204" s="302"/>
      <c r="B204" s="322" t="s">
        <v>231</v>
      </c>
      <c r="C204" s="772">
        <v>200</v>
      </c>
      <c r="D204" s="772">
        <f>200+100</f>
        <v>300</v>
      </c>
      <c r="E204" s="772">
        <f>200+100</f>
        <v>300</v>
      </c>
      <c r="F204" s="772"/>
      <c r="G204" s="307">
        <f t="shared" si="72"/>
        <v>0</v>
      </c>
      <c r="H204" s="897"/>
    </row>
    <row r="205" spans="1:8" ht="12.75">
      <c r="A205" s="302"/>
      <c r="B205" s="322" t="s">
        <v>232</v>
      </c>
      <c r="C205" s="772"/>
      <c r="D205" s="772"/>
      <c r="E205" s="772"/>
      <c r="F205" s="772"/>
      <c r="G205" s="307"/>
      <c r="H205" s="896"/>
    </row>
    <row r="206" spans="1:8" ht="13.8" thickBot="1">
      <c r="A206" s="302"/>
      <c r="B206" s="324" t="s">
        <v>406</v>
      </c>
      <c r="C206" s="773"/>
      <c r="D206" s="773"/>
      <c r="E206" s="773"/>
      <c r="F206" s="773"/>
      <c r="G206" s="623"/>
      <c r="H206" s="896"/>
    </row>
    <row r="207" spans="1:8" ht="13.8" thickBot="1">
      <c r="A207" s="302"/>
      <c r="B207" s="326" t="s">
        <v>57</v>
      </c>
      <c r="C207" s="779">
        <f aca="true" t="shared" si="73" ref="C207">SUM(C204:C206)</f>
        <v>200</v>
      </c>
      <c r="D207" s="779">
        <f aca="true" t="shared" si="74" ref="D207:E207">SUM(D204:D206)</f>
        <v>300</v>
      </c>
      <c r="E207" s="779">
        <f t="shared" si="74"/>
        <v>300</v>
      </c>
      <c r="F207" s="779">
        <f aca="true" t="shared" si="75" ref="F207">SUM(F204:F206)</f>
        <v>0</v>
      </c>
      <c r="G207" s="722">
        <f t="shared" si="72"/>
        <v>0</v>
      </c>
      <c r="H207" s="896"/>
    </row>
    <row r="208" spans="1:8" ht="14.4" thickBot="1">
      <c r="A208" s="299"/>
      <c r="B208" s="327" t="s">
        <v>103</v>
      </c>
      <c r="C208" s="774">
        <f aca="true" t="shared" si="76" ref="C208">SUM(C203+C207)</f>
        <v>129787</v>
      </c>
      <c r="D208" s="779">
        <f aca="true" t="shared" si="77" ref="D208:E208">SUM(D203+D207)</f>
        <v>130704</v>
      </c>
      <c r="E208" s="779">
        <f t="shared" si="77"/>
        <v>131166</v>
      </c>
      <c r="F208" s="779">
        <f aca="true" t="shared" si="78" ref="F208">SUM(F203+F207)</f>
        <v>87437</v>
      </c>
      <c r="G208" s="734">
        <f t="shared" si="72"/>
        <v>0.6666132991781407</v>
      </c>
      <c r="H208" s="896"/>
    </row>
    <row r="209" spans="1:8" ht="13.8">
      <c r="A209" s="220">
        <v>2335</v>
      </c>
      <c r="B209" s="222" t="s">
        <v>313</v>
      </c>
      <c r="C209" s="772"/>
      <c r="D209" s="772"/>
      <c r="E209" s="772"/>
      <c r="F209" s="772"/>
      <c r="G209" s="307"/>
      <c r="H209" s="896"/>
    </row>
    <row r="210" spans="1:8" ht="12.6" customHeight="1">
      <c r="A210" s="302"/>
      <c r="B210" s="303" t="s">
        <v>173</v>
      </c>
      <c r="C210" s="775"/>
      <c r="D210" s="775"/>
      <c r="E210" s="775"/>
      <c r="F210" s="775"/>
      <c r="G210" s="307"/>
      <c r="H210" s="896"/>
    </row>
    <row r="211" spans="1:8" ht="13.8" thickBot="1">
      <c r="A211" s="302"/>
      <c r="B211" s="304" t="s">
        <v>174</v>
      </c>
      <c r="C211" s="776"/>
      <c r="D211" s="776"/>
      <c r="E211" s="776"/>
      <c r="F211" s="776"/>
      <c r="G211" s="623"/>
      <c r="H211" s="896"/>
    </row>
    <row r="212" spans="1:8" ht="13.8" thickBot="1">
      <c r="A212" s="302"/>
      <c r="B212" s="305" t="s">
        <v>186</v>
      </c>
      <c r="C212" s="777"/>
      <c r="D212" s="777"/>
      <c r="E212" s="777"/>
      <c r="F212" s="777">
        <f>SUM(F210:F211)</f>
        <v>0</v>
      </c>
      <c r="G212" s="733"/>
      <c r="H212" s="896"/>
    </row>
    <row r="213" spans="1:8" ht="12.75">
      <c r="A213" s="302"/>
      <c r="B213" s="303" t="s">
        <v>176</v>
      </c>
      <c r="C213" s="772"/>
      <c r="D213" s="772"/>
      <c r="E213" s="772"/>
      <c r="F213" s="772">
        <f>F214+F215</f>
        <v>0</v>
      </c>
      <c r="G213" s="307"/>
      <c r="H213" s="896"/>
    </row>
    <row r="214" spans="1:8" ht="12.75">
      <c r="A214" s="302"/>
      <c r="B214" s="308" t="s">
        <v>177</v>
      </c>
      <c r="C214" s="778"/>
      <c r="D214" s="778"/>
      <c r="E214" s="778"/>
      <c r="F214" s="778"/>
      <c r="G214" s="307"/>
      <c r="H214" s="896"/>
    </row>
    <row r="215" spans="1:8" ht="12.75">
      <c r="A215" s="302"/>
      <c r="B215" s="308" t="s">
        <v>178</v>
      </c>
      <c r="C215" s="778"/>
      <c r="D215" s="778"/>
      <c r="E215" s="778"/>
      <c r="F215" s="778"/>
      <c r="G215" s="307"/>
      <c r="H215" s="896"/>
    </row>
    <row r="216" spans="1:8" ht="12.75">
      <c r="A216" s="302"/>
      <c r="B216" s="309" t="s">
        <v>179</v>
      </c>
      <c r="C216" s="772"/>
      <c r="D216" s="772"/>
      <c r="E216" s="772"/>
      <c r="F216" s="772"/>
      <c r="G216" s="307"/>
      <c r="H216" s="896"/>
    </row>
    <row r="217" spans="1:8" ht="12.75">
      <c r="A217" s="302"/>
      <c r="B217" s="309" t="s">
        <v>180</v>
      </c>
      <c r="C217" s="772"/>
      <c r="D217" s="772"/>
      <c r="E217" s="772"/>
      <c r="F217" s="772"/>
      <c r="G217" s="307"/>
      <c r="H217" s="896"/>
    </row>
    <row r="218" spans="1:8" ht="12.75">
      <c r="A218" s="302"/>
      <c r="B218" s="309" t="s">
        <v>181</v>
      </c>
      <c r="C218" s="772"/>
      <c r="D218" s="772"/>
      <c r="E218" s="772"/>
      <c r="F218" s="772"/>
      <c r="G218" s="307"/>
      <c r="H218" s="896"/>
    </row>
    <row r="219" spans="1:8" ht="12.75">
      <c r="A219" s="302"/>
      <c r="B219" s="310" t="s">
        <v>424</v>
      </c>
      <c r="C219" s="772"/>
      <c r="D219" s="772"/>
      <c r="E219" s="772"/>
      <c r="F219" s="772"/>
      <c r="G219" s="307"/>
      <c r="H219" s="896"/>
    </row>
    <row r="220" spans="1:8" ht="13.8" thickBot="1">
      <c r="A220" s="302"/>
      <c r="B220" s="311" t="s">
        <v>182</v>
      </c>
      <c r="C220" s="773"/>
      <c r="D220" s="773"/>
      <c r="E220" s="773"/>
      <c r="F220" s="773"/>
      <c r="G220" s="623"/>
      <c r="H220" s="896"/>
    </row>
    <row r="221" spans="1:8" ht="13.8" thickBot="1">
      <c r="A221" s="302"/>
      <c r="B221" s="312" t="s">
        <v>324</v>
      </c>
      <c r="C221" s="779"/>
      <c r="D221" s="779"/>
      <c r="E221" s="779"/>
      <c r="F221" s="779">
        <f>SUM(F213,F216:F220)</f>
        <v>0</v>
      </c>
      <c r="G221" s="733"/>
      <c r="H221" s="896"/>
    </row>
    <row r="222" spans="1:8" ht="13.8" thickBot="1">
      <c r="A222" s="302"/>
      <c r="B222" s="314" t="s">
        <v>58</v>
      </c>
      <c r="C222" s="1026"/>
      <c r="D222" s="1026"/>
      <c r="E222" s="1026"/>
      <c r="F222" s="1026">
        <f>F212+F221</f>
        <v>0</v>
      </c>
      <c r="G222" s="733"/>
      <c r="H222" s="896"/>
    </row>
    <row r="223" spans="1:8" ht="13.8" thickBot="1">
      <c r="A223" s="302"/>
      <c r="B223" s="642" t="s">
        <v>437</v>
      </c>
      <c r="C223" s="780"/>
      <c r="D223" s="780"/>
      <c r="E223" s="780"/>
      <c r="F223" s="780"/>
      <c r="G223" s="733"/>
      <c r="H223" s="896"/>
    </row>
    <row r="224" spans="1:8" ht="13.8" thickBot="1">
      <c r="A224" s="302"/>
      <c r="B224" s="315" t="s">
        <v>59</v>
      </c>
      <c r="C224" s="781"/>
      <c r="D224" s="781"/>
      <c r="E224" s="781"/>
      <c r="F224" s="781">
        <f>F223</f>
        <v>0</v>
      </c>
      <c r="G224" s="733"/>
      <c r="H224" s="896"/>
    </row>
    <row r="225" spans="1:8" ht="12.75">
      <c r="A225" s="302"/>
      <c r="B225" s="637" t="s">
        <v>397</v>
      </c>
      <c r="C225" s="782"/>
      <c r="D225" s="782">
        <v>595</v>
      </c>
      <c r="E225" s="782">
        <v>595</v>
      </c>
      <c r="F225" s="782">
        <v>595</v>
      </c>
      <c r="G225" s="307">
        <f t="shared" si="72"/>
        <v>1</v>
      </c>
      <c r="H225" s="896"/>
    </row>
    <row r="226" spans="1:8" ht="13.8" thickBot="1">
      <c r="A226" s="302"/>
      <c r="B226" s="318" t="s">
        <v>430</v>
      </c>
      <c r="C226" s="773">
        <v>89480</v>
      </c>
      <c r="D226" s="773">
        <v>89542</v>
      </c>
      <c r="E226" s="773">
        <f>89542+451</f>
        <v>89993</v>
      </c>
      <c r="F226" s="773">
        <v>56076</v>
      </c>
      <c r="G226" s="623">
        <f t="shared" si="72"/>
        <v>0.6231151311768693</v>
      </c>
      <c r="H226" s="897"/>
    </row>
    <row r="227" spans="1:8" ht="13.8" thickBot="1">
      <c r="A227" s="302"/>
      <c r="B227" s="319" t="s">
        <v>52</v>
      </c>
      <c r="C227" s="781">
        <f aca="true" t="shared" si="79" ref="C227">SUM(C225:C226)</f>
        <v>89480</v>
      </c>
      <c r="D227" s="781">
        <f aca="true" t="shared" si="80" ref="D227:F227">SUM(D225:D226)</f>
        <v>90137</v>
      </c>
      <c r="E227" s="781">
        <f t="shared" si="80"/>
        <v>90588</v>
      </c>
      <c r="F227" s="781">
        <f t="shared" si="80"/>
        <v>56671</v>
      </c>
      <c r="G227" s="722">
        <f t="shared" si="72"/>
        <v>0.6255905859495738</v>
      </c>
      <c r="H227" s="896"/>
    </row>
    <row r="228" spans="1:8" ht="13.8" thickBot="1">
      <c r="A228" s="302"/>
      <c r="B228" s="241" t="s">
        <v>397</v>
      </c>
      <c r="C228" s="780"/>
      <c r="D228" s="780">
        <v>100</v>
      </c>
      <c r="E228" s="780">
        <v>100</v>
      </c>
      <c r="F228" s="780">
        <v>100</v>
      </c>
      <c r="G228" s="733">
        <f t="shared" si="72"/>
        <v>1</v>
      </c>
      <c r="H228" s="896"/>
    </row>
    <row r="229" spans="1:8" ht="13.8" thickBot="1">
      <c r="A229" s="302"/>
      <c r="B229" s="319" t="s">
        <v>54</v>
      </c>
      <c r="C229" s="781"/>
      <c r="D229" s="781">
        <f>SUM(D228)</f>
        <v>100</v>
      </c>
      <c r="E229" s="781">
        <f>SUM(E228)</f>
        <v>100</v>
      </c>
      <c r="F229" s="781">
        <f>SUM(F228)</f>
        <v>100</v>
      </c>
      <c r="G229" s="722">
        <f t="shared" si="72"/>
        <v>1</v>
      </c>
      <c r="H229" s="896"/>
    </row>
    <row r="230" spans="1:8" ht="14.4" thickBot="1">
      <c r="A230" s="302"/>
      <c r="B230" s="321" t="s">
        <v>66</v>
      </c>
      <c r="C230" s="774">
        <f aca="true" t="shared" si="81" ref="C230">SUM(C222+C224+C227+C229)</f>
        <v>89480</v>
      </c>
      <c r="D230" s="774">
        <f aca="true" t="shared" si="82" ref="D230:E230">SUM(D222+D224+D227+D229)</f>
        <v>90237</v>
      </c>
      <c r="E230" s="774">
        <f t="shared" si="82"/>
        <v>90688</v>
      </c>
      <c r="F230" s="774">
        <f aca="true" t="shared" si="83" ref="F230">SUM(F222+F224+F227+F229)</f>
        <v>56771</v>
      </c>
      <c r="G230" s="722">
        <f t="shared" si="72"/>
        <v>0.6260034403669725</v>
      </c>
      <c r="H230" s="896"/>
    </row>
    <row r="231" spans="1:8" ht="12.75">
      <c r="A231" s="302"/>
      <c r="B231" s="322" t="s">
        <v>304</v>
      </c>
      <c r="C231" s="772">
        <v>73430</v>
      </c>
      <c r="D231" s="772">
        <v>73430</v>
      </c>
      <c r="E231" s="772">
        <f>73430+390</f>
        <v>73820</v>
      </c>
      <c r="F231" s="772">
        <v>47855</v>
      </c>
      <c r="G231" s="307">
        <f t="shared" si="72"/>
        <v>0.6482660525602818</v>
      </c>
      <c r="H231" s="897"/>
    </row>
    <row r="232" spans="1:8" ht="12.75">
      <c r="A232" s="302"/>
      <c r="B232" s="322" t="s">
        <v>305</v>
      </c>
      <c r="C232" s="772">
        <v>11988</v>
      </c>
      <c r="D232" s="772">
        <f>11988+50</f>
        <v>12038</v>
      </c>
      <c r="E232" s="772">
        <f>11988+50+61</f>
        <v>12099</v>
      </c>
      <c r="F232" s="772">
        <v>7482</v>
      </c>
      <c r="G232" s="307">
        <f t="shared" si="72"/>
        <v>0.61839821472849</v>
      </c>
      <c r="H232" s="897"/>
    </row>
    <row r="233" spans="1:8" ht="12.75">
      <c r="A233" s="302"/>
      <c r="B233" s="322" t="s">
        <v>306</v>
      </c>
      <c r="C233" s="772">
        <v>3862</v>
      </c>
      <c r="D233" s="772">
        <v>4469</v>
      </c>
      <c r="E233" s="772">
        <v>4469</v>
      </c>
      <c r="F233" s="772">
        <v>992</v>
      </c>
      <c r="G233" s="307">
        <f t="shared" si="72"/>
        <v>0.22197359588274782</v>
      </c>
      <c r="H233" s="897"/>
    </row>
    <row r="234" spans="1:8" ht="12.75">
      <c r="A234" s="302"/>
      <c r="B234" s="323" t="s">
        <v>308</v>
      </c>
      <c r="C234" s="772"/>
      <c r="D234" s="772"/>
      <c r="E234" s="772"/>
      <c r="F234" s="772"/>
      <c r="G234" s="307"/>
      <c r="H234" s="896"/>
    </row>
    <row r="235" spans="1:8" ht="13.8" thickBot="1">
      <c r="A235" s="302"/>
      <c r="B235" s="324" t="s">
        <v>307</v>
      </c>
      <c r="C235" s="773"/>
      <c r="D235" s="773"/>
      <c r="E235" s="773"/>
      <c r="F235" s="773"/>
      <c r="G235" s="623"/>
      <c r="H235" s="896"/>
    </row>
    <row r="236" spans="1:8" ht="13.8" thickBot="1">
      <c r="A236" s="302"/>
      <c r="B236" s="325" t="s">
        <v>51</v>
      </c>
      <c r="C236" s="774">
        <f aca="true" t="shared" si="84" ref="C236">SUM(C231:C235)</f>
        <v>89280</v>
      </c>
      <c r="D236" s="774">
        <f aca="true" t="shared" si="85" ref="D236:F236">SUM(D231:D235)</f>
        <v>89937</v>
      </c>
      <c r="E236" s="774">
        <f t="shared" si="85"/>
        <v>90388</v>
      </c>
      <c r="F236" s="774">
        <f t="shared" si="85"/>
        <v>56329</v>
      </c>
      <c r="G236" s="722">
        <f t="shared" si="72"/>
        <v>0.6231911315661371</v>
      </c>
      <c r="H236" s="896"/>
    </row>
    <row r="237" spans="1:8" ht="12.75">
      <c r="A237" s="302"/>
      <c r="B237" s="322" t="s">
        <v>231</v>
      </c>
      <c r="C237" s="772">
        <v>200</v>
      </c>
      <c r="D237" s="772">
        <f>200+100</f>
        <v>300</v>
      </c>
      <c r="E237" s="772">
        <f>200+100</f>
        <v>300</v>
      </c>
      <c r="F237" s="772">
        <v>80</v>
      </c>
      <c r="G237" s="307">
        <f t="shared" si="72"/>
        <v>0.26666666666666666</v>
      </c>
      <c r="H237" s="897"/>
    </row>
    <row r="238" spans="1:8" ht="12.75">
      <c r="A238" s="302"/>
      <c r="B238" s="322" t="s">
        <v>232</v>
      </c>
      <c r="C238" s="772"/>
      <c r="D238" s="772"/>
      <c r="E238" s="772"/>
      <c r="F238" s="772"/>
      <c r="G238" s="307"/>
      <c r="H238" s="896"/>
    </row>
    <row r="239" spans="1:8" ht="13.8" thickBot="1">
      <c r="A239" s="302"/>
      <c r="B239" s="324" t="s">
        <v>406</v>
      </c>
      <c r="C239" s="773"/>
      <c r="D239" s="773"/>
      <c r="E239" s="773"/>
      <c r="F239" s="773"/>
      <c r="G239" s="623"/>
      <c r="H239" s="896"/>
    </row>
    <row r="240" spans="1:8" ht="13.8" thickBot="1">
      <c r="A240" s="302"/>
      <c r="B240" s="326" t="s">
        <v>57</v>
      </c>
      <c r="C240" s="774">
        <f aca="true" t="shared" si="86" ref="C240">SUM(C237:C239)</f>
        <v>200</v>
      </c>
      <c r="D240" s="779">
        <f aca="true" t="shared" si="87" ref="D240:E240">SUM(D237:D239)</f>
        <v>300</v>
      </c>
      <c r="E240" s="779">
        <f t="shared" si="87"/>
        <v>300</v>
      </c>
      <c r="F240" s="779">
        <f aca="true" t="shared" si="88" ref="F240">SUM(F237:F239)</f>
        <v>80</v>
      </c>
      <c r="G240" s="734">
        <f t="shared" si="72"/>
        <v>0.26666666666666666</v>
      </c>
      <c r="H240" s="896"/>
    </row>
    <row r="241" spans="1:8" ht="14.4" thickBot="1">
      <c r="A241" s="299"/>
      <c r="B241" s="327" t="s">
        <v>103</v>
      </c>
      <c r="C241" s="774">
        <f aca="true" t="shared" si="89" ref="C241">SUM(C236+C240)</f>
        <v>89480</v>
      </c>
      <c r="D241" s="774">
        <f aca="true" t="shared" si="90" ref="D241:E241">SUM(D236+D240)</f>
        <v>90237</v>
      </c>
      <c r="E241" s="774">
        <f t="shared" si="90"/>
        <v>90688</v>
      </c>
      <c r="F241" s="774">
        <f aca="true" t="shared" si="91" ref="F241">SUM(F236+F240)</f>
        <v>56409</v>
      </c>
      <c r="G241" s="722">
        <f t="shared" si="72"/>
        <v>0.6220117325335215</v>
      </c>
      <c r="H241" s="896"/>
    </row>
    <row r="242" spans="1:8" ht="13.8">
      <c r="A242" s="219">
        <v>2345</v>
      </c>
      <c r="B242" s="330" t="s">
        <v>314</v>
      </c>
      <c r="C242" s="772"/>
      <c r="D242" s="772"/>
      <c r="E242" s="772"/>
      <c r="F242" s="772"/>
      <c r="G242" s="307"/>
      <c r="H242" s="896"/>
    </row>
    <row r="243" spans="1:8" ht="12.6" customHeight="1">
      <c r="A243" s="302"/>
      <c r="B243" s="303" t="s">
        <v>173</v>
      </c>
      <c r="C243" s="775"/>
      <c r="D243" s="775"/>
      <c r="E243" s="775"/>
      <c r="F243" s="775"/>
      <c r="G243" s="307"/>
      <c r="H243" s="896"/>
    </row>
    <row r="244" spans="1:8" ht="13.8" thickBot="1">
      <c r="A244" s="302"/>
      <c r="B244" s="304" t="s">
        <v>174</v>
      </c>
      <c r="C244" s="776"/>
      <c r="D244" s="776"/>
      <c r="E244" s="776">
        <v>70</v>
      </c>
      <c r="F244" s="776">
        <v>70</v>
      </c>
      <c r="G244" s="623">
        <f t="shared" si="72"/>
        <v>1</v>
      </c>
      <c r="H244" s="896"/>
    </row>
    <row r="245" spans="1:8" ht="13.8" thickBot="1">
      <c r="A245" s="302"/>
      <c r="B245" s="305" t="s">
        <v>186</v>
      </c>
      <c r="C245" s="784"/>
      <c r="D245" s="784"/>
      <c r="E245" s="784">
        <v>70</v>
      </c>
      <c r="F245" s="784">
        <f>SUM(F243:F244)</f>
        <v>70</v>
      </c>
      <c r="G245" s="733">
        <f t="shared" si="72"/>
        <v>1</v>
      </c>
      <c r="H245" s="896"/>
    </row>
    <row r="246" spans="1:8" ht="12.75">
      <c r="A246" s="302"/>
      <c r="B246" s="303" t="s">
        <v>176</v>
      </c>
      <c r="C246" s="772"/>
      <c r="D246" s="772"/>
      <c r="E246" s="772"/>
      <c r="F246" s="772">
        <f>F247+F248</f>
        <v>0</v>
      </c>
      <c r="G246" s="307"/>
      <c r="H246" s="896"/>
    </row>
    <row r="247" spans="1:8" ht="12.75">
      <c r="A247" s="302"/>
      <c r="B247" s="308" t="s">
        <v>177</v>
      </c>
      <c r="C247" s="778"/>
      <c r="D247" s="778"/>
      <c r="E247" s="778"/>
      <c r="F247" s="778"/>
      <c r="G247" s="307"/>
      <c r="H247" s="896"/>
    </row>
    <row r="248" spans="1:8" ht="12.75">
      <c r="A248" s="302"/>
      <c r="B248" s="308" t="s">
        <v>178</v>
      </c>
      <c r="C248" s="778"/>
      <c r="D248" s="778"/>
      <c r="E248" s="778"/>
      <c r="F248" s="778"/>
      <c r="G248" s="307"/>
      <c r="H248" s="896"/>
    </row>
    <row r="249" spans="1:8" ht="12.75">
      <c r="A249" s="302"/>
      <c r="B249" s="309" t="s">
        <v>179</v>
      </c>
      <c r="C249" s="772"/>
      <c r="D249" s="772"/>
      <c r="E249" s="772"/>
      <c r="F249" s="772"/>
      <c r="G249" s="307"/>
      <c r="H249" s="896"/>
    </row>
    <row r="250" spans="1:8" ht="12.75">
      <c r="A250" s="302"/>
      <c r="B250" s="309" t="s">
        <v>180</v>
      </c>
      <c r="C250" s="772"/>
      <c r="D250" s="772"/>
      <c r="E250" s="772"/>
      <c r="F250" s="772"/>
      <c r="G250" s="307"/>
      <c r="H250" s="896"/>
    </row>
    <row r="251" spans="1:8" ht="12.75">
      <c r="A251" s="302"/>
      <c r="B251" s="309" t="s">
        <v>181</v>
      </c>
      <c r="C251" s="772"/>
      <c r="D251" s="772"/>
      <c r="E251" s="772"/>
      <c r="F251" s="772"/>
      <c r="G251" s="307"/>
      <c r="H251" s="896"/>
    </row>
    <row r="252" spans="1:8" ht="12.75">
      <c r="A252" s="302"/>
      <c r="B252" s="310" t="s">
        <v>424</v>
      </c>
      <c r="C252" s="772"/>
      <c r="D252" s="772"/>
      <c r="E252" s="772"/>
      <c r="F252" s="772"/>
      <c r="G252" s="307"/>
      <c r="H252" s="896"/>
    </row>
    <row r="253" spans="1:8" ht="13.8" thickBot="1">
      <c r="A253" s="302"/>
      <c r="B253" s="311" t="s">
        <v>182</v>
      </c>
      <c r="C253" s="772"/>
      <c r="D253" s="772"/>
      <c r="E253" s="772"/>
      <c r="F253" s="772"/>
      <c r="G253" s="623"/>
      <c r="H253" s="896"/>
    </row>
    <row r="254" spans="1:8" ht="13.8" thickBot="1">
      <c r="A254" s="302"/>
      <c r="B254" s="312" t="s">
        <v>324</v>
      </c>
      <c r="C254" s="774"/>
      <c r="D254" s="774"/>
      <c r="E254" s="774"/>
      <c r="F254" s="774">
        <f>SUM(F246,F249:F253)</f>
        <v>0</v>
      </c>
      <c r="G254" s="733"/>
      <c r="H254" s="896"/>
    </row>
    <row r="255" spans="1:8" ht="13.8" thickBot="1">
      <c r="A255" s="302"/>
      <c r="B255" s="314" t="s">
        <v>58</v>
      </c>
      <c r="C255" s="1026"/>
      <c r="D255" s="1026"/>
      <c r="E255" s="1026">
        <v>70</v>
      </c>
      <c r="F255" s="1026">
        <f>F245+F254</f>
        <v>70</v>
      </c>
      <c r="G255" s="733">
        <f t="shared" si="72"/>
        <v>1</v>
      </c>
      <c r="H255" s="896"/>
    </row>
    <row r="256" spans="1:8" ht="13.8" thickBot="1">
      <c r="A256" s="302"/>
      <c r="B256" s="642" t="s">
        <v>437</v>
      </c>
      <c r="C256" s="780"/>
      <c r="D256" s="780"/>
      <c r="E256" s="780"/>
      <c r="F256" s="780"/>
      <c r="G256" s="733"/>
      <c r="H256" s="896"/>
    </row>
    <row r="257" spans="1:8" ht="13.8" thickBot="1">
      <c r="A257" s="302"/>
      <c r="B257" s="315" t="s">
        <v>59</v>
      </c>
      <c r="C257" s="781"/>
      <c r="D257" s="781"/>
      <c r="E257" s="781"/>
      <c r="F257" s="781">
        <f>F256</f>
        <v>0</v>
      </c>
      <c r="G257" s="733"/>
      <c r="H257" s="896"/>
    </row>
    <row r="258" spans="1:8" ht="12.75">
      <c r="A258" s="302"/>
      <c r="B258" s="637" t="s">
        <v>397</v>
      </c>
      <c r="C258" s="782"/>
      <c r="D258" s="782">
        <v>2625</v>
      </c>
      <c r="E258" s="782">
        <v>2625</v>
      </c>
      <c r="F258" s="782">
        <v>2625</v>
      </c>
      <c r="G258" s="307">
        <f t="shared" si="72"/>
        <v>1</v>
      </c>
      <c r="H258" s="896"/>
    </row>
    <row r="259" spans="1:8" ht="13.8" thickBot="1">
      <c r="A259" s="302"/>
      <c r="B259" s="318" t="s">
        <v>430</v>
      </c>
      <c r="C259" s="773">
        <v>92358</v>
      </c>
      <c r="D259" s="773">
        <v>92435</v>
      </c>
      <c r="E259" s="773">
        <f>92435+606</f>
        <v>93041</v>
      </c>
      <c r="F259" s="773">
        <v>58340</v>
      </c>
      <c r="G259" s="623">
        <f t="shared" si="72"/>
        <v>0.6270353929987855</v>
      </c>
      <c r="H259" s="897"/>
    </row>
    <row r="260" spans="1:8" ht="13.8" thickBot="1">
      <c r="A260" s="302"/>
      <c r="B260" s="319" t="s">
        <v>52</v>
      </c>
      <c r="C260" s="781">
        <f aca="true" t="shared" si="92" ref="C260">SUM(C258:C259)</f>
        <v>92358</v>
      </c>
      <c r="D260" s="781">
        <f aca="true" t="shared" si="93" ref="D260:F260">SUM(D258:D259)</f>
        <v>95060</v>
      </c>
      <c r="E260" s="781">
        <f t="shared" si="93"/>
        <v>95666</v>
      </c>
      <c r="F260" s="781">
        <f t="shared" si="93"/>
        <v>60965</v>
      </c>
      <c r="G260" s="722">
        <f t="shared" si="72"/>
        <v>0.637269249263061</v>
      </c>
      <c r="H260" s="896"/>
    </row>
    <row r="261" spans="1:8" ht="13.8" thickBot="1">
      <c r="A261" s="302"/>
      <c r="B261" s="241" t="s">
        <v>397</v>
      </c>
      <c r="C261" s="780"/>
      <c r="D261" s="780">
        <v>300</v>
      </c>
      <c r="E261" s="780">
        <v>300</v>
      </c>
      <c r="F261" s="780">
        <v>300</v>
      </c>
      <c r="G261" s="733">
        <f t="shared" si="72"/>
        <v>1</v>
      </c>
      <c r="H261" s="896"/>
    </row>
    <row r="262" spans="1:8" ht="13.8" thickBot="1">
      <c r="A262" s="302"/>
      <c r="B262" s="319" t="s">
        <v>54</v>
      </c>
      <c r="C262" s="781"/>
      <c r="D262" s="781">
        <f>SUM(D261)</f>
        <v>300</v>
      </c>
      <c r="E262" s="781">
        <f>SUM(E261)</f>
        <v>300</v>
      </c>
      <c r="F262" s="781">
        <f>SUM(F261)</f>
        <v>300</v>
      </c>
      <c r="G262" s="722">
        <f t="shared" si="72"/>
        <v>1</v>
      </c>
      <c r="H262" s="896"/>
    </row>
    <row r="263" spans="1:8" ht="14.4" thickBot="1">
      <c r="A263" s="302"/>
      <c r="B263" s="321" t="s">
        <v>66</v>
      </c>
      <c r="C263" s="774">
        <f aca="true" t="shared" si="94" ref="C263">SUM(C255+C257+C260+C262)</f>
        <v>92358</v>
      </c>
      <c r="D263" s="774">
        <f aca="true" t="shared" si="95" ref="D263:E263">SUM(D255+D257+D260+D262)</f>
        <v>95360</v>
      </c>
      <c r="E263" s="774">
        <f t="shared" si="95"/>
        <v>96036</v>
      </c>
      <c r="F263" s="774">
        <f aca="true" t="shared" si="96" ref="F263">SUM(F255+F257+F260+F262)</f>
        <v>61335</v>
      </c>
      <c r="G263" s="722">
        <f t="shared" si="72"/>
        <v>0.6386667499687617</v>
      </c>
      <c r="H263" s="896"/>
    </row>
    <row r="264" spans="1:8" ht="12.75">
      <c r="A264" s="302"/>
      <c r="B264" s="322" t="s">
        <v>304</v>
      </c>
      <c r="C264" s="772">
        <v>77520</v>
      </c>
      <c r="D264" s="772">
        <v>77520</v>
      </c>
      <c r="E264" s="772">
        <f>77520+525</f>
        <v>78045</v>
      </c>
      <c r="F264" s="772">
        <v>49532</v>
      </c>
      <c r="G264" s="307">
        <f t="shared" si="72"/>
        <v>0.6346594913191108</v>
      </c>
      <c r="H264" s="897"/>
    </row>
    <row r="265" spans="1:8" ht="12.75">
      <c r="A265" s="302"/>
      <c r="B265" s="322" t="s">
        <v>305</v>
      </c>
      <c r="C265" s="772">
        <v>11812</v>
      </c>
      <c r="D265" s="772">
        <f>11812+62</f>
        <v>11874</v>
      </c>
      <c r="E265" s="772">
        <f>11812+62+81</f>
        <v>11955</v>
      </c>
      <c r="F265" s="772">
        <v>8052</v>
      </c>
      <c r="G265" s="307">
        <f t="shared" si="72"/>
        <v>0.673525721455458</v>
      </c>
      <c r="H265" s="897"/>
    </row>
    <row r="266" spans="1:8" ht="12.75">
      <c r="A266" s="302"/>
      <c r="B266" s="322" t="s">
        <v>306</v>
      </c>
      <c r="C266" s="772">
        <v>2826</v>
      </c>
      <c r="D266" s="772">
        <v>5466</v>
      </c>
      <c r="E266" s="772">
        <f>5466-755</f>
        <v>4711</v>
      </c>
      <c r="F266" s="772">
        <v>2704</v>
      </c>
      <c r="G266" s="307">
        <f t="shared" si="72"/>
        <v>0.5739758013160687</v>
      </c>
      <c r="H266" s="897"/>
    </row>
    <row r="267" spans="1:8" ht="12.75">
      <c r="A267" s="302"/>
      <c r="B267" s="323" t="s">
        <v>308</v>
      </c>
      <c r="C267" s="772"/>
      <c r="D267" s="772"/>
      <c r="E267" s="772"/>
      <c r="F267" s="772"/>
      <c r="G267" s="307"/>
      <c r="H267" s="896"/>
    </row>
    <row r="268" spans="1:8" ht="13.8" thickBot="1">
      <c r="A268" s="302"/>
      <c r="B268" s="324" t="s">
        <v>307</v>
      </c>
      <c r="C268" s="772"/>
      <c r="D268" s="772"/>
      <c r="E268" s="772">
        <v>825</v>
      </c>
      <c r="F268" s="772">
        <v>825</v>
      </c>
      <c r="G268" s="623">
        <f aca="true" t="shared" si="97" ref="G268:G330">F268/E268</f>
        <v>1</v>
      </c>
      <c r="H268" s="896"/>
    </row>
    <row r="269" spans="1:8" ht="13.8" thickBot="1">
      <c r="A269" s="302"/>
      <c r="B269" s="325" t="s">
        <v>51</v>
      </c>
      <c r="C269" s="774">
        <f aca="true" t="shared" si="98" ref="C269">SUM(C264:C268)</f>
        <v>92158</v>
      </c>
      <c r="D269" s="774">
        <f aca="true" t="shared" si="99" ref="D269:F269">SUM(D264:D268)</f>
        <v>94860</v>
      </c>
      <c r="E269" s="774">
        <f t="shared" si="99"/>
        <v>95536</v>
      </c>
      <c r="F269" s="774">
        <f t="shared" si="99"/>
        <v>61113</v>
      </c>
      <c r="G269" s="722">
        <f t="shared" si="97"/>
        <v>0.6396855635571931</v>
      </c>
      <c r="H269" s="896"/>
    </row>
    <row r="270" spans="1:8" ht="12.75">
      <c r="A270" s="302"/>
      <c r="B270" s="322" t="s">
        <v>231</v>
      </c>
      <c r="C270" s="772">
        <v>200</v>
      </c>
      <c r="D270" s="772">
        <f>200+300</f>
        <v>500</v>
      </c>
      <c r="E270" s="772">
        <f>200+300</f>
        <v>500</v>
      </c>
      <c r="F270" s="772">
        <v>27</v>
      </c>
      <c r="G270" s="307">
        <f t="shared" si="97"/>
        <v>0.054</v>
      </c>
      <c r="H270" s="897"/>
    </row>
    <row r="271" spans="1:8" ht="12.75">
      <c r="A271" s="302"/>
      <c r="B271" s="322" t="s">
        <v>232</v>
      </c>
      <c r="C271" s="772"/>
      <c r="D271" s="772"/>
      <c r="E271" s="772"/>
      <c r="F271" s="772"/>
      <c r="G271" s="307"/>
      <c r="H271" s="896"/>
    </row>
    <row r="272" spans="1:8" ht="13.8" thickBot="1">
      <c r="A272" s="302"/>
      <c r="B272" s="324" t="s">
        <v>406</v>
      </c>
      <c r="C272" s="772"/>
      <c r="D272" s="772"/>
      <c r="E272" s="772"/>
      <c r="F272" s="772"/>
      <c r="G272" s="623"/>
      <c r="H272" s="896"/>
    </row>
    <row r="273" spans="1:8" ht="13.8" thickBot="1">
      <c r="A273" s="302"/>
      <c r="B273" s="326" t="s">
        <v>57</v>
      </c>
      <c r="C273" s="774">
        <f aca="true" t="shared" si="100" ref="C273">SUM(C270:C272)</f>
        <v>200</v>
      </c>
      <c r="D273" s="774">
        <f aca="true" t="shared" si="101" ref="D273:E273">SUM(D270:D272)</f>
        <v>500</v>
      </c>
      <c r="E273" s="774">
        <f t="shared" si="101"/>
        <v>500</v>
      </c>
      <c r="F273" s="774">
        <f aca="true" t="shared" si="102" ref="F273">SUM(F270:F272)</f>
        <v>27</v>
      </c>
      <c r="G273" s="722">
        <f t="shared" si="97"/>
        <v>0.054</v>
      </c>
      <c r="H273" s="896"/>
    </row>
    <row r="274" spans="1:8" ht="14.4" thickBot="1">
      <c r="A274" s="299"/>
      <c r="B274" s="327" t="s">
        <v>103</v>
      </c>
      <c r="C274" s="774">
        <f aca="true" t="shared" si="103" ref="C274">SUM(C269+C273)</f>
        <v>92358</v>
      </c>
      <c r="D274" s="779">
        <f aca="true" t="shared" si="104" ref="D274:E274">SUM(D269+D273)</f>
        <v>95360</v>
      </c>
      <c r="E274" s="779">
        <f t="shared" si="104"/>
        <v>96036</v>
      </c>
      <c r="F274" s="779">
        <f aca="true" t="shared" si="105" ref="F274">SUM(F269+F273)</f>
        <v>61140</v>
      </c>
      <c r="G274" s="734">
        <f t="shared" si="97"/>
        <v>0.6366362614019743</v>
      </c>
      <c r="H274" s="896"/>
    </row>
    <row r="275" spans="1:8" ht="13.8">
      <c r="A275" s="219">
        <v>2360</v>
      </c>
      <c r="B275" s="329" t="s">
        <v>315</v>
      </c>
      <c r="C275" s="772"/>
      <c r="D275" s="772"/>
      <c r="E275" s="772"/>
      <c r="F275" s="772"/>
      <c r="G275" s="307"/>
      <c r="H275" s="896"/>
    </row>
    <row r="276" spans="1:8" ht="12.75" customHeight="1">
      <c r="A276" s="302"/>
      <c r="B276" s="303" t="s">
        <v>173</v>
      </c>
      <c r="C276" s="775"/>
      <c r="D276" s="775"/>
      <c r="E276" s="775"/>
      <c r="F276" s="775"/>
      <c r="G276" s="307"/>
      <c r="H276" s="896"/>
    </row>
    <row r="277" spans="1:8" ht="13.8" thickBot="1">
      <c r="A277" s="302"/>
      <c r="B277" s="304" t="s">
        <v>174</v>
      </c>
      <c r="C277" s="776"/>
      <c r="D277" s="776"/>
      <c r="E277" s="776"/>
      <c r="F277" s="776"/>
      <c r="G277" s="623"/>
      <c r="H277" s="896"/>
    </row>
    <row r="278" spans="1:8" ht="13.8" thickBot="1">
      <c r="A278" s="302"/>
      <c r="B278" s="305" t="s">
        <v>186</v>
      </c>
      <c r="C278" s="777"/>
      <c r="D278" s="777"/>
      <c r="E278" s="777"/>
      <c r="F278" s="777">
        <f>SUM(F276:F277)</f>
        <v>0</v>
      </c>
      <c r="G278" s="733"/>
      <c r="H278" s="896"/>
    </row>
    <row r="279" spans="1:8" ht="12.75">
      <c r="A279" s="302"/>
      <c r="B279" s="303" t="s">
        <v>176</v>
      </c>
      <c r="C279" s="772"/>
      <c r="D279" s="772"/>
      <c r="E279" s="772"/>
      <c r="F279" s="772">
        <f>F280+F281</f>
        <v>0</v>
      </c>
      <c r="G279" s="307"/>
      <c r="H279" s="896"/>
    </row>
    <row r="280" spans="1:8" ht="12.75">
      <c r="A280" s="302"/>
      <c r="B280" s="308" t="s">
        <v>177</v>
      </c>
      <c r="C280" s="778"/>
      <c r="D280" s="778"/>
      <c r="E280" s="778"/>
      <c r="F280" s="778"/>
      <c r="G280" s="307"/>
      <c r="H280" s="896"/>
    </row>
    <row r="281" spans="1:8" ht="12.75">
      <c r="A281" s="302"/>
      <c r="B281" s="308" t="s">
        <v>178</v>
      </c>
      <c r="C281" s="778"/>
      <c r="D281" s="778"/>
      <c r="E281" s="778"/>
      <c r="F281" s="778"/>
      <c r="G281" s="307"/>
      <c r="H281" s="896"/>
    </row>
    <row r="282" spans="1:8" ht="12.75">
      <c r="A282" s="302"/>
      <c r="B282" s="309" t="s">
        <v>179</v>
      </c>
      <c r="C282" s="772"/>
      <c r="D282" s="772"/>
      <c r="E282" s="772"/>
      <c r="F282" s="772"/>
      <c r="G282" s="307"/>
      <c r="H282" s="896"/>
    </row>
    <row r="283" spans="1:8" ht="12.75">
      <c r="A283" s="302"/>
      <c r="B283" s="309" t="s">
        <v>180</v>
      </c>
      <c r="C283" s="772"/>
      <c r="D283" s="772"/>
      <c r="E283" s="772"/>
      <c r="F283" s="772"/>
      <c r="G283" s="307"/>
      <c r="H283" s="896"/>
    </row>
    <row r="284" spans="1:8" ht="12.75">
      <c r="A284" s="302"/>
      <c r="B284" s="309" t="s">
        <v>181</v>
      </c>
      <c r="C284" s="772"/>
      <c r="D284" s="772"/>
      <c r="E284" s="772"/>
      <c r="F284" s="772"/>
      <c r="G284" s="307"/>
      <c r="H284" s="896"/>
    </row>
    <row r="285" spans="1:8" ht="12.75">
      <c r="A285" s="302"/>
      <c r="B285" s="310" t="s">
        <v>424</v>
      </c>
      <c r="C285" s="772"/>
      <c r="D285" s="772"/>
      <c r="E285" s="772"/>
      <c r="F285" s="772"/>
      <c r="G285" s="307"/>
      <c r="H285" s="896"/>
    </row>
    <row r="286" spans="1:8" ht="13.8" thickBot="1">
      <c r="A286" s="302"/>
      <c r="B286" s="311" t="s">
        <v>182</v>
      </c>
      <c r="C286" s="773"/>
      <c r="D286" s="773"/>
      <c r="E286" s="773"/>
      <c r="F286" s="773"/>
      <c r="G286" s="623"/>
      <c r="H286" s="896"/>
    </row>
    <row r="287" spans="1:8" ht="13.8" thickBot="1">
      <c r="A287" s="302"/>
      <c r="B287" s="312" t="s">
        <v>324</v>
      </c>
      <c r="C287" s="779"/>
      <c r="D287" s="779"/>
      <c r="E287" s="779"/>
      <c r="F287" s="779">
        <f>SUM(F279,F282:F286)</f>
        <v>0</v>
      </c>
      <c r="G287" s="733"/>
      <c r="H287" s="896"/>
    </row>
    <row r="288" spans="1:8" ht="13.8" thickBot="1">
      <c r="A288" s="302"/>
      <c r="B288" s="314" t="s">
        <v>58</v>
      </c>
      <c r="C288" s="1026"/>
      <c r="D288" s="1026"/>
      <c r="E288" s="1026"/>
      <c r="F288" s="1026">
        <f>F278+F287</f>
        <v>0</v>
      </c>
      <c r="G288" s="733"/>
      <c r="H288" s="896"/>
    </row>
    <row r="289" spans="1:8" ht="13.8" thickBot="1">
      <c r="A289" s="302"/>
      <c r="B289" s="642" t="s">
        <v>437</v>
      </c>
      <c r="C289" s="780"/>
      <c r="D289" s="780"/>
      <c r="E289" s="780"/>
      <c r="F289" s="780"/>
      <c r="G289" s="733"/>
      <c r="H289" s="896"/>
    </row>
    <row r="290" spans="1:8" ht="13.8" thickBot="1">
      <c r="A290" s="302"/>
      <c r="B290" s="315" t="s">
        <v>59</v>
      </c>
      <c r="C290" s="781"/>
      <c r="D290" s="781"/>
      <c r="E290" s="781"/>
      <c r="F290" s="781">
        <f>F289</f>
        <v>0</v>
      </c>
      <c r="G290" s="733"/>
      <c r="H290" s="896"/>
    </row>
    <row r="291" spans="1:8" ht="12.75">
      <c r="A291" s="302"/>
      <c r="B291" s="637" t="s">
        <v>397</v>
      </c>
      <c r="C291" s="782"/>
      <c r="D291" s="782">
        <v>260</v>
      </c>
      <c r="E291" s="782">
        <v>260</v>
      </c>
      <c r="F291" s="782">
        <v>260</v>
      </c>
      <c r="G291" s="307">
        <f t="shared" si="97"/>
        <v>1</v>
      </c>
      <c r="H291" s="896"/>
    </row>
    <row r="292" spans="1:8" ht="13.8" thickBot="1">
      <c r="A292" s="302"/>
      <c r="B292" s="318" t="s">
        <v>430</v>
      </c>
      <c r="C292" s="773">
        <v>86272</v>
      </c>
      <c r="D292" s="773">
        <v>86401</v>
      </c>
      <c r="E292" s="773">
        <f>86401+520</f>
        <v>86921</v>
      </c>
      <c r="F292" s="773">
        <v>52702</v>
      </c>
      <c r="G292" s="623">
        <f t="shared" si="97"/>
        <v>0.6063206819985965</v>
      </c>
      <c r="H292" s="897"/>
    </row>
    <row r="293" spans="1:8" ht="13.8" thickBot="1">
      <c r="A293" s="302"/>
      <c r="B293" s="319" t="s">
        <v>52</v>
      </c>
      <c r="C293" s="781">
        <f aca="true" t="shared" si="106" ref="C293">SUM(C291:C292)</f>
        <v>86272</v>
      </c>
      <c r="D293" s="781">
        <f aca="true" t="shared" si="107" ref="D293:F293">SUM(D291:D292)</f>
        <v>86661</v>
      </c>
      <c r="E293" s="781">
        <f t="shared" si="107"/>
        <v>87181</v>
      </c>
      <c r="F293" s="781">
        <f t="shared" si="107"/>
        <v>52962</v>
      </c>
      <c r="G293" s="722">
        <f t="shared" si="97"/>
        <v>0.6074947522969454</v>
      </c>
      <c r="H293" s="896"/>
    </row>
    <row r="294" spans="1:8" ht="13.8" thickBot="1">
      <c r="A294" s="302"/>
      <c r="B294" s="241" t="s">
        <v>397</v>
      </c>
      <c r="C294" s="780"/>
      <c r="D294" s="780">
        <v>250</v>
      </c>
      <c r="E294" s="780">
        <v>250</v>
      </c>
      <c r="F294" s="780">
        <v>250</v>
      </c>
      <c r="G294" s="733">
        <f t="shared" si="97"/>
        <v>1</v>
      </c>
      <c r="H294" s="896"/>
    </row>
    <row r="295" spans="1:8" ht="13.8" thickBot="1">
      <c r="A295" s="302"/>
      <c r="B295" s="319" t="s">
        <v>54</v>
      </c>
      <c r="C295" s="781"/>
      <c r="D295" s="781">
        <f>SUM(D294)</f>
        <v>250</v>
      </c>
      <c r="E295" s="781">
        <f>SUM(E294)</f>
        <v>250</v>
      </c>
      <c r="F295" s="781">
        <f>SUM(F294)</f>
        <v>250</v>
      </c>
      <c r="G295" s="722">
        <f t="shared" si="97"/>
        <v>1</v>
      </c>
      <c r="H295" s="896"/>
    </row>
    <row r="296" spans="1:8" ht="14.4" thickBot="1">
      <c r="A296" s="302"/>
      <c r="B296" s="321" t="s">
        <v>66</v>
      </c>
      <c r="C296" s="774">
        <f aca="true" t="shared" si="108" ref="C296">SUM(C288+C290+C293+C295)</f>
        <v>86272</v>
      </c>
      <c r="D296" s="774">
        <f aca="true" t="shared" si="109" ref="D296:E296">SUM(D288+D290+D293+D295)</f>
        <v>86911</v>
      </c>
      <c r="E296" s="774">
        <f t="shared" si="109"/>
        <v>87431</v>
      </c>
      <c r="F296" s="774">
        <f aca="true" t="shared" si="110" ref="F296">SUM(F288+F290+F293+F295)</f>
        <v>53212</v>
      </c>
      <c r="G296" s="722">
        <f t="shared" si="97"/>
        <v>0.6086170808980796</v>
      </c>
      <c r="H296" s="896"/>
    </row>
    <row r="297" spans="1:8" ht="12.75">
      <c r="A297" s="302"/>
      <c r="B297" s="322" t="s">
        <v>304</v>
      </c>
      <c r="C297" s="772">
        <v>72042</v>
      </c>
      <c r="D297" s="772">
        <f>72042+70</f>
        <v>72112</v>
      </c>
      <c r="E297" s="772">
        <f>72042+70+450</f>
        <v>72562</v>
      </c>
      <c r="F297" s="772">
        <v>44881</v>
      </c>
      <c r="G297" s="307">
        <f t="shared" si="97"/>
        <v>0.6185193351892175</v>
      </c>
      <c r="H297" s="897"/>
    </row>
    <row r="298" spans="1:8" ht="12.75">
      <c r="A298" s="302"/>
      <c r="B298" s="322" t="s">
        <v>305</v>
      </c>
      <c r="C298" s="772">
        <v>11085</v>
      </c>
      <c r="D298" s="772">
        <f>11085+44</f>
        <v>11129</v>
      </c>
      <c r="E298" s="772">
        <f>11085+44+70</f>
        <v>11199</v>
      </c>
      <c r="F298" s="772">
        <v>7125</v>
      </c>
      <c r="G298" s="307">
        <f t="shared" si="97"/>
        <v>0.6362175194213769</v>
      </c>
      <c r="H298" s="897"/>
    </row>
    <row r="299" spans="1:8" ht="12.75">
      <c r="A299" s="302"/>
      <c r="B299" s="322" t="s">
        <v>306</v>
      </c>
      <c r="C299" s="772">
        <v>2945</v>
      </c>
      <c r="D299" s="772">
        <v>3220</v>
      </c>
      <c r="E299" s="772">
        <v>3220</v>
      </c>
      <c r="F299" s="772">
        <v>897</v>
      </c>
      <c r="G299" s="307">
        <f t="shared" si="97"/>
        <v>0.2785714285714286</v>
      </c>
      <c r="H299" s="897"/>
    </row>
    <row r="300" spans="1:8" ht="12.75">
      <c r="A300" s="302"/>
      <c r="B300" s="323" t="s">
        <v>308</v>
      </c>
      <c r="C300" s="772"/>
      <c r="D300" s="772"/>
      <c r="E300" s="772"/>
      <c r="F300" s="772"/>
      <c r="G300" s="307"/>
      <c r="H300" s="896"/>
    </row>
    <row r="301" spans="1:8" ht="13.8" thickBot="1">
      <c r="A301" s="302"/>
      <c r="B301" s="324" t="s">
        <v>307</v>
      </c>
      <c r="C301" s="772"/>
      <c r="D301" s="772"/>
      <c r="E301" s="772"/>
      <c r="F301" s="772"/>
      <c r="G301" s="623"/>
      <c r="H301" s="896"/>
    </row>
    <row r="302" spans="1:8" ht="13.8" thickBot="1">
      <c r="A302" s="302"/>
      <c r="B302" s="325" t="s">
        <v>51</v>
      </c>
      <c r="C302" s="774">
        <f aca="true" t="shared" si="111" ref="C302">SUM(C297:C301)</f>
        <v>86072</v>
      </c>
      <c r="D302" s="774">
        <f aca="true" t="shared" si="112" ref="D302:F302">SUM(D297:D301)</f>
        <v>86461</v>
      </c>
      <c r="E302" s="774">
        <f t="shared" si="112"/>
        <v>86981</v>
      </c>
      <c r="F302" s="774">
        <f t="shared" si="112"/>
        <v>52903</v>
      </c>
      <c r="G302" s="733">
        <f t="shared" si="97"/>
        <v>0.6082132879594394</v>
      </c>
      <c r="H302" s="896"/>
    </row>
    <row r="303" spans="1:8" ht="12.75">
      <c r="A303" s="302"/>
      <c r="B303" s="322" t="s">
        <v>231</v>
      </c>
      <c r="C303" s="772">
        <v>200</v>
      </c>
      <c r="D303" s="772">
        <f>200+250</f>
        <v>450</v>
      </c>
      <c r="E303" s="772">
        <f>200+250</f>
        <v>450</v>
      </c>
      <c r="F303" s="772">
        <v>85</v>
      </c>
      <c r="G303" s="307">
        <f t="shared" si="97"/>
        <v>0.18888888888888888</v>
      </c>
      <c r="H303" s="897"/>
    </row>
    <row r="304" spans="1:8" ht="12.75">
      <c r="A304" s="302"/>
      <c r="B304" s="322" t="s">
        <v>232</v>
      </c>
      <c r="C304" s="772"/>
      <c r="D304" s="772"/>
      <c r="E304" s="772"/>
      <c r="F304" s="772"/>
      <c r="G304" s="307"/>
      <c r="H304" s="896"/>
    </row>
    <row r="305" spans="1:8" ht="13.8" thickBot="1">
      <c r="A305" s="302"/>
      <c r="B305" s="324" t="s">
        <v>406</v>
      </c>
      <c r="C305" s="772"/>
      <c r="D305" s="772"/>
      <c r="E305" s="772"/>
      <c r="F305" s="772"/>
      <c r="G305" s="623"/>
      <c r="H305" s="896"/>
    </row>
    <row r="306" spans="1:8" ht="13.8" thickBot="1">
      <c r="A306" s="302"/>
      <c r="B306" s="326" t="s">
        <v>57</v>
      </c>
      <c r="C306" s="774">
        <f aca="true" t="shared" si="113" ref="C306">SUM(C303:C305)</f>
        <v>200</v>
      </c>
      <c r="D306" s="774">
        <f aca="true" t="shared" si="114" ref="D306:E306">SUM(D303:D305)</f>
        <v>450</v>
      </c>
      <c r="E306" s="774">
        <f t="shared" si="114"/>
        <v>450</v>
      </c>
      <c r="F306" s="774">
        <f aca="true" t="shared" si="115" ref="F306">SUM(F303:F305)</f>
        <v>85</v>
      </c>
      <c r="G306" s="722">
        <f t="shared" si="97"/>
        <v>0.18888888888888888</v>
      </c>
      <c r="H306" s="896"/>
    </row>
    <row r="307" spans="1:8" ht="14.4" thickBot="1">
      <c r="A307" s="299"/>
      <c r="B307" s="327" t="s">
        <v>103</v>
      </c>
      <c r="C307" s="774">
        <f aca="true" t="shared" si="116" ref="C307">SUM(C302+C306)</f>
        <v>86272</v>
      </c>
      <c r="D307" s="774">
        <f aca="true" t="shared" si="117" ref="D307:E307">SUM(D302+D306)</f>
        <v>86911</v>
      </c>
      <c r="E307" s="774">
        <f t="shared" si="117"/>
        <v>87431</v>
      </c>
      <c r="F307" s="774">
        <f aca="true" t="shared" si="118" ref="F307">SUM(F302+F306)</f>
        <v>52988</v>
      </c>
      <c r="G307" s="722">
        <f t="shared" si="97"/>
        <v>0.6060550605620432</v>
      </c>
      <c r="H307" s="896"/>
    </row>
    <row r="308" spans="1:8" ht="13.8">
      <c r="A308" s="329">
        <v>2499</v>
      </c>
      <c r="B308" s="222" t="s">
        <v>316</v>
      </c>
      <c r="C308" s="785"/>
      <c r="D308" s="785"/>
      <c r="E308" s="785"/>
      <c r="F308" s="785"/>
      <c r="G308" s="307"/>
      <c r="H308" s="896"/>
    </row>
    <row r="309" spans="1:8" ht="12.75" customHeight="1">
      <c r="A309" s="329"/>
      <c r="B309" s="303" t="s">
        <v>173</v>
      </c>
      <c r="C309" s="775"/>
      <c r="D309" s="775"/>
      <c r="E309" s="775"/>
      <c r="F309" s="775"/>
      <c r="G309" s="307"/>
      <c r="H309" s="896"/>
    </row>
    <row r="310" spans="1:8" ht="12.75" customHeight="1" thickBot="1">
      <c r="A310" s="329"/>
      <c r="B310" s="304" t="s">
        <v>174</v>
      </c>
      <c r="C310" s="786">
        <f aca="true" t="shared" si="119" ref="C310">SUM(C11+C44+C78+C111+C145+C178+C211+C244+C277)</f>
        <v>0</v>
      </c>
      <c r="D310" s="786">
        <f aca="true" t="shared" si="120" ref="D310">SUM(D11+D44+D78+D111+D145+D178+D211+D244+D277)</f>
        <v>0</v>
      </c>
      <c r="E310" s="786">
        <f>SUM(E11+E44+E78+E111+E145+E178+E211+E244+E277)</f>
        <v>285</v>
      </c>
      <c r="F310" s="786">
        <f>SUM(F11+F44+F78+F111+F145+F178+F211+F244+F277)</f>
        <v>285</v>
      </c>
      <c r="G310" s="623">
        <f t="shared" si="97"/>
        <v>1</v>
      </c>
      <c r="H310" s="896"/>
    </row>
    <row r="311" spans="1:8" ht="12.75" customHeight="1" thickBot="1">
      <c r="A311" s="329"/>
      <c r="B311" s="305" t="s">
        <v>186</v>
      </c>
      <c r="C311" s="784">
        <f aca="true" t="shared" si="121" ref="C311">SUM(C310)</f>
        <v>0</v>
      </c>
      <c r="D311" s="784">
        <f aca="true" t="shared" si="122" ref="D311:E311">SUM(D310)</f>
        <v>0</v>
      </c>
      <c r="E311" s="784">
        <f t="shared" si="122"/>
        <v>285</v>
      </c>
      <c r="F311" s="784">
        <f>SUM(F309+F310)</f>
        <v>285</v>
      </c>
      <c r="G311" s="733">
        <f t="shared" si="97"/>
        <v>1</v>
      </c>
      <c r="H311" s="896"/>
    </row>
    <row r="312" spans="1:8" ht="12.75" customHeight="1">
      <c r="A312" s="329"/>
      <c r="B312" s="303" t="s">
        <v>176</v>
      </c>
      <c r="C312" s="772">
        <f aca="true" t="shared" si="123" ref="C312:F312">SUM(C313)</f>
        <v>0</v>
      </c>
      <c r="D312" s="772">
        <f t="shared" si="123"/>
        <v>0</v>
      </c>
      <c r="E312" s="772">
        <f t="shared" si="123"/>
        <v>0</v>
      </c>
      <c r="F312" s="772">
        <f t="shared" si="123"/>
        <v>0</v>
      </c>
      <c r="G312" s="307"/>
      <c r="H312" s="896"/>
    </row>
    <row r="313" spans="1:8" ht="12.75" customHeight="1">
      <c r="A313" s="329"/>
      <c r="B313" s="308" t="s">
        <v>177</v>
      </c>
      <c r="C313" s="778">
        <f aca="true" t="shared" si="124" ref="C313">SUM(C81)</f>
        <v>0</v>
      </c>
      <c r="D313" s="778">
        <f aca="true" t="shared" si="125" ref="D313:E313">SUM(D81)</f>
        <v>0</v>
      </c>
      <c r="E313" s="778">
        <f t="shared" si="125"/>
        <v>0</v>
      </c>
      <c r="F313" s="778">
        <f aca="true" t="shared" si="126" ref="F313">SUM(F81)</f>
        <v>0</v>
      </c>
      <c r="G313" s="307"/>
      <c r="H313" s="896"/>
    </row>
    <row r="314" spans="1:8" ht="12.75" customHeight="1">
      <c r="A314" s="329"/>
      <c r="B314" s="308" t="s">
        <v>178</v>
      </c>
      <c r="C314" s="778"/>
      <c r="D314" s="778"/>
      <c r="E314" s="778"/>
      <c r="F314" s="778"/>
      <c r="G314" s="307"/>
      <c r="H314" s="896"/>
    </row>
    <row r="315" spans="1:8" ht="12.75" customHeight="1">
      <c r="A315" s="329"/>
      <c r="B315" s="309" t="s">
        <v>179</v>
      </c>
      <c r="C315" s="772">
        <f aca="true" t="shared" si="127" ref="C315">SUM(C16)</f>
        <v>0</v>
      </c>
      <c r="D315" s="772">
        <f aca="true" t="shared" si="128" ref="D315:E315">SUM(D16)</f>
        <v>0</v>
      </c>
      <c r="E315" s="772">
        <f t="shared" si="128"/>
        <v>0</v>
      </c>
      <c r="F315" s="772">
        <f aca="true" t="shared" si="129" ref="F315">SUM(F16)</f>
        <v>0</v>
      </c>
      <c r="G315" s="307"/>
      <c r="H315" s="896"/>
    </row>
    <row r="316" spans="1:8" ht="12.75" customHeight="1">
      <c r="A316" s="329"/>
      <c r="B316" s="309" t="s">
        <v>180</v>
      </c>
      <c r="C316" s="772"/>
      <c r="D316" s="772"/>
      <c r="E316" s="772"/>
      <c r="F316" s="772"/>
      <c r="G316" s="307"/>
      <c r="H316" s="896"/>
    </row>
    <row r="317" spans="1:8" ht="13.5" customHeight="1">
      <c r="A317" s="329"/>
      <c r="B317" s="309" t="s">
        <v>181</v>
      </c>
      <c r="C317" s="772"/>
      <c r="D317" s="772"/>
      <c r="E317" s="772"/>
      <c r="F317" s="772"/>
      <c r="G317" s="307"/>
      <c r="H317" s="896"/>
    </row>
    <row r="318" spans="1:8" ht="12.75" customHeight="1">
      <c r="A318" s="329"/>
      <c r="B318" s="309" t="s">
        <v>328</v>
      </c>
      <c r="C318" s="772"/>
      <c r="D318" s="772"/>
      <c r="E318" s="772"/>
      <c r="F318" s="772"/>
      <c r="G318" s="307"/>
      <c r="H318" s="896"/>
    </row>
    <row r="319" spans="1:8" ht="12.75" customHeight="1">
      <c r="A319" s="329"/>
      <c r="B319" s="310" t="s">
        <v>424</v>
      </c>
      <c r="C319" s="772"/>
      <c r="D319" s="772"/>
      <c r="E319" s="772"/>
      <c r="F319" s="772"/>
      <c r="G319" s="307"/>
      <c r="H319" s="896"/>
    </row>
    <row r="320" spans="1:8" ht="12.75" customHeight="1" thickBot="1">
      <c r="A320" s="329"/>
      <c r="B320" s="311" t="s">
        <v>182</v>
      </c>
      <c r="C320" s="772">
        <f aca="true" t="shared" si="130" ref="C320">SUM(C20+C54+C87+C121+C154+C187+C220+C253+C286)</f>
        <v>0</v>
      </c>
      <c r="D320" s="772">
        <f aca="true" t="shared" si="131" ref="D320:E320">SUM(D20+D54+D87+D121+D154+D187+D220+D253+D286)</f>
        <v>0</v>
      </c>
      <c r="E320" s="772">
        <f t="shared" si="131"/>
        <v>0</v>
      </c>
      <c r="F320" s="772">
        <f aca="true" t="shared" si="132" ref="F320">SUM(F20+F54+F87+F121+F154+F187+F220+F253+F286)</f>
        <v>0</v>
      </c>
      <c r="G320" s="623"/>
      <c r="H320" s="896"/>
    </row>
    <row r="321" spans="1:8" ht="12.75" customHeight="1" thickBot="1">
      <c r="A321" s="329"/>
      <c r="B321" s="312" t="s">
        <v>324</v>
      </c>
      <c r="C321" s="774">
        <f>SUM(C312)</f>
        <v>0</v>
      </c>
      <c r="D321" s="774">
        <f>SUM(D312)</f>
        <v>0</v>
      </c>
      <c r="E321" s="774">
        <f>SUM(E312)</f>
        <v>0</v>
      </c>
      <c r="F321" s="774">
        <f>SUM(F312)</f>
        <v>0</v>
      </c>
      <c r="G321" s="733"/>
      <c r="H321" s="896"/>
    </row>
    <row r="322" spans="1:8" ht="12.75" customHeight="1" thickBot="1">
      <c r="A322" s="329"/>
      <c r="B322" s="314" t="s">
        <v>58</v>
      </c>
      <c r="C322" s="1039">
        <f aca="true" t="shared" si="133" ref="C322">SUM(C321+C311)</f>
        <v>0</v>
      </c>
      <c r="D322" s="1039">
        <f aca="true" t="shared" si="134" ref="D322:E322">SUM(D321+D311)</f>
        <v>0</v>
      </c>
      <c r="E322" s="1039">
        <f t="shared" si="134"/>
        <v>285</v>
      </c>
      <c r="F322" s="1039">
        <f aca="true" t="shared" si="135" ref="F322">SUM(F321+F311)</f>
        <v>285</v>
      </c>
      <c r="G322" s="733">
        <f t="shared" si="97"/>
        <v>1</v>
      </c>
      <c r="H322" s="896"/>
    </row>
    <row r="323" spans="1:8" ht="12.75" customHeight="1" thickBot="1">
      <c r="A323" s="329"/>
      <c r="B323" s="642" t="s">
        <v>437</v>
      </c>
      <c r="C323" s="783">
        <f aca="true" t="shared" si="136" ref="C323">SUM(C23+C57+C90+C124+C157+C190+C223+C256+C289)</f>
        <v>0</v>
      </c>
      <c r="D323" s="783">
        <f aca="true" t="shared" si="137" ref="D323:E323">SUM(D23+D57+D90+D124+D157+D190+D223+D256+D289)</f>
        <v>0</v>
      </c>
      <c r="E323" s="783">
        <f t="shared" si="137"/>
        <v>0</v>
      </c>
      <c r="F323" s="783">
        <f aca="true" t="shared" si="138" ref="F323">SUM(F23+F57+F90+F124+F157+F190+F223+F256+F289)</f>
        <v>0</v>
      </c>
      <c r="G323" s="733"/>
      <c r="H323" s="896"/>
    </row>
    <row r="324" spans="1:8" ht="12.75" customHeight="1" thickBot="1">
      <c r="A324" s="329"/>
      <c r="B324" s="315" t="s">
        <v>59</v>
      </c>
      <c r="C324" s="790">
        <f aca="true" t="shared" si="139" ref="C324">SUM(C323)</f>
        <v>0</v>
      </c>
      <c r="D324" s="790">
        <f aca="true" t="shared" si="140" ref="D324:E324">SUM(D323)</f>
        <v>0</v>
      </c>
      <c r="E324" s="790">
        <f t="shared" si="140"/>
        <v>0</v>
      </c>
      <c r="F324" s="790">
        <f aca="true" t="shared" si="141" ref="F324">SUM(F323)</f>
        <v>0</v>
      </c>
      <c r="G324" s="733"/>
      <c r="H324" s="896"/>
    </row>
    <row r="325" spans="1:8" ht="12.75" customHeight="1">
      <c r="A325" s="329"/>
      <c r="B325" s="637" t="s">
        <v>397</v>
      </c>
      <c r="C325" s="782">
        <f aca="true" t="shared" si="142" ref="C325">SUM(C25+C59+C92+C126+C159+C192+C225+C258+C291)</f>
        <v>0</v>
      </c>
      <c r="D325" s="782">
        <f aca="true" t="shared" si="143" ref="D325:E325">SUM(D25+D59+D92+D126+D159+D192+D225+D258+D291)</f>
        <v>10169</v>
      </c>
      <c r="E325" s="782">
        <f t="shared" si="143"/>
        <v>10169</v>
      </c>
      <c r="F325" s="782">
        <f aca="true" t="shared" si="144" ref="F325">SUM(F25+F59+F92+F126+F159+F192+F225+F258+F291)</f>
        <v>10169</v>
      </c>
      <c r="G325" s="307">
        <f t="shared" si="97"/>
        <v>1</v>
      </c>
      <c r="H325" s="896"/>
    </row>
    <row r="326" spans="1:8" ht="12.75" customHeight="1" thickBot="1">
      <c r="A326" s="329"/>
      <c r="B326" s="318" t="s">
        <v>430</v>
      </c>
      <c r="C326" s="773">
        <f aca="true" t="shared" si="145" ref="C326">SUM(C26+C60+C93+C127+C160+C193+C226+C259+C292)</f>
        <v>1287025</v>
      </c>
      <c r="D326" s="773">
        <f aca="true" t="shared" si="146" ref="D326:E326">SUM(D26+D60+D93+D127+D160+D193+D226+D259+D292)</f>
        <v>1288177</v>
      </c>
      <c r="E326" s="773">
        <f t="shared" si="146"/>
        <v>1292579</v>
      </c>
      <c r="F326" s="773">
        <f>SUM(F26+F60+F93+F127+F160+F193+F226+F259+F292)</f>
        <v>851432</v>
      </c>
      <c r="G326" s="623">
        <f t="shared" si="97"/>
        <v>0.6587079010257787</v>
      </c>
      <c r="H326" s="897"/>
    </row>
    <row r="327" spans="1:8" ht="12.75" customHeight="1" thickBot="1">
      <c r="A327" s="329"/>
      <c r="B327" s="319" t="s">
        <v>52</v>
      </c>
      <c r="C327" s="781">
        <f aca="true" t="shared" si="147" ref="C327">SUM(C325:C326)</f>
        <v>1287025</v>
      </c>
      <c r="D327" s="781">
        <f aca="true" t="shared" si="148" ref="D327:E327">SUM(D325:D326)</f>
        <v>1298346</v>
      </c>
      <c r="E327" s="781">
        <f t="shared" si="148"/>
        <v>1302748</v>
      </c>
      <c r="F327" s="781">
        <f aca="true" t="shared" si="149" ref="F327">SUM(F325:F326)</f>
        <v>861601</v>
      </c>
      <c r="G327" s="722">
        <f t="shared" si="97"/>
        <v>0.6613719614230841</v>
      </c>
      <c r="H327" s="896"/>
    </row>
    <row r="328" spans="1:8" ht="12.75" customHeight="1" thickBot="1">
      <c r="A328" s="329"/>
      <c r="B328" s="241" t="s">
        <v>397</v>
      </c>
      <c r="C328" s="780">
        <f aca="true" t="shared" si="150" ref="C328">SUM(C29+C63+C96+C130+C163+C229+C262+C295)</f>
        <v>0</v>
      </c>
      <c r="D328" s="780">
        <f>SUM(D29+D63+D96+D130+D163+D229+D262+D295)+D195</f>
        <v>2250</v>
      </c>
      <c r="E328" s="780">
        <f>SUM(E29+E63+E96+E130+E163+E229+E262+E295)+E195</f>
        <v>2250</v>
      </c>
      <c r="F328" s="780">
        <f>SUM(F29+F63+F96+F130+F163+F229+F262+F295)+F195</f>
        <v>2250</v>
      </c>
      <c r="G328" s="733">
        <f t="shared" si="97"/>
        <v>1</v>
      </c>
      <c r="H328" s="896"/>
    </row>
    <row r="329" spans="1:8" ht="12.75" customHeight="1" thickBot="1">
      <c r="A329" s="329"/>
      <c r="B329" s="319" t="s">
        <v>54</v>
      </c>
      <c r="C329" s="781">
        <f aca="true" t="shared" si="151" ref="C329">SUM(C328)</f>
        <v>0</v>
      </c>
      <c r="D329" s="781">
        <f aca="true" t="shared" si="152" ref="D329:E329">SUM(D328)</f>
        <v>2250</v>
      </c>
      <c r="E329" s="781">
        <f t="shared" si="152"/>
        <v>2250</v>
      </c>
      <c r="F329" s="781">
        <f aca="true" t="shared" si="153" ref="F329">SUM(F328)</f>
        <v>2250</v>
      </c>
      <c r="G329" s="722">
        <f t="shared" si="97"/>
        <v>1</v>
      </c>
      <c r="H329" s="896"/>
    </row>
    <row r="330" spans="1:8" ht="12.75" customHeight="1" thickBot="1">
      <c r="A330" s="329"/>
      <c r="B330" s="331" t="s">
        <v>66</v>
      </c>
      <c r="C330" s="790">
        <f aca="true" t="shared" si="154" ref="C330">SUM(C322+C324+C327+C329)</f>
        <v>1287025</v>
      </c>
      <c r="D330" s="790">
        <f aca="true" t="shared" si="155" ref="D330:E330">SUM(D322+D324+D327+D329)</f>
        <v>1300596</v>
      </c>
      <c r="E330" s="790">
        <f t="shared" si="155"/>
        <v>1305283</v>
      </c>
      <c r="F330" s="790">
        <f aca="true" t="shared" si="156" ref="F330">SUM(F322+F324+F327+F329)</f>
        <v>864136</v>
      </c>
      <c r="G330" s="722">
        <f t="shared" si="97"/>
        <v>0.66202961350144</v>
      </c>
      <c r="H330" s="896"/>
    </row>
    <row r="331" spans="1:8" ht="13.8">
      <c r="A331" s="329"/>
      <c r="B331" s="322" t="s">
        <v>304</v>
      </c>
      <c r="C331" s="772">
        <f aca="true" t="shared" si="157" ref="C331">SUM(C31+C65+C98+C132+C165+C198+C231+C264+C297)</f>
        <v>1068433</v>
      </c>
      <c r="D331" s="772">
        <f aca="true" t="shared" si="158" ref="D331:E331">SUM(D31+D65+D98+D132+D165+D198+D231+D264+D297)</f>
        <v>1068567</v>
      </c>
      <c r="E331" s="772">
        <f t="shared" si="158"/>
        <v>1072377</v>
      </c>
      <c r="F331" s="772">
        <f aca="true" t="shared" si="159" ref="F331">SUM(F31+F65+F98+F132+F165+F198+F231+F264+F297)</f>
        <v>717071</v>
      </c>
      <c r="G331" s="307">
        <f aca="true" t="shared" si="160" ref="G331:G394">F331/E331</f>
        <v>0.6686743561266234</v>
      </c>
      <c r="H331" s="897"/>
    </row>
    <row r="332" spans="1:8" ht="12.75">
      <c r="A332" s="302"/>
      <c r="B332" s="322" t="s">
        <v>305</v>
      </c>
      <c r="C332" s="772">
        <f aca="true" t="shared" si="161" ref="C332">SUM(C32+C66+C99+C133+C166+C199+C232+C265+C298)</f>
        <v>176111</v>
      </c>
      <c r="D332" s="772">
        <f aca="true" t="shared" si="162" ref="D332:E332">SUM(D32+D66+D99+D133+D166+D199+D232+D265+D298)</f>
        <v>176974</v>
      </c>
      <c r="E332" s="772">
        <f t="shared" si="162"/>
        <v>177566</v>
      </c>
      <c r="F332" s="772">
        <f aca="true" t="shared" si="163" ref="F332">SUM(F32+F66+F99+F133+F166+F199+F232+F265+F298)</f>
        <v>122032</v>
      </c>
      <c r="G332" s="307">
        <f t="shared" si="160"/>
        <v>0.6872486849960014</v>
      </c>
      <c r="H332" s="897"/>
    </row>
    <row r="333" spans="1:8" ht="12.75">
      <c r="A333" s="302"/>
      <c r="B333" s="322" t="s">
        <v>306</v>
      </c>
      <c r="C333" s="772">
        <f aca="true" t="shared" si="164" ref="C333">SUM(C33+C67+C100+C134+C167+C200+C233+C266+C299)</f>
        <v>39881</v>
      </c>
      <c r="D333" s="772">
        <f aca="true" t="shared" si="165" ref="D333:E333">SUM(D33+D67+D100+D134+D167+D200+D233+D266+D299)</f>
        <v>50205</v>
      </c>
      <c r="E333" s="772">
        <f t="shared" si="165"/>
        <v>49220</v>
      </c>
      <c r="F333" s="772">
        <f aca="true" t="shared" si="166" ref="F333">SUM(F33+F67+F100+F134+F167+F200+F233+F266+F299)</f>
        <v>18711</v>
      </c>
      <c r="G333" s="307">
        <f t="shared" si="160"/>
        <v>0.38015034538805365</v>
      </c>
      <c r="H333" s="897"/>
    </row>
    <row r="334" spans="1:8" ht="12.75">
      <c r="A334" s="302"/>
      <c r="B334" s="323" t="s">
        <v>308</v>
      </c>
      <c r="C334" s="772">
        <f aca="true" t="shared" si="167" ref="C334">SUM(C34+C68+C101+C135+C168+C201+C234+C267+C300)</f>
        <v>0</v>
      </c>
      <c r="D334" s="772">
        <f aca="true" t="shared" si="168" ref="D334:E334">SUM(D34+D68+D101+D135+D168+D201+D234+D267+D300)</f>
        <v>0</v>
      </c>
      <c r="E334" s="772">
        <f t="shared" si="168"/>
        <v>0</v>
      </c>
      <c r="F334" s="772">
        <f aca="true" t="shared" si="169" ref="F334">SUM(F34+F68+F101+F135+F168+F201+F234+F267+F300)</f>
        <v>0</v>
      </c>
      <c r="G334" s="307"/>
      <c r="H334" s="896"/>
    </row>
    <row r="335" spans="1:8" ht="13.8" thickBot="1">
      <c r="A335" s="302"/>
      <c r="B335" s="324" t="s">
        <v>307</v>
      </c>
      <c r="C335" s="772">
        <f aca="true" t="shared" si="170" ref="C335">SUM(C35+C69+C102+C136+C169+C202+C235+C268+C301)</f>
        <v>0</v>
      </c>
      <c r="D335" s="772">
        <f aca="true" t="shared" si="171" ref="D335:E335">SUM(D35+D69+D102+D136+D169+D202+D235+D268+D301)</f>
        <v>0</v>
      </c>
      <c r="E335" s="772">
        <f t="shared" si="171"/>
        <v>1270</v>
      </c>
      <c r="F335" s="772">
        <f aca="true" t="shared" si="172" ref="F335">SUM(F35+F69+F102+F136+F169+F202+F235+F268+F301)</f>
        <v>1270</v>
      </c>
      <c r="G335" s="623">
        <f t="shared" si="160"/>
        <v>1</v>
      </c>
      <c r="H335" s="896"/>
    </row>
    <row r="336" spans="1:8" ht="13.8" thickBot="1">
      <c r="A336" s="302"/>
      <c r="B336" s="325" t="s">
        <v>51</v>
      </c>
      <c r="C336" s="774">
        <f aca="true" t="shared" si="173" ref="C336">SUM(C331:C335)</f>
        <v>1284425</v>
      </c>
      <c r="D336" s="774">
        <f aca="true" t="shared" si="174" ref="D336:E336">SUM(D331:D335)</f>
        <v>1295746</v>
      </c>
      <c r="E336" s="774">
        <f t="shared" si="174"/>
        <v>1300433</v>
      </c>
      <c r="F336" s="774">
        <f aca="true" t="shared" si="175" ref="F336">SUM(F331:F335)</f>
        <v>859084</v>
      </c>
      <c r="G336" s="722">
        <f t="shared" si="160"/>
        <v>0.6606138109383567</v>
      </c>
      <c r="H336" s="896"/>
    </row>
    <row r="337" spans="1:8" ht="12.75">
      <c r="A337" s="302"/>
      <c r="B337" s="322" t="s">
        <v>231</v>
      </c>
      <c r="C337" s="772">
        <f aca="true" t="shared" si="176" ref="C337">SUM(C303+C270+C237+C204+C171+C138+C104+C71+C37)</f>
        <v>2600</v>
      </c>
      <c r="D337" s="772">
        <f aca="true" t="shared" si="177" ref="D337:E337">SUM(D303+D270+D237+D204+D171+D138+D104+D71+D37)</f>
        <v>4850</v>
      </c>
      <c r="E337" s="772">
        <f t="shared" si="177"/>
        <v>4850</v>
      </c>
      <c r="F337" s="772">
        <f aca="true" t="shared" si="178" ref="F337">SUM(F303+F270+F237+F204+F171+F138+F104+F71+F37)</f>
        <v>1929</v>
      </c>
      <c r="G337" s="307">
        <f t="shared" si="160"/>
        <v>0.3977319587628866</v>
      </c>
      <c r="H337" s="897"/>
    </row>
    <row r="338" spans="1:8" ht="12.75">
      <c r="A338" s="302"/>
      <c r="B338" s="322" t="s">
        <v>232</v>
      </c>
      <c r="C338" s="772">
        <f aca="true" t="shared" si="179" ref="C338">C38+C72+C105+C139+C172+C205+C238+C271</f>
        <v>0</v>
      </c>
      <c r="D338" s="772">
        <f aca="true" t="shared" si="180" ref="D338:E338">D38+D72+D105+D139+D172+D205+D238+D271</f>
        <v>0</v>
      </c>
      <c r="E338" s="772">
        <f t="shared" si="180"/>
        <v>0</v>
      </c>
      <c r="F338" s="772">
        <f aca="true" t="shared" si="181" ref="F338">F38+F72+F105+F139+F172+F205+F238+F271</f>
        <v>0</v>
      </c>
      <c r="G338" s="307"/>
      <c r="H338" s="896"/>
    </row>
    <row r="339" spans="1:8" ht="13.8" thickBot="1">
      <c r="A339" s="302"/>
      <c r="B339" s="324" t="s">
        <v>406</v>
      </c>
      <c r="C339" s="773"/>
      <c r="D339" s="773"/>
      <c r="E339" s="773"/>
      <c r="F339" s="773"/>
      <c r="G339" s="623"/>
      <c r="H339" s="896"/>
    </row>
    <row r="340" spans="1:8" ht="13.8" thickBot="1">
      <c r="A340" s="302"/>
      <c r="B340" s="326" t="s">
        <v>57</v>
      </c>
      <c r="C340" s="774">
        <f aca="true" t="shared" si="182" ref="C340">SUM(C337:C339)</f>
        <v>2600</v>
      </c>
      <c r="D340" s="774">
        <f aca="true" t="shared" si="183" ref="D340:E340">SUM(D337:D339)</f>
        <v>4850</v>
      </c>
      <c r="E340" s="774">
        <f t="shared" si="183"/>
        <v>4850</v>
      </c>
      <c r="F340" s="774">
        <f aca="true" t="shared" si="184" ref="F340">SUM(F337:F339)</f>
        <v>1929</v>
      </c>
      <c r="G340" s="722">
        <f t="shared" si="160"/>
        <v>0.3977319587628866</v>
      </c>
      <c r="H340" s="896"/>
    </row>
    <row r="341" spans="1:8" ht="14.4" thickBot="1">
      <c r="A341" s="299"/>
      <c r="B341" s="327" t="s">
        <v>103</v>
      </c>
      <c r="C341" s="774">
        <f aca="true" t="shared" si="185" ref="C341">SUM(C336+C340)</f>
        <v>1287025</v>
      </c>
      <c r="D341" s="774">
        <f aca="true" t="shared" si="186" ref="D341:E341">SUM(D336+D340)</f>
        <v>1300596</v>
      </c>
      <c r="E341" s="774">
        <f t="shared" si="186"/>
        <v>1305283</v>
      </c>
      <c r="F341" s="774">
        <f aca="true" t="shared" si="187" ref="F341">SUM(F336+F340)</f>
        <v>861013</v>
      </c>
      <c r="G341" s="722">
        <f t="shared" si="160"/>
        <v>0.6596370289048429</v>
      </c>
      <c r="H341" s="896"/>
    </row>
    <row r="342" spans="1:8" ht="13.8">
      <c r="A342" s="221">
        <v>2795</v>
      </c>
      <c r="B342" s="332" t="s">
        <v>22</v>
      </c>
      <c r="C342" s="787"/>
      <c r="D342" s="787"/>
      <c r="E342" s="787"/>
      <c r="F342" s="787"/>
      <c r="G342" s="307"/>
      <c r="H342" s="896"/>
    </row>
    <row r="343" spans="1:8" ht="12.6" customHeight="1">
      <c r="A343" s="302"/>
      <c r="B343" s="303" t="s">
        <v>173</v>
      </c>
      <c r="C343" s="775"/>
      <c r="D343" s="775"/>
      <c r="E343" s="775"/>
      <c r="F343" s="775"/>
      <c r="G343" s="307"/>
      <c r="H343" s="896"/>
    </row>
    <row r="344" spans="1:8" ht="13.8" thickBot="1">
      <c r="A344" s="302"/>
      <c r="B344" s="304" t="s">
        <v>174</v>
      </c>
      <c r="C344" s="773"/>
      <c r="D344" s="773"/>
      <c r="E344" s="773"/>
      <c r="F344" s="773"/>
      <c r="G344" s="623"/>
      <c r="H344" s="896"/>
    </row>
    <row r="345" spans="1:8" ht="13.8" thickBot="1">
      <c r="A345" s="302"/>
      <c r="B345" s="305" t="s">
        <v>186</v>
      </c>
      <c r="C345" s="788"/>
      <c r="D345" s="788"/>
      <c r="E345" s="788"/>
      <c r="F345" s="788">
        <f>F343+F344</f>
        <v>0</v>
      </c>
      <c r="G345" s="733"/>
      <c r="H345" s="896"/>
    </row>
    <row r="346" spans="1:8" ht="12.75">
      <c r="A346" s="302"/>
      <c r="B346" s="303" t="s">
        <v>176</v>
      </c>
      <c r="C346" s="772">
        <f aca="true" t="shared" si="188" ref="C346">SUM(C347:C348)</f>
        <v>41380</v>
      </c>
      <c r="D346" s="772">
        <f aca="true" t="shared" si="189" ref="D346:F346">SUM(D347:D348)</f>
        <v>41380</v>
      </c>
      <c r="E346" s="772">
        <f t="shared" si="189"/>
        <v>41380</v>
      </c>
      <c r="F346" s="772">
        <f t="shared" si="189"/>
        <v>32368</v>
      </c>
      <c r="G346" s="307">
        <f t="shared" si="160"/>
        <v>0.7822136297728371</v>
      </c>
      <c r="H346" s="896"/>
    </row>
    <row r="347" spans="1:8" ht="12.75">
      <c r="A347" s="302"/>
      <c r="B347" s="308" t="s">
        <v>177</v>
      </c>
      <c r="C347" s="778"/>
      <c r="D347" s="778"/>
      <c r="E347" s="778"/>
      <c r="F347" s="778"/>
      <c r="G347" s="307"/>
      <c r="H347" s="896"/>
    </row>
    <row r="348" spans="1:8" ht="12.75">
      <c r="A348" s="302"/>
      <c r="B348" s="308" t="s">
        <v>178</v>
      </c>
      <c r="C348" s="778">
        <v>41380</v>
      </c>
      <c r="D348" s="778">
        <v>41380</v>
      </c>
      <c r="E348" s="778">
        <v>41380</v>
      </c>
      <c r="F348" s="778">
        <v>32368</v>
      </c>
      <c r="G348" s="307">
        <f t="shared" si="160"/>
        <v>0.7822136297728371</v>
      </c>
      <c r="H348" s="897"/>
    </row>
    <row r="349" spans="1:8" ht="12.75">
      <c r="A349" s="302"/>
      <c r="B349" s="309" t="s">
        <v>179</v>
      </c>
      <c r="C349" s="772">
        <v>8845</v>
      </c>
      <c r="D349" s="772">
        <v>8845</v>
      </c>
      <c r="E349" s="772">
        <v>8845</v>
      </c>
      <c r="F349" s="772">
        <v>8111</v>
      </c>
      <c r="G349" s="307">
        <f t="shared" si="160"/>
        <v>0.917015262860373</v>
      </c>
      <c r="H349" s="897"/>
    </row>
    <row r="350" spans="1:8" ht="12.75">
      <c r="A350" s="302"/>
      <c r="B350" s="309" t="s">
        <v>180</v>
      </c>
      <c r="C350" s="772">
        <v>137137</v>
      </c>
      <c r="D350" s="772">
        <v>137137</v>
      </c>
      <c r="E350" s="772">
        <v>137137</v>
      </c>
      <c r="F350" s="772">
        <v>67859</v>
      </c>
      <c r="G350" s="307">
        <f t="shared" si="160"/>
        <v>0.49482634154167</v>
      </c>
      <c r="H350" s="897"/>
    </row>
    <row r="351" spans="1:8" ht="12.75">
      <c r="A351" s="302"/>
      <c r="B351" s="309" t="s">
        <v>181</v>
      </c>
      <c r="C351" s="772">
        <v>50588</v>
      </c>
      <c r="D351" s="772">
        <v>50588</v>
      </c>
      <c r="E351" s="772">
        <v>50588</v>
      </c>
      <c r="F351" s="772">
        <v>29201</v>
      </c>
      <c r="G351" s="307">
        <f t="shared" si="160"/>
        <v>0.5772317545663003</v>
      </c>
      <c r="H351" s="897"/>
    </row>
    <row r="352" spans="1:8" ht="12.75">
      <c r="A352" s="302"/>
      <c r="B352" s="310" t="s">
        <v>424</v>
      </c>
      <c r="C352" s="772"/>
      <c r="D352" s="772"/>
      <c r="E352" s="772"/>
      <c r="F352" s="772">
        <v>155</v>
      </c>
      <c r="G352" s="307">
        <v>1</v>
      </c>
      <c r="H352" s="896"/>
    </row>
    <row r="353" spans="1:8" ht="13.8" thickBot="1">
      <c r="A353" s="302"/>
      <c r="B353" s="311" t="s">
        <v>182</v>
      </c>
      <c r="C353" s="772"/>
      <c r="D353" s="772"/>
      <c r="E353" s="772"/>
      <c r="F353" s="772">
        <v>25</v>
      </c>
      <c r="G353" s="623">
        <v>1</v>
      </c>
      <c r="H353" s="896"/>
    </row>
    <row r="354" spans="1:8" ht="13.8" thickBot="1">
      <c r="A354" s="302"/>
      <c r="B354" s="312" t="s">
        <v>324</v>
      </c>
      <c r="C354" s="774">
        <f aca="true" t="shared" si="190" ref="C354">SUM(C346+C349+C350+C351+C353+C352)</f>
        <v>237950</v>
      </c>
      <c r="D354" s="774">
        <f aca="true" t="shared" si="191" ref="D354:E354">SUM(D346+D349+D350+D351+D353+D352)</f>
        <v>237950</v>
      </c>
      <c r="E354" s="774">
        <f t="shared" si="191"/>
        <v>237950</v>
      </c>
      <c r="F354" s="774">
        <f aca="true" t="shared" si="192" ref="F354">SUM(F346+F349+F350+F351+F353+F352)</f>
        <v>137719</v>
      </c>
      <c r="G354" s="722">
        <f t="shared" si="160"/>
        <v>0.5787728514393781</v>
      </c>
      <c r="H354" s="896"/>
    </row>
    <row r="355" spans="1:8" ht="13.8" thickBot="1">
      <c r="A355" s="302"/>
      <c r="B355" s="314" t="s">
        <v>58</v>
      </c>
      <c r="C355" s="1041">
        <f aca="true" t="shared" si="193" ref="C355">SUM(C354+C345)</f>
        <v>237950</v>
      </c>
      <c r="D355" s="1042">
        <f aca="true" t="shared" si="194" ref="D355:E355">SUM(D354+D345)</f>
        <v>237950</v>
      </c>
      <c r="E355" s="1042">
        <f t="shared" si="194"/>
        <v>237950</v>
      </c>
      <c r="F355" s="1042">
        <f aca="true" t="shared" si="195" ref="F355">SUM(F354+F345)</f>
        <v>137719</v>
      </c>
      <c r="G355" s="734">
        <f t="shared" si="160"/>
        <v>0.5787728514393781</v>
      </c>
      <c r="H355" s="896"/>
    </row>
    <row r="356" spans="1:8" ht="13.8" thickBot="1">
      <c r="A356" s="302"/>
      <c r="B356" s="642" t="s">
        <v>380</v>
      </c>
      <c r="C356" s="780"/>
      <c r="D356" s="780"/>
      <c r="E356" s="780"/>
      <c r="F356" s="780"/>
      <c r="G356" s="733"/>
      <c r="H356" s="896"/>
    </row>
    <row r="357" spans="1:8" ht="13.8" thickBot="1">
      <c r="A357" s="302"/>
      <c r="B357" s="315" t="s">
        <v>59</v>
      </c>
      <c r="C357" s="781"/>
      <c r="D357" s="781"/>
      <c r="E357" s="781"/>
      <c r="F357" s="781">
        <f>F356</f>
        <v>0</v>
      </c>
      <c r="G357" s="733"/>
      <c r="H357" s="896"/>
    </row>
    <row r="358" spans="1:8" ht="12.75">
      <c r="A358" s="302"/>
      <c r="B358" s="637" t="s">
        <v>397</v>
      </c>
      <c r="C358" s="782"/>
      <c r="D358" s="782">
        <v>6551</v>
      </c>
      <c r="E358" s="782">
        <v>6551</v>
      </c>
      <c r="F358" s="782">
        <v>6551</v>
      </c>
      <c r="G358" s="307">
        <f t="shared" si="160"/>
        <v>1</v>
      </c>
      <c r="H358" s="896"/>
    </row>
    <row r="359" spans="1:8" ht="12.75">
      <c r="A359" s="302"/>
      <c r="B359" s="317" t="s">
        <v>430</v>
      </c>
      <c r="C359" s="772">
        <v>1040184</v>
      </c>
      <c r="D359" s="772">
        <v>1140458</v>
      </c>
      <c r="E359" s="772">
        <v>1192166</v>
      </c>
      <c r="F359" s="772">
        <v>730212</v>
      </c>
      <c r="G359" s="307">
        <f t="shared" si="160"/>
        <v>0.6125086607066466</v>
      </c>
      <c r="H359" s="898"/>
    </row>
    <row r="360" spans="1:8" ht="13.8" thickBot="1">
      <c r="A360" s="302"/>
      <c r="B360" s="318" t="s">
        <v>433</v>
      </c>
      <c r="C360" s="773">
        <v>410404</v>
      </c>
      <c r="D360" s="773">
        <v>445404</v>
      </c>
      <c r="E360" s="773">
        <v>445404</v>
      </c>
      <c r="F360" s="773">
        <v>261141</v>
      </c>
      <c r="G360" s="623">
        <f t="shared" si="160"/>
        <v>0.5863014252229437</v>
      </c>
      <c r="H360" s="898"/>
    </row>
    <row r="361" spans="1:8" ht="13.8" thickBot="1">
      <c r="A361" s="302"/>
      <c r="B361" s="319" t="s">
        <v>52</v>
      </c>
      <c r="C361" s="781">
        <f aca="true" t="shared" si="196" ref="C361">SUM(C358:C360)</f>
        <v>1450588</v>
      </c>
      <c r="D361" s="781">
        <f aca="true" t="shared" si="197" ref="D361:F361">SUM(D358:D360)</f>
        <v>1592413</v>
      </c>
      <c r="E361" s="781">
        <f t="shared" si="197"/>
        <v>1644121</v>
      </c>
      <c r="F361" s="781">
        <f t="shared" si="197"/>
        <v>997904</v>
      </c>
      <c r="G361" s="722">
        <f t="shared" si="160"/>
        <v>0.6069528945862257</v>
      </c>
      <c r="H361" s="896"/>
    </row>
    <row r="362" spans="1:8" ht="13.8" thickBot="1">
      <c r="A362" s="302"/>
      <c r="B362" s="241" t="s">
        <v>397</v>
      </c>
      <c r="C362" s="780"/>
      <c r="D362" s="780">
        <v>2034</v>
      </c>
      <c r="E362" s="780">
        <v>2034</v>
      </c>
      <c r="F362" s="780">
        <v>2034</v>
      </c>
      <c r="G362" s="733">
        <f t="shared" si="160"/>
        <v>1</v>
      </c>
      <c r="H362" s="896"/>
    </row>
    <row r="363" spans="1:8" ht="13.8" thickBot="1">
      <c r="A363" s="302"/>
      <c r="B363" s="319" t="s">
        <v>54</v>
      </c>
      <c r="C363" s="781">
        <f aca="true" t="shared" si="198" ref="C363">SUM(C362)</f>
        <v>0</v>
      </c>
      <c r="D363" s="781">
        <f aca="true" t="shared" si="199" ref="D363:E363">SUM(D362)</f>
        <v>2034</v>
      </c>
      <c r="E363" s="781">
        <f t="shared" si="199"/>
        <v>2034</v>
      </c>
      <c r="F363" s="781">
        <f aca="true" t="shared" si="200" ref="F363">SUM(F362)</f>
        <v>2034</v>
      </c>
      <c r="G363" s="722">
        <f t="shared" si="160"/>
        <v>1</v>
      </c>
      <c r="H363" s="896"/>
    </row>
    <row r="364" spans="1:8" ht="14.4" thickBot="1">
      <c r="A364" s="302"/>
      <c r="B364" s="321" t="s">
        <v>66</v>
      </c>
      <c r="C364" s="774">
        <f>SUM(C355+C357+C361)</f>
        <v>1688538</v>
      </c>
      <c r="D364" s="774">
        <f>SUM(D355+D357+D361)+D363</f>
        <v>1832397</v>
      </c>
      <c r="E364" s="774">
        <f>SUM(E355+E357+E361)+E363</f>
        <v>1884105</v>
      </c>
      <c r="F364" s="774">
        <f>SUM(F355+F357+F361)+F363</f>
        <v>1137657</v>
      </c>
      <c r="G364" s="722">
        <f t="shared" si="160"/>
        <v>0.6038182585365466</v>
      </c>
      <c r="H364" s="896"/>
    </row>
    <row r="365" spans="1:8" ht="12.75">
      <c r="A365" s="302"/>
      <c r="B365" s="322" t="s">
        <v>304</v>
      </c>
      <c r="C365" s="772">
        <v>579342</v>
      </c>
      <c r="D365" s="772">
        <v>586932</v>
      </c>
      <c r="E365" s="772">
        <f>586932+1479</f>
        <v>588411</v>
      </c>
      <c r="F365" s="772">
        <v>399495</v>
      </c>
      <c r="G365" s="307">
        <f t="shared" si="160"/>
        <v>0.6789387010100083</v>
      </c>
      <c r="H365" s="897"/>
    </row>
    <row r="366" spans="1:8" ht="12.75">
      <c r="A366" s="302"/>
      <c r="B366" s="322" t="s">
        <v>305</v>
      </c>
      <c r="C366" s="772">
        <v>99848</v>
      </c>
      <c r="D366" s="772">
        <v>102407</v>
      </c>
      <c r="E366" s="772">
        <f>102407+229</f>
        <v>102636</v>
      </c>
      <c r="F366" s="772">
        <v>65541</v>
      </c>
      <c r="G366" s="307">
        <f t="shared" si="160"/>
        <v>0.6385771074476791</v>
      </c>
      <c r="H366" s="897"/>
    </row>
    <row r="367" spans="1:8" ht="12.75">
      <c r="A367" s="302"/>
      <c r="B367" s="322" t="s">
        <v>306</v>
      </c>
      <c r="C367" s="772">
        <v>1004848</v>
      </c>
      <c r="D367" s="772">
        <v>1136524</v>
      </c>
      <c r="E367" s="772">
        <v>1149524</v>
      </c>
      <c r="F367" s="772">
        <v>600316</v>
      </c>
      <c r="G367" s="307">
        <f t="shared" si="160"/>
        <v>0.5222300708815127</v>
      </c>
      <c r="H367" s="897"/>
    </row>
    <row r="368" spans="1:8" ht="12.75">
      <c r="A368" s="302"/>
      <c r="B368" s="323" t="s">
        <v>308</v>
      </c>
      <c r="C368" s="772"/>
      <c r="D368" s="772"/>
      <c r="E368" s="772"/>
      <c r="F368" s="772"/>
      <c r="G368" s="307"/>
      <c r="H368" s="896"/>
    </row>
    <row r="369" spans="1:8" ht="13.8" thickBot="1">
      <c r="A369" s="302"/>
      <c r="B369" s="324" t="s">
        <v>307</v>
      </c>
      <c r="C369" s="772"/>
      <c r="D369" s="772"/>
      <c r="E369" s="772"/>
      <c r="F369" s="772"/>
      <c r="G369" s="623"/>
      <c r="H369" s="896"/>
    </row>
    <row r="370" spans="1:8" ht="13.8" thickBot="1">
      <c r="A370" s="302"/>
      <c r="B370" s="325" t="s">
        <v>51</v>
      </c>
      <c r="C370" s="774">
        <f aca="true" t="shared" si="201" ref="C370">SUM(C365:C369)</f>
        <v>1684038</v>
      </c>
      <c r="D370" s="774">
        <f aca="true" t="shared" si="202" ref="D370:F370">SUM(D365:D369)</f>
        <v>1825863</v>
      </c>
      <c r="E370" s="774">
        <f t="shared" si="202"/>
        <v>1840571</v>
      </c>
      <c r="F370" s="774">
        <f t="shared" si="202"/>
        <v>1065352</v>
      </c>
      <c r="G370" s="722">
        <f t="shared" si="160"/>
        <v>0.5788160304601127</v>
      </c>
      <c r="H370" s="896"/>
    </row>
    <row r="371" spans="1:8" ht="12.75">
      <c r="A371" s="302"/>
      <c r="B371" s="322" t="s">
        <v>231</v>
      </c>
      <c r="C371" s="772">
        <v>4500</v>
      </c>
      <c r="D371" s="772">
        <f>4500+2034</f>
        <v>6534</v>
      </c>
      <c r="E371" s="772">
        <v>43534</v>
      </c>
      <c r="F371" s="772">
        <v>11960</v>
      </c>
      <c r="G371" s="307">
        <f t="shared" si="160"/>
        <v>0.27472779896173105</v>
      </c>
      <c r="H371" s="896"/>
    </row>
    <row r="372" spans="1:8" ht="12.75">
      <c r="A372" s="302"/>
      <c r="B372" s="322" t="s">
        <v>232</v>
      </c>
      <c r="C372" s="772"/>
      <c r="D372" s="772"/>
      <c r="E372" s="772"/>
      <c r="F372" s="772"/>
      <c r="G372" s="307"/>
      <c r="H372" s="896"/>
    </row>
    <row r="373" spans="1:8" ht="13.8" thickBot="1">
      <c r="A373" s="302"/>
      <c r="B373" s="324" t="s">
        <v>406</v>
      </c>
      <c r="C373" s="779"/>
      <c r="D373" s="779"/>
      <c r="E373" s="779"/>
      <c r="F373" s="779"/>
      <c r="G373" s="623"/>
      <c r="H373" s="896"/>
    </row>
    <row r="374" spans="1:8" ht="13.8" thickBot="1">
      <c r="A374" s="302"/>
      <c r="B374" s="326" t="s">
        <v>57</v>
      </c>
      <c r="C374" s="779">
        <f aca="true" t="shared" si="203" ref="C374">SUM(C371:C373)</f>
        <v>4500</v>
      </c>
      <c r="D374" s="779">
        <f aca="true" t="shared" si="204" ref="D374:E374">SUM(D371:D373)</f>
        <v>6534</v>
      </c>
      <c r="E374" s="779">
        <f t="shared" si="204"/>
        <v>43534</v>
      </c>
      <c r="F374" s="779">
        <f aca="true" t="shared" si="205" ref="F374">SUM(F371:F373)</f>
        <v>11960</v>
      </c>
      <c r="G374" s="722">
        <f t="shared" si="160"/>
        <v>0.27472779896173105</v>
      </c>
      <c r="H374" s="896"/>
    </row>
    <row r="375" spans="1:8" ht="14.4" thickBot="1">
      <c r="A375" s="299"/>
      <c r="B375" s="327" t="s">
        <v>103</v>
      </c>
      <c r="C375" s="774">
        <f aca="true" t="shared" si="206" ref="C375">SUM(C370+C374)</f>
        <v>1688538</v>
      </c>
      <c r="D375" s="779">
        <f aca="true" t="shared" si="207" ref="D375:E375">SUM(D370+D374)</f>
        <v>1832397</v>
      </c>
      <c r="E375" s="779">
        <f t="shared" si="207"/>
        <v>1884105</v>
      </c>
      <c r="F375" s="779">
        <f aca="true" t="shared" si="208" ref="F375">SUM(F370+F374)</f>
        <v>1077312</v>
      </c>
      <c r="G375" s="734">
        <f t="shared" si="160"/>
        <v>0.5717897887856569</v>
      </c>
      <c r="H375" s="896"/>
    </row>
    <row r="376" spans="1:8" ht="13.8">
      <c r="A376" s="219">
        <v>2799</v>
      </c>
      <c r="B376" s="222" t="s">
        <v>75</v>
      </c>
      <c r="C376" s="785"/>
      <c r="D376" s="785"/>
      <c r="E376" s="785"/>
      <c r="F376" s="785"/>
      <c r="G376" s="307"/>
      <c r="H376" s="896"/>
    </row>
    <row r="377" spans="1:8" ht="12.75">
      <c r="A377" s="302"/>
      <c r="B377" s="303" t="s">
        <v>173</v>
      </c>
      <c r="C377" s="775"/>
      <c r="D377" s="775"/>
      <c r="E377" s="775"/>
      <c r="F377" s="775"/>
      <c r="G377" s="307"/>
      <c r="H377" s="896"/>
    </row>
    <row r="378" spans="1:8" ht="13.8" thickBot="1">
      <c r="A378" s="302"/>
      <c r="B378" s="304" t="s">
        <v>174</v>
      </c>
      <c r="C378" s="786">
        <f aca="true" t="shared" si="209" ref="C378">C310+C344</f>
        <v>0</v>
      </c>
      <c r="D378" s="786">
        <f aca="true" t="shared" si="210" ref="D378:E378">D310+D344</f>
        <v>0</v>
      </c>
      <c r="E378" s="786">
        <f t="shared" si="210"/>
        <v>285</v>
      </c>
      <c r="F378" s="786">
        <f aca="true" t="shared" si="211" ref="F378">F310+F344</f>
        <v>285</v>
      </c>
      <c r="G378" s="623">
        <f t="shared" si="160"/>
        <v>1</v>
      </c>
      <c r="H378" s="896"/>
    </row>
    <row r="379" spans="1:8" ht="13.8" thickBot="1">
      <c r="A379" s="302"/>
      <c r="B379" s="305" t="s">
        <v>186</v>
      </c>
      <c r="C379" s="784">
        <f aca="true" t="shared" si="212" ref="C379">SUM(C378)</f>
        <v>0</v>
      </c>
      <c r="D379" s="784">
        <f aca="true" t="shared" si="213" ref="D379:E379">SUM(D378)</f>
        <v>0</v>
      </c>
      <c r="E379" s="784">
        <f t="shared" si="213"/>
        <v>285</v>
      </c>
      <c r="F379" s="784">
        <f aca="true" t="shared" si="214" ref="F379">SUM(F378)</f>
        <v>285</v>
      </c>
      <c r="G379" s="733">
        <f t="shared" si="160"/>
        <v>1</v>
      </c>
      <c r="H379" s="896"/>
    </row>
    <row r="380" spans="1:8" ht="12.75">
      <c r="A380" s="302"/>
      <c r="B380" s="303" t="s">
        <v>176</v>
      </c>
      <c r="C380" s="772">
        <f aca="true" t="shared" si="215" ref="C380">SUM(C381:C382)</f>
        <v>41380</v>
      </c>
      <c r="D380" s="772">
        <f aca="true" t="shared" si="216" ref="D380:E380">SUM(D381:D382)</f>
        <v>41380</v>
      </c>
      <c r="E380" s="772">
        <f t="shared" si="216"/>
        <v>41380</v>
      </c>
      <c r="F380" s="772">
        <f aca="true" t="shared" si="217" ref="F380">SUM(F381:F382)</f>
        <v>32368</v>
      </c>
      <c r="G380" s="307">
        <f t="shared" si="160"/>
        <v>0.7822136297728371</v>
      </c>
      <c r="H380" s="896"/>
    </row>
    <row r="381" spans="1:8" ht="12.75">
      <c r="A381" s="302"/>
      <c r="B381" s="308" t="s">
        <v>177</v>
      </c>
      <c r="C381" s="778">
        <f aca="true" t="shared" si="218" ref="C381">SUM(C347+C313)</f>
        <v>0</v>
      </c>
      <c r="D381" s="778">
        <f aca="true" t="shared" si="219" ref="D381:E381">SUM(D347+D313)</f>
        <v>0</v>
      </c>
      <c r="E381" s="778">
        <f t="shared" si="219"/>
        <v>0</v>
      </c>
      <c r="F381" s="778">
        <f aca="true" t="shared" si="220" ref="F381">SUM(F347+F313)</f>
        <v>0</v>
      </c>
      <c r="G381" s="307"/>
      <c r="H381" s="896"/>
    </row>
    <row r="382" spans="1:8" ht="12.75">
      <c r="A382" s="302"/>
      <c r="B382" s="308" t="s">
        <v>178</v>
      </c>
      <c r="C382" s="778">
        <f aca="true" t="shared" si="221" ref="C382">SUM(C348+C314)</f>
        <v>41380</v>
      </c>
      <c r="D382" s="778">
        <f aca="true" t="shared" si="222" ref="D382:E382">SUM(D348+D314)</f>
        <v>41380</v>
      </c>
      <c r="E382" s="778">
        <f t="shared" si="222"/>
        <v>41380</v>
      </c>
      <c r="F382" s="778">
        <f aca="true" t="shared" si="223" ref="F382">SUM(F348+F314)</f>
        <v>32368</v>
      </c>
      <c r="G382" s="307">
        <f t="shared" si="160"/>
        <v>0.7822136297728371</v>
      </c>
      <c r="H382" s="897"/>
    </row>
    <row r="383" spans="1:8" ht="12.75">
      <c r="A383" s="302"/>
      <c r="B383" s="309" t="s">
        <v>179</v>
      </c>
      <c r="C383" s="772">
        <f aca="true" t="shared" si="224" ref="C383">SUM(C349+C315)</f>
        <v>8845</v>
      </c>
      <c r="D383" s="772">
        <f aca="true" t="shared" si="225" ref="D383:E383">SUM(D349+D315)</f>
        <v>8845</v>
      </c>
      <c r="E383" s="772">
        <f t="shared" si="225"/>
        <v>8845</v>
      </c>
      <c r="F383" s="772">
        <f aca="true" t="shared" si="226" ref="F383">SUM(F349+F315)</f>
        <v>8111</v>
      </c>
      <c r="G383" s="307">
        <f t="shared" si="160"/>
        <v>0.917015262860373</v>
      </c>
      <c r="H383" s="897"/>
    </row>
    <row r="384" spans="1:8" ht="12.75">
      <c r="A384" s="302"/>
      <c r="B384" s="309" t="s">
        <v>180</v>
      </c>
      <c r="C384" s="772">
        <f aca="true" t="shared" si="227" ref="C384">SUM(C350+C316)</f>
        <v>137137</v>
      </c>
      <c r="D384" s="772">
        <f aca="true" t="shared" si="228" ref="D384:E384">SUM(D350+D316)</f>
        <v>137137</v>
      </c>
      <c r="E384" s="772">
        <f t="shared" si="228"/>
        <v>137137</v>
      </c>
      <c r="F384" s="772">
        <f aca="true" t="shared" si="229" ref="F384">SUM(F350+F316)</f>
        <v>67859</v>
      </c>
      <c r="G384" s="307">
        <f t="shared" si="160"/>
        <v>0.49482634154167</v>
      </c>
      <c r="H384" s="897"/>
    </row>
    <row r="385" spans="1:8" ht="12.75">
      <c r="A385" s="302"/>
      <c r="B385" s="309" t="s">
        <v>181</v>
      </c>
      <c r="C385" s="772">
        <f aca="true" t="shared" si="230" ref="C385">SUM(C351+C317)</f>
        <v>50588</v>
      </c>
      <c r="D385" s="772">
        <f aca="true" t="shared" si="231" ref="D385:E385">SUM(D351+D317)</f>
        <v>50588</v>
      </c>
      <c r="E385" s="772">
        <f t="shared" si="231"/>
        <v>50588</v>
      </c>
      <c r="F385" s="772">
        <f aca="true" t="shared" si="232" ref="F385">SUM(F351+F317)</f>
        <v>29201</v>
      </c>
      <c r="G385" s="307">
        <f t="shared" si="160"/>
        <v>0.5772317545663003</v>
      </c>
      <c r="H385" s="897"/>
    </row>
    <row r="386" spans="1:8" ht="12.75">
      <c r="A386" s="302"/>
      <c r="B386" s="309" t="s">
        <v>328</v>
      </c>
      <c r="C386" s="772">
        <f aca="true" t="shared" si="233" ref="C386">C318</f>
        <v>0</v>
      </c>
      <c r="D386" s="772">
        <f aca="true" t="shared" si="234" ref="D386:E386">D318</f>
        <v>0</v>
      </c>
      <c r="E386" s="772">
        <f t="shared" si="234"/>
        <v>0</v>
      </c>
      <c r="F386" s="772">
        <f aca="true" t="shared" si="235" ref="F386">F318</f>
        <v>0</v>
      </c>
      <c r="G386" s="307"/>
      <c r="H386" s="896"/>
    </row>
    <row r="387" spans="1:8" ht="12.75">
      <c r="A387" s="302"/>
      <c r="B387" s="310" t="s">
        <v>424</v>
      </c>
      <c r="C387" s="772">
        <f aca="true" t="shared" si="236" ref="C387">SUM(C352+C319)</f>
        <v>0</v>
      </c>
      <c r="D387" s="772">
        <f aca="true" t="shared" si="237" ref="D387:E387">SUM(D352+D319)</f>
        <v>0</v>
      </c>
      <c r="E387" s="772">
        <f t="shared" si="237"/>
        <v>0</v>
      </c>
      <c r="F387" s="772">
        <v>1</v>
      </c>
      <c r="G387" s="307">
        <v>1</v>
      </c>
      <c r="H387" s="896"/>
    </row>
    <row r="388" spans="1:8" ht="13.8" thickBot="1">
      <c r="A388" s="302"/>
      <c r="B388" s="311" t="s">
        <v>182</v>
      </c>
      <c r="C388" s="772">
        <f aca="true" t="shared" si="238" ref="C388">SUM(C353+C320)</f>
        <v>0</v>
      </c>
      <c r="D388" s="772">
        <f aca="true" t="shared" si="239" ref="D388:E388">SUM(D353+D320)</f>
        <v>0</v>
      </c>
      <c r="E388" s="772">
        <f t="shared" si="239"/>
        <v>0</v>
      </c>
      <c r="F388" s="772">
        <v>179</v>
      </c>
      <c r="G388" s="623">
        <v>1</v>
      </c>
      <c r="H388" s="896"/>
    </row>
    <row r="389" spans="1:8" ht="13.8" thickBot="1">
      <c r="A389" s="302"/>
      <c r="B389" s="312" t="s">
        <v>324</v>
      </c>
      <c r="C389" s="774">
        <f aca="true" t="shared" si="240" ref="C389">SUM(C380+C383+C384+C385+C388+C386+C387)</f>
        <v>237950</v>
      </c>
      <c r="D389" s="774">
        <f aca="true" t="shared" si="241" ref="D389:E389">SUM(D380+D383+D384+D385+D388+D386+D387)</f>
        <v>237950</v>
      </c>
      <c r="E389" s="774">
        <f t="shared" si="241"/>
        <v>237950</v>
      </c>
      <c r="F389" s="774">
        <f aca="true" t="shared" si="242" ref="F389">SUM(F380+F383+F384+F385+F388+F386+F387)</f>
        <v>137719</v>
      </c>
      <c r="G389" s="722">
        <f t="shared" si="160"/>
        <v>0.5787728514393781</v>
      </c>
      <c r="H389" s="896"/>
    </row>
    <row r="390" spans="1:8" ht="13.8" thickBot="1">
      <c r="A390" s="302"/>
      <c r="B390" s="314" t="s">
        <v>58</v>
      </c>
      <c r="C390" s="1039">
        <f aca="true" t="shared" si="243" ref="C390">SUM(C389+C379)</f>
        <v>237950</v>
      </c>
      <c r="D390" s="1039">
        <f aca="true" t="shared" si="244" ref="D390:E390">SUM(D389+D379)</f>
        <v>237950</v>
      </c>
      <c r="E390" s="1039">
        <f t="shared" si="244"/>
        <v>238235</v>
      </c>
      <c r="F390" s="1039">
        <f aca="true" t="shared" si="245" ref="F390">SUM(F389+F379)</f>
        <v>138004</v>
      </c>
      <c r="G390" s="722">
        <f t="shared" si="160"/>
        <v>0.5792767645392155</v>
      </c>
      <c r="H390" s="896"/>
    </row>
    <row r="391" spans="1:8" ht="12.75">
      <c r="A391" s="302"/>
      <c r="B391" s="644" t="s">
        <v>437</v>
      </c>
      <c r="C391" s="789">
        <f aca="true" t="shared" si="246" ref="C391">SUM(C323)</f>
        <v>0</v>
      </c>
      <c r="D391" s="782">
        <f aca="true" t="shared" si="247" ref="D391:E391">SUM(D323)</f>
        <v>0</v>
      </c>
      <c r="E391" s="782">
        <f t="shared" si="247"/>
        <v>0</v>
      </c>
      <c r="F391" s="782">
        <f aca="true" t="shared" si="248" ref="F391">SUM(F323)</f>
        <v>0</v>
      </c>
      <c r="G391" s="307"/>
      <c r="H391" s="896"/>
    </row>
    <row r="392" spans="1:8" ht="13.8" thickBot="1">
      <c r="A392" s="302"/>
      <c r="B392" s="642" t="s">
        <v>438</v>
      </c>
      <c r="C392" s="780">
        <f aca="true" t="shared" si="249" ref="C392">SUM(C356)</f>
        <v>0</v>
      </c>
      <c r="D392" s="780">
        <f aca="true" t="shared" si="250" ref="D392:E392">SUM(D356)</f>
        <v>0</v>
      </c>
      <c r="E392" s="780">
        <f t="shared" si="250"/>
        <v>0</v>
      </c>
      <c r="F392" s="780">
        <f aca="true" t="shared" si="251" ref="F392">SUM(F356)</f>
        <v>0</v>
      </c>
      <c r="G392" s="623"/>
      <c r="H392" s="896"/>
    </row>
    <row r="393" spans="1:8" ht="13.8" thickBot="1">
      <c r="A393" s="302"/>
      <c r="B393" s="315" t="s">
        <v>59</v>
      </c>
      <c r="C393" s="790">
        <f aca="true" t="shared" si="252" ref="C393">SUM(C391:C392)</f>
        <v>0</v>
      </c>
      <c r="D393" s="790">
        <f aca="true" t="shared" si="253" ref="D393:E393">SUM(D391:D392)</f>
        <v>0</v>
      </c>
      <c r="E393" s="790">
        <f t="shared" si="253"/>
        <v>0</v>
      </c>
      <c r="F393" s="790">
        <f aca="true" t="shared" si="254" ref="F393">SUM(F391:F392)</f>
        <v>0</v>
      </c>
      <c r="G393" s="733"/>
      <c r="H393" s="896"/>
    </row>
    <row r="394" spans="1:8" ht="12.75">
      <c r="A394" s="302"/>
      <c r="B394" s="637" t="s">
        <v>397</v>
      </c>
      <c r="C394" s="782">
        <f aca="true" t="shared" si="255" ref="C394">SUM(C358+C325)</f>
        <v>0</v>
      </c>
      <c r="D394" s="782">
        <f aca="true" t="shared" si="256" ref="D394:E394">SUM(D358+D325)</f>
        <v>16720</v>
      </c>
      <c r="E394" s="782">
        <f t="shared" si="256"/>
        <v>16720</v>
      </c>
      <c r="F394" s="782">
        <f aca="true" t="shared" si="257" ref="F394">SUM(F358+F325)</f>
        <v>16720</v>
      </c>
      <c r="G394" s="307">
        <f t="shared" si="160"/>
        <v>1</v>
      </c>
      <c r="H394" s="896"/>
    </row>
    <row r="395" spans="1:8" ht="12.75">
      <c r="A395" s="302"/>
      <c r="B395" s="317" t="s">
        <v>430</v>
      </c>
      <c r="C395" s="772">
        <f aca="true" t="shared" si="258" ref="C395">SUM(C359+C326)</f>
        <v>2327209</v>
      </c>
      <c r="D395" s="772">
        <f aca="true" t="shared" si="259" ref="D395">SUM(D359+D326)</f>
        <v>2428635</v>
      </c>
      <c r="E395" s="772">
        <f>SUM(E359+E326)</f>
        <v>2484745</v>
      </c>
      <c r="F395" s="772">
        <f>SUM(F359+F326)</f>
        <v>1581644</v>
      </c>
      <c r="G395" s="307">
        <f aca="true" t="shared" si="260" ref="G395:G457">F395/E395</f>
        <v>0.6365417779289223</v>
      </c>
      <c r="H395" s="897"/>
    </row>
    <row r="396" spans="1:8" ht="13.8" thickBot="1">
      <c r="A396" s="302"/>
      <c r="B396" s="318" t="s">
        <v>433</v>
      </c>
      <c r="C396" s="773">
        <f aca="true" t="shared" si="261" ref="C396">SUM(C360)</f>
        <v>410404</v>
      </c>
      <c r="D396" s="773">
        <f aca="true" t="shared" si="262" ref="D396:E396">SUM(D360)</f>
        <v>445404</v>
      </c>
      <c r="E396" s="773">
        <f t="shared" si="262"/>
        <v>445404</v>
      </c>
      <c r="F396" s="773">
        <f aca="true" t="shared" si="263" ref="F396">SUM(F360)</f>
        <v>261141</v>
      </c>
      <c r="G396" s="623">
        <f t="shared" si="260"/>
        <v>0.5863014252229437</v>
      </c>
      <c r="H396" s="897"/>
    </row>
    <row r="397" spans="1:8" ht="13.8" thickBot="1">
      <c r="A397" s="302"/>
      <c r="B397" s="319" t="s">
        <v>52</v>
      </c>
      <c r="C397" s="781">
        <f aca="true" t="shared" si="264" ref="C397">SUM(C394:C396)</f>
        <v>2737613</v>
      </c>
      <c r="D397" s="781">
        <f aca="true" t="shared" si="265" ref="D397:E397">SUM(D394:D396)</f>
        <v>2890759</v>
      </c>
      <c r="E397" s="781">
        <f t="shared" si="265"/>
        <v>2946869</v>
      </c>
      <c r="F397" s="781">
        <f aca="true" t="shared" si="266" ref="F397">SUM(F394:F396)</f>
        <v>1859505</v>
      </c>
      <c r="G397" s="722">
        <f t="shared" si="260"/>
        <v>0.6310104046023084</v>
      </c>
      <c r="H397" s="896"/>
    </row>
    <row r="398" spans="1:8" ht="13.8" thickBot="1">
      <c r="A398" s="302"/>
      <c r="B398" s="241" t="s">
        <v>397</v>
      </c>
      <c r="C398" s="780">
        <f>SUM(C329)</f>
        <v>0</v>
      </c>
      <c r="D398" s="780">
        <f>SUM(D329)+D362</f>
        <v>4284</v>
      </c>
      <c r="E398" s="780">
        <f>SUM(E329)+E362</f>
        <v>4284</v>
      </c>
      <c r="F398" s="780">
        <f>SUM(F329)+F362</f>
        <v>4284</v>
      </c>
      <c r="G398" s="733">
        <f t="shared" si="260"/>
        <v>1</v>
      </c>
      <c r="H398" s="896"/>
    </row>
    <row r="399" spans="1:8" ht="13.8" thickBot="1">
      <c r="A399" s="302"/>
      <c r="B399" s="319" t="s">
        <v>54</v>
      </c>
      <c r="C399" s="781">
        <f aca="true" t="shared" si="267" ref="C399">SUM(C398)</f>
        <v>0</v>
      </c>
      <c r="D399" s="781">
        <f aca="true" t="shared" si="268" ref="D399:E399">SUM(D398)</f>
        <v>4284</v>
      </c>
      <c r="E399" s="781">
        <f t="shared" si="268"/>
        <v>4284</v>
      </c>
      <c r="F399" s="781">
        <f aca="true" t="shared" si="269" ref="F399">SUM(F398)</f>
        <v>4284</v>
      </c>
      <c r="G399" s="722">
        <f t="shared" si="260"/>
        <v>1</v>
      </c>
      <c r="H399" s="896"/>
    </row>
    <row r="400" spans="1:8" ht="14.4" thickBot="1">
      <c r="A400" s="302"/>
      <c r="B400" s="321" t="s">
        <v>66</v>
      </c>
      <c r="C400" s="774">
        <f aca="true" t="shared" si="270" ref="C400">SUM(C390+C393+C397+C399)</f>
        <v>2975563</v>
      </c>
      <c r="D400" s="774">
        <f>SUM(D390+D393+D397+D399)</f>
        <v>3132993</v>
      </c>
      <c r="E400" s="774">
        <f>SUM(E390+E393+E397+E399)</f>
        <v>3189388</v>
      </c>
      <c r="F400" s="774">
        <f>SUM(F390+F393+F397+F399)</f>
        <v>2001793</v>
      </c>
      <c r="G400" s="722">
        <f t="shared" si="260"/>
        <v>0.6276417293850732</v>
      </c>
      <c r="H400" s="896"/>
    </row>
    <row r="401" spans="1:8" ht="12.75">
      <c r="A401" s="302"/>
      <c r="B401" s="322" t="s">
        <v>304</v>
      </c>
      <c r="C401" s="772">
        <f aca="true" t="shared" si="271" ref="C401">SUM(C365+C331)</f>
        <v>1647775</v>
      </c>
      <c r="D401" s="772">
        <f aca="true" t="shared" si="272" ref="D401:E401">SUM(D365+D331)</f>
        <v>1655499</v>
      </c>
      <c r="E401" s="772">
        <f t="shared" si="272"/>
        <v>1660788</v>
      </c>
      <c r="F401" s="772">
        <f aca="true" t="shared" si="273" ref="F401">SUM(F365+F331)</f>
        <v>1116566</v>
      </c>
      <c r="G401" s="307">
        <f t="shared" si="260"/>
        <v>0.6723109752719794</v>
      </c>
      <c r="H401" s="897"/>
    </row>
    <row r="402" spans="1:8" ht="12.75">
      <c r="A402" s="302"/>
      <c r="B402" s="322" t="s">
        <v>305</v>
      </c>
      <c r="C402" s="772">
        <f aca="true" t="shared" si="274" ref="C402">SUM(C366+C332)</f>
        <v>275959</v>
      </c>
      <c r="D402" s="772">
        <f aca="true" t="shared" si="275" ref="D402:E402">SUM(D366+D332)</f>
        <v>279381</v>
      </c>
      <c r="E402" s="772">
        <f t="shared" si="275"/>
        <v>280202</v>
      </c>
      <c r="F402" s="772">
        <f aca="true" t="shared" si="276" ref="F402">SUM(F366+F332)</f>
        <v>187573</v>
      </c>
      <c r="G402" s="307">
        <f t="shared" si="260"/>
        <v>0.6694206322581566</v>
      </c>
      <c r="H402" s="897"/>
    </row>
    <row r="403" spans="1:8" ht="12.75">
      <c r="A403" s="302"/>
      <c r="B403" s="322" t="s">
        <v>306</v>
      </c>
      <c r="C403" s="772">
        <f aca="true" t="shared" si="277" ref="C403">SUM(C367+C333)</f>
        <v>1044729</v>
      </c>
      <c r="D403" s="772">
        <f aca="true" t="shared" si="278" ref="D403:E403">SUM(D367+D333)</f>
        <v>1186729</v>
      </c>
      <c r="E403" s="772">
        <f t="shared" si="278"/>
        <v>1198744</v>
      </c>
      <c r="F403" s="772">
        <f aca="true" t="shared" si="279" ref="F403">SUM(F367+F333)</f>
        <v>619027</v>
      </c>
      <c r="G403" s="307">
        <f t="shared" si="260"/>
        <v>0.5163963281568041</v>
      </c>
      <c r="H403" s="897"/>
    </row>
    <row r="404" spans="1:8" ht="12.75">
      <c r="A404" s="302"/>
      <c r="B404" s="323" t="s">
        <v>308</v>
      </c>
      <c r="C404" s="772">
        <f aca="true" t="shared" si="280" ref="C404">SUM(C368+C334)</f>
        <v>0</v>
      </c>
      <c r="D404" s="772">
        <f aca="true" t="shared" si="281" ref="D404:E404">SUM(D368+D334)</f>
        <v>0</v>
      </c>
      <c r="E404" s="772">
        <f t="shared" si="281"/>
        <v>0</v>
      </c>
      <c r="F404" s="772">
        <f aca="true" t="shared" si="282" ref="F404">SUM(F368+F334)</f>
        <v>0</v>
      </c>
      <c r="G404" s="307"/>
      <c r="H404" s="896"/>
    </row>
    <row r="405" spans="1:8" ht="13.8" thickBot="1">
      <c r="A405" s="302"/>
      <c r="B405" s="324" t="s">
        <v>307</v>
      </c>
      <c r="C405" s="772">
        <f aca="true" t="shared" si="283" ref="C405">SUM(C369+C335)</f>
        <v>0</v>
      </c>
      <c r="D405" s="772">
        <f aca="true" t="shared" si="284" ref="D405:E405">SUM(D369+D335)</f>
        <v>0</v>
      </c>
      <c r="E405" s="772">
        <f t="shared" si="284"/>
        <v>1270</v>
      </c>
      <c r="F405" s="772">
        <f aca="true" t="shared" si="285" ref="F405">SUM(F369+F335)</f>
        <v>1270</v>
      </c>
      <c r="G405" s="623">
        <f t="shared" si="260"/>
        <v>1</v>
      </c>
      <c r="H405" s="896"/>
    </row>
    <row r="406" spans="1:8" ht="13.8" thickBot="1">
      <c r="A406" s="302"/>
      <c r="B406" s="325" t="s">
        <v>51</v>
      </c>
      <c r="C406" s="774">
        <f aca="true" t="shared" si="286" ref="C406">SUM(C401:C405)</f>
        <v>2968463</v>
      </c>
      <c r="D406" s="774">
        <f aca="true" t="shared" si="287" ref="D406:E406">SUM(D401:D405)</f>
        <v>3121609</v>
      </c>
      <c r="E406" s="774">
        <f t="shared" si="287"/>
        <v>3141004</v>
      </c>
      <c r="F406" s="774">
        <f aca="true" t="shared" si="288" ref="F406">SUM(F401:F405)</f>
        <v>1924436</v>
      </c>
      <c r="G406" s="722">
        <f t="shared" si="260"/>
        <v>0.6126818049260683</v>
      </c>
      <c r="H406" s="896"/>
    </row>
    <row r="407" spans="1:8" ht="12.75">
      <c r="A407" s="302"/>
      <c r="B407" s="322" t="s">
        <v>231</v>
      </c>
      <c r="C407" s="772">
        <f aca="true" t="shared" si="289" ref="C407">SUM(C371+C337)</f>
        <v>7100</v>
      </c>
      <c r="D407" s="772">
        <f aca="true" t="shared" si="290" ref="D407:E407">SUM(D371+D337)</f>
        <v>11384</v>
      </c>
      <c r="E407" s="772">
        <f t="shared" si="290"/>
        <v>48384</v>
      </c>
      <c r="F407" s="772">
        <f aca="true" t="shared" si="291" ref="F407">SUM(F371+F337)</f>
        <v>13889</v>
      </c>
      <c r="G407" s="307">
        <f t="shared" si="260"/>
        <v>0.287057705026455</v>
      </c>
      <c r="H407" s="897"/>
    </row>
    <row r="408" spans="1:8" ht="12.75">
      <c r="A408" s="302"/>
      <c r="B408" s="322" t="s">
        <v>232</v>
      </c>
      <c r="C408" s="772">
        <f aca="true" t="shared" si="292" ref="C408">SUM(C372+C338)</f>
        <v>0</v>
      </c>
      <c r="D408" s="772">
        <f aca="true" t="shared" si="293" ref="D408:E408">SUM(D372+D338)</f>
        <v>0</v>
      </c>
      <c r="E408" s="772">
        <f t="shared" si="293"/>
        <v>0</v>
      </c>
      <c r="F408" s="772">
        <f aca="true" t="shared" si="294" ref="F408">SUM(F372+F338)</f>
        <v>0</v>
      </c>
      <c r="G408" s="307"/>
      <c r="H408" s="896"/>
    </row>
    <row r="409" spans="1:8" ht="13.8" thickBot="1">
      <c r="A409" s="302"/>
      <c r="B409" s="324" t="s">
        <v>406</v>
      </c>
      <c r="C409" s="773"/>
      <c r="D409" s="773"/>
      <c r="E409" s="773"/>
      <c r="F409" s="773"/>
      <c r="G409" s="623"/>
      <c r="H409" s="896"/>
    </row>
    <row r="410" spans="1:8" ht="13.8" thickBot="1">
      <c r="A410" s="302"/>
      <c r="B410" s="326" t="s">
        <v>57</v>
      </c>
      <c r="C410" s="774">
        <f aca="true" t="shared" si="295" ref="C410">SUM(C407:C409)</f>
        <v>7100</v>
      </c>
      <c r="D410" s="779">
        <f aca="true" t="shared" si="296" ref="D410:E410">SUM(D407:D409)</f>
        <v>11384</v>
      </c>
      <c r="E410" s="779">
        <f t="shared" si="296"/>
        <v>48384</v>
      </c>
      <c r="F410" s="779">
        <f aca="true" t="shared" si="297" ref="F410">SUM(F407:F409)</f>
        <v>13889</v>
      </c>
      <c r="G410" s="734">
        <f t="shared" si="260"/>
        <v>0.287057705026455</v>
      </c>
      <c r="H410" s="896"/>
    </row>
    <row r="411" spans="1:8" ht="14.4" thickBot="1">
      <c r="A411" s="299"/>
      <c r="B411" s="327" t="s">
        <v>103</v>
      </c>
      <c r="C411" s="774">
        <f aca="true" t="shared" si="298" ref="C411">SUM(C406+C410)</f>
        <v>2975563</v>
      </c>
      <c r="D411" s="774">
        <f aca="true" t="shared" si="299" ref="D411:E411">SUM(D406+D410)</f>
        <v>3132993</v>
      </c>
      <c r="E411" s="774">
        <f t="shared" si="299"/>
        <v>3189388</v>
      </c>
      <c r="F411" s="774">
        <f aca="true" t="shared" si="300" ref="F411">SUM(F406+F410)</f>
        <v>1938325</v>
      </c>
      <c r="G411" s="722">
        <f t="shared" si="260"/>
        <v>0.6077419868639375</v>
      </c>
      <c r="H411" s="896"/>
    </row>
    <row r="412" spans="1:8" ht="13.8">
      <c r="A412" s="219">
        <v>2850</v>
      </c>
      <c r="B412" s="222" t="s">
        <v>317</v>
      </c>
      <c r="C412" s="772"/>
      <c r="D412" s="772"/>
      <c r="E412" s="772"/>
      <c r="F412" s="772"/>
      <c r="G412" s="307"/>
      <c r="H412" s="896"/>
    </row>
    <row r="413" spans="1:8" ht="12.6" customHeight="1">
      <c r="A413" s="302"/>
      <c r="B413" s="303" t="s">
        <v>173</v>
      </c>
      <c r="C413" s="775"/>
      <c r="D413" s="775"/>
      <c r="E413" s="775"/>
      <c r="F413" s="775"/>
      <c r="G413" s="307"/>
      <c r="H413" s="896"/>
    </row>
    <row r="414" spans="1:8" ht="13.8" thickBot="1">
      <c r="A414" s="302"/>
      <c r="B414" s="304" t="s">
        <v>174</v>
      </c>
      <c r="C414" s="791"/>
      <c r="D414" s="791"/>
      <c r="E414" s="791"/>
      <c r="F414" s="791"/>
      <c r="G414" s="623"/>
      <c r="H414" s="896"/>
    </row>
    <row r="415" spans="1:8" ht="13.8" thickBot="1">
      <c r="A415" s="302"/>
      <c r="B415" s="305" t="s">
        <v>186</v>
      </c>
      <c r="C415" s="792"/>
      <c r="D415" s="792"/>
      <c r="E415" s="792"/>
      <c r="F415" s="792">
        <f>SUM(F413:F414)</f>
        <v>0</v>
      </c>
      <c r="G415" s="733"/>
      <c r="H415" s="896"/>
    </row>
    <row r="416" spans="1:8" ht="12.75">
      <c r="A416" s="302"/>
      <c r="B416" s="303" t="s">
        <v>176</v>
      </c>
      <c r="C416" s="772">
        <f aca="true" t="shared" si="301" ref="C416:F416">SUM(C417)</f>
        <v>3096</v>
      </c>
      <c r="D416" s="772">
        <f t="shared" si="301"/>
        <v>3096</v>
      </c>
      <c r="E416" s="772">
        <f t="shared" si="301"/>
        <v>3825</v>
      </c>
      <c r="F416" s="772">
        <f t="shared" si="301"/>
        <v>4611</v>
      </c>
      <c r="G416" s="307">
        <f t="shared" si="260"/>
        <v>1.2054901960784314</v>
      </c>
      <c r="H416" s="896"/>
    </row>
    <row r="417" spans="1:8" ht="12.75">
      <c r="A417" s="302"/>
      <c r="B417" s="308" t="s">
        <v>177</v>
      </c>
      <c r="C417" s="778">
        <v>3096</v>
      </c>
      <c r="D417" s="778">
        <v>3096</v>
      </c>
      <c r="E417" s="778">
        <f>3096+729</f>
        <v>3825</v>
      </c>
      <c r="F417" s="778">
        <v>4611</v>
      </c>
      <c r="G417" s="307">
        <f t="shared" si="260"/>
        <v>1.2054901960784314</v>
      </c>
      <c r="H417" s="896"/>
    </row>
    <row r="418" spans="1:8" ht="12.75">
      <c r="A418" s="302"/>
      <c r="B418" s="308" t="s">
        <v>178</v>
      </c>
      <c r="C418" s="778"/>
      <c r="D418" s="778"/>
      <c r="E418" s="778"/>
      <c r="F418" s="778"/>
      <c r="G418" s="307"/>
      <c r="H418" s="896"/>
    </row>
    <row r="419" spans="1:8" ht="12.75">
      <c r="A419" s="302"/>
      <c r="B419" s="309" t="s">
        <v>179</v>
      </c>
      <c r="C419" s="772"/>
      <c r="D419" s="772"/>
      <c r="E419" s="772"/>
      <c r="F419" s="772"/>
      <c r="G419" s="307"/>
      <c r="H419" s="897"/>
    </row>
    <row r="420" spans="1:8" ht="12.75">
      <c r="A420" s="302"/>
      <c r="B420" s="309" t="s">
        <v>180</v>
      </c>
      <c r="C420" s="772">
        <v>14220</v>
      </c>
      <c r="D420" s="772">
        <v>14220</v>
      </c>
      <c r="E420" s="772">
        <v>14220</v>
      </c>
      <c r="F420" s="772">
        <v>9118</v>
      </c>
      <c r="G420" s="307">
        <f t="shared" si="260"/>
        <v>0.6412095639943741</v>
      </c>
      <c r="H420" s="897"/>
    </row>
    <row r="421" spans="1:8" ht="12.75">
      <c r="A421" s="302"/>
      <c r="B421" s="309" t="s">
        <v>181</v>
      </c>
      <c r="C421" s="772">
        <v>3840</v>
      </c>
      <c r="D421" s="772">
        <v>3840</v>
      </c>
      <c r="E421" s="772">
        <v>3840</v>
      </c>
      <c r="F421" s="772">
        <v>3218</v>
      </c>
      <c r="G421" s="307">
        <f t="shared" si="260"/>
        <v>0.8380208333333333</v>
      </c>
      <c r="H421" s="897"/>
    </row>
    <row r="422" spans="1:8" ht="12.75">
      <c r="A422" s="302"/>
      <c r="B422" s="309" t="s">
        <v>328</v>
      </c>
      <c r="C422" s="772"/>
      <c r="D422" s="772"/>
      <c r="E422" s="772"/>
      <c r="F422" s="772"/>
      <c r="G422" s="307"/>
      <c r="H422" s="896"/>
    </row>
    <row r="423" spans="1:8" ht="12.75">
      <c r="A423" s="302"/>
      <c r="B423" s="310" t="s">
        <v>424</v>
      </c>
      <c r="C423" s="772"/>
      <c r="D423" s="772"/>
      <c r="E423" s="772"/>
      <c r="F423" s="772"/>
      <c r="G423" s="307"/>
      <c r="H423" s="896"/>
    </row>
    <row r="424" spans="1:8" ht="13.8" thickBot="1">
      <c r="A424" s="302"/>
      <c r="B424" s="311" t="s">
        <v>182</v>
      </c>
      <c r="C424" s="772"/>
      <c r="D424" s="772"/>
      <c r="E424" s="772"/>
      <c r="F424" s="772"/>
      <c r="G424" s="623"/>
      <c r="H424" s="896"/>
    </row>
    <row r="425" spans="1:8" ht="13.8" thickBot="1">
      <c r="A425" s="302"/>
      <c r="B425" s="312" t="s">
        <v>324</v>
      </c>
      <c r="C425" s="774">
        <f aca="true" t="shared" si="302" ref="C425">SUM(C416+C419+C420+C421+C424+C422)</f>
        <v>21156</v>
      </c>
      <c r="D425" s="774">
        <f aca="true" t="shared" si="303" ref="D425:E425">SUM(D416+D419+D420+D421+D424+D422)</f>
        <v>21156</v>
      </c>
      <c r="E425" s="774">
        <f t="shared" si="303"/>
        <v>21885</v>
      </c>
      <c r="F425" s="774">
        <f aca="true" t="shared" si="304" ref="F425">SUM(F416+F419+F420+F421+F424+F422)</f>
        <v>16947</v>
      </c>
      <c r="G425" s="722">
        <f t="shared" si="260"/>
        <v>0.7743660041124057</v>
      </c>
      <c r="H425" s="896"/>
    </row>
    <row r="426" spans="1:8" ht="13.8" thickBot="1">
      <c r="A426" s="302"/>
      <c r="B426" s="314" t="s">
        <v>58</v>
      </c>
      <c r="C426" s="1039">
        <f aca="true" t="shared" si="305" ref="C426">SUM(C425+C415)</f>
        <v>21156</v>
      </c>
      <c r="D426" s="1026">
        <f aca="true" t="shared" si="306" ref="D426:E426">SUM(D425+D415)</f>
        <v>21156</v>
      </c>
      <c r="E426" s="1026">
        <f t="shared" si="306"/>
        <v>21885</v>
      </c>
      <c r="F426" s="1026">
        <f aca="true" t="shared" si="307" ref="F426">SUM(F425+F415)</f>
        <v>16947</v>
      </c>
      <c r="G426" s="734">
        <f t="shared" si="260"/>
        <v>0.7743660041124057</v>
      </c>
      <c r="H426" s="896"/>
    </row>
    <row r="427" spans="1:8" ht="13.8" thickBot="1">
      <c r="A427" s="302"/>
      <c r="B427" s="315" t="s">
        <v>59</v>
      </c>
      <c r="C427" s="780"/>
      <c r="D427" s="780"/>
      <c r="E427" s="780"/>
      <c r="F427" s="780"/>
      <c r="G427" s="733"/>
      <c r="H427" s="896"/>
    </row>
    <row r="428" spans="1:8" ht="12.75">
      <c r="A428" s="302"/>
      <c r="B428" s="637" t="s">
        <v>397</v>
      </c>
      <c r="C428" s="782"/>
      <c r="D428" s="782">
        <v>2314</v>
      </c>
      <c r="E428" s="782">
        <v>2314</v>
      </c>
      <c r="F428" s="782">
        <v>2314</v>
      </c>
      <c r="G428" s="307">
        <f t="shared" si="260"/>
        <v>1</v>
      </c>
      <c r="H428" s="896"/>
    </row>
    <row r="429" spans="1:8" ht="12.75">
      <c r="A429" s="302"/>
      <c r="B429" s="125" t="s">
        <v>411</v>
      </c>
      <c r="C429" s="782"/>
      <c r="D429" s="782">
        <v>13</v>
      </c>
      <c r="E429" s="782">
        <v>13</v>
      </c>
      <c r="F429" s="782">
        <v>13</v>
      </c>
      <c r="G429" s="307">
        <f t="shared" si="260"/>
        <v>1</v>
      </c>
      <c r="H429" s="896"/>
    </row>
    <row r="430" spans="1:8" ht="12.75">
      <c r="A430" s="302"/>
      <c r="B430" s="317" t="s">
        <v>430</v>
      </c>
      <c r="C430" s="772">
        <v>601037</v>
      </c>
      <c r="D430" s="772">
        <v>605682</v>
      </c>
      <c r="E430" s="772">
        <f>605682+2461+578</f>
        <v>608721</v>
      </c>
      <c r="F430" s="772">
        <v>398473</v>
      </c>
      <c r="G430" s="307">
        <f t="shared" si="260"/>
        <v>0.6546069545818199</v>
      </c>
      <c r="H430" s="897"/>
    </row>
    <row r="431" spans="1:8" ht="13.8" thickBot="1">
      <c r="A431" s="302"/>
      <c r="B431" s="318" t="s">
        <v>433</v>
      </c>
      <c r="C431" s="773">
        <v>22248</v>
      </c>
      <c r="D431" s="773">
        <v>22248</v>
      </c>
      <c r="E431" s="773">
        <v>22248</v>
      </c>
      <c r="F431" s="773">
        <v>4065</v>
      </c>
      <c r="G431" s="623">
        <f t="shared" si="260"/>
        <v>0.18271305285868392</v>
      </c>
      <c r="H431" s="897"/>
    </row>
    <row r="432" spans="1:8" ht="13.8" thickBot="1">
      <c r="A432" s="302"/>
      <c r="B432" s="319" t="s">
        <v>52</v>
      </c>
      <c r="C432" s="790">
        <f aca="true" t="shared" si="308" ref="C432">SUM(C428:C431)</f>
        <v>623285</v>
      </c>
      <c r="D432" s="790">
        <f aca="true" t="shared" si="309" ref="D432:F432">SUM(D428:D431)</f>
        <v>630257</v>
      </c>
      <c r="E432" s="790">
        <f t="shared" si="309"/>
        <v>633296</v>
      </c>
      <c r="F432" s="790">
        <f t="shared" si="309"/>
        <v>404865</v>
      </c>
      <c r="G432" s="722">
        <f t="shared" si="260"/>
        <v>0.6392982112629797</v>
      </c>
      <c r="H432" s="896"/>
    </row>
    <row r="433" spans="1:8" ht="13.8" thickBot="1">
      <c r="A433" s="302"/>
      <c r="B433" s="241" t="s">
        <v>397</v>
      </c>
      <c r="C433" s="780"/>
      <c r="D433" s="780">
        <v>320</v>
      </c>
      <c r="E433" s="780">
        <v>320</v>
      </c>
      <c r="F433" s="780">
        <v>320</v>
      </c>
      <c r="G433" s="733">
        <f t="shared" si="260"/>
        <v>1</v>
      </c>
      <c r="H433" s="896"/>
    </row>
    <row r="434" spans="1:8" ht="13.8" thickBot="1">
      <c r="A434" s="302"/>
      <c r="B434" s="319" t="s">
        <v>54</v>
      </c>
      <c r="C434" s="781">
        <f aca="true" t="shared" si="310" ref="C434">SUM(C433)</f>
        <v>0</v>
      </c>
      <c r="D434" s="781">
        <f aca="true" t="shared" si="311" ref="D434:E434">SUM(D433)</f>
        <v>320</v>
      </c>
      <c r="E434" s="781">
        <f t="shared" si="311"/>
        <v>320</v>
      </c>
      <c r="F434" s="781">
        <f aca="true" t="shared" si="312" ref="F434">SUM(F433)</f>
        <v>320</v>
      </c>
      <c r="G434" s="722">
        <f t="shared" si="260"/>
        <v>1</v>
      </c>
      <c r="H434" s="896"/>
    </row>
    <row r="435" spans="1:8" ht="14.4" thickBot="1">
      <c r="A435" s="302"/>
      <c r="B435" s="321" t="s">
        <v>66</v>
      </c>
      <c r="C435" s="779">
        <f>SUM(C426+C427+C432)</f>
        <v>644441</v>
      </c>
      <c r="D435" s="779">
        <f>SUM(D426+D427+D432)+D434</f>
        <v>651733</v>
      </c>
      <c r="E435" s="779">
        <f>SUM(E426+E427+E432)+E434</f>
        <v>655501</v>
      </c>
      <c r="F435" s="779">
        <f>SUM(F426+F427+F432)+F434</f>
        <v>422132</v>
      </c>
      <c r="G435" s="734">
        <f t="shared" si="260"/>
        <v>0.6439837620385018</v>
      </c>
      <c r="H435" s="896"/>
    </row>
    <row r="436" spans="1:8" ht="12.75" customHeight="1">
      <c r="A436" s="302"/>
      <c r="B436" s="322" t="s">
        <v>304</v>
      </c>
      <c r="C436" s="772">
        <v>495317</v>
      </c>
      <c r="D436" s="772">
        <v>498743</v>
      </c>
      <c r="E436" s="772">
        <f>498743+2140+500</f>
        <v>501383</v>
      </c>
      <c r="F436" s="772">
        <v>332694</v>
      </c>
      <c r="G436" s="307">
        <f t="shared" si="260"/>
        <v>0.6635526134711388</v>
      </c>
      <c r="H436" s="897"/>
    </row>
    <row r="437" spans="1:8" ht="12.75">
      <c r="A437" s="302"/>
      <c r="B437" s="322" t="s">
        <v>305</v>
      </c>
      <c r="C437" s="772">
        <v>84517</v>
      </c>
      <c r="D437" s="772">
        <v>85111</v>
      </c>
      <c r="E437" s="772">
        <f>85111+321+78</f>
        <v>85510</v>
      </c>
      <c r="F437" s="772">
        <v>58513</v>
      </c>
      <c r="G437" s="307">
        <f t="shared" si="260"/>
        <v>0.6842825400537949</v>
      </c>
      <c r="H437" s="897"/>
    </row>
    <row r="438" spans="1:8" ht="12.75">
      <c r="A438" s="302"/>
      <c r="B438" s="322" t="s">
        <v>306</v>
      </c>
      <c r="C438" s="772">
        <v>62107</v>
      </c>
      <c r="D438" s="772">
        <v>65058</v>
      </c>
      <c r="E438" s="772">
        <f>65058+728</f>
        <v>65786</v>
      </c>
      <c r="F438" s="772">
        <v>29960</v>
      </c>
      <c r="G438" s="307">
        <f t="shared" si="260"/>
        <v>0.45541604596722707</v>
      </c>
      <c r="H438" s="897"/>
    </row>
    <row r="439" spans="1:8" ht="12.75">
      <c r="A439" s="302"/>
      <c r="B439" s="323" t="s">
        <v>308</v>
      </c>
      <c r="C439" s="772"/>
      <c r="D439" s="772"/>
      <c r="E439" s="772"/>
      <c r="F439" s="772"/>
      <c r="G439" s="307"/>
      <c r="H439" s="896"/>
    </row>
    <row r="440" spans="1:8" ht="13.8" thickBot="1">
      <c r="A440" s="302"/>
      <c r="B440" s="324" t="s">
        <v>307</v>
      </c>
      <c r="C440" s="772"/>
      <c r="D440" s="772">
        <v>1</v>
      </c>
      <c r="E440" s="772">
        <v>2</v>
      </c>
      <c r="F440" s="772">
        <v>1</v>
      </c>
      <c r="G440" s="623">
        <f t="shared" si="260"/>
        <v>0.5</v>
      </c>
      <c r="H440" s="896"/>
    </row>
    <row r="441" spans="1:8" ht="13.8" thickBot="1">
      <c r="A441" s="302"/>
      <c r="B441" s="325" t="s">
        <v>51</v>
      </c>
      <c r="C441" s="774">
        <f aca="true" t="shared" si="313" ref="C441">SUM(C436:C440)</f>
        <v>641941</v>
      </c>
      <c r="D441" s="774">
        <f aca="true" t="shared" si="314" ref="D441:F441">SUM(D436:D440)</f>
        <v>648913</v>
      </c>
      <c r="E441" s="774">
        <f t="shared" si="314"/>
        <v>652681</v>
      </c>
      <c r="F441" s="774">
        <f t="shared" si="314"/>
        <v>421168</v>
      </c>
      <c r="G441" s="722">
        <f t="shared" si="260"/>
        <v>0.6452891994711045</v>
      </c>
      <c r="H441" s="896"/>
    </row>
    <row r="442" spans="1:8" ht="12.75">
      <c r="A442" s="302"/>
      <c r="B442" s="322" t="s">
        <v>231</v>
      </c>
      <c r="C442" s="772">
        <v>2500</v>
      </c>
      <c r="D442" s="772">
        <f>2500+320</f>
        <v>2820</v>
      </c>
      <c r="E442" s="772">
        <f>2500+320</f>
        <v>2820</v>
      </c>
      <c r="F442" s="772">
        <v>422</v>
      </c>
      <c r="G442" s="307">
        <f t="shared" si="260"/>
        <v>0.14964539007092198</v>
      </c>
      <c r="H442" s="897"/>
    </row>
    <row r="443" spans="1:8" ht="12.75">
      <c r="A443" s="302"/>
      <c r="B443" s="322" t="s">
        <v>232</v>
      </c>
      <c r="C443" s="772"/>
      <c r="D443" s="772"/>
      <c r="E443" s="772"/>
      <c r="F443" s="772"/>
      <c r="G443" s="307"/>
      <c r="H443" s="896"/>
    </row>
    <row r="444" spans="1:8" ht="13.8" thickBot="1">
      <c r="A444" s="302"/>
      <c r="B444" s="324" t="s">
        <v>406</v>
      </c>
      <c r="C444" s="772"/>
      <c r="D444" s="772"/>
      <c r="E444" s="772"/>
      <c r="F444" s="772"/>
      <c r="G444" s="623"/>
      <c r="H444" s="896"/>
    </row>
    <row r="445" spans="1:8" ht="13.8" thickBot="1">
      <c r="A445" s="302"/>
      <c r="B445" s="326" t="s">
        <v>57</v>
      </c>
      <c r="C445" s="774">
        <f aca="true" t="shared" si="315" ref="C445">SUM(C442:C444)</f>
        <v>2500</v>
      </c>
      <c r="D445" s="774">
        <f aca="true" t="shared" si="316" ref="D445:E445">SUM(D442:D444)</f>
        <v>2820</v>
      </c>
      <c r="E445" s="774">
        <f t="shared" si="316"/>
        <v>2820</v>
      </c>
      <c r="F445" s="774">
        <f aca="true" t="shared" si="317" ref="F445">SUM(F442:F444)</f>
        <v>422</v>
      </c>
      <c r="G445" s="722">
        <f t="shared" si="260"/>
        <v>0.14964539007092198</v>
      </c>
      <c r="H445" s="896"/>
    </row>
    <row r="446" spans="1:8" ht="14.4" thickBot="1">
      <c r="A446" s="299"/>
      <c r="B446" s="327" t="s">
        <v>103</v>
      </c>
      <c r="C446" s="774">
        <f aca="true" t="shared" si="318" ref="C446">SUM(C441+C445)</f>
        <v>644441</v>
      </c>
      <c r="D446" s="779">
        <f aca="true" t="shared" si="319" ref="D446:E446">SUM(D441+D445)</f>
        <v>651733</v>
      </c>
      <c r="E446" s="779">
        <f t="shared" si="319"/>
        <v>655501</v>
      </c>
      <c r="F446" s="779">
        <f aca="true" t="shared" si="320" ref="F446">SUM(F441+F445)</f>
        <v>421590</v>
      </c>
      <c r="G446" s="734">
        <f t="shared" si="260"/>
        <v>0.6431569135668748</v>
      </c>
      <c r="H446" s="896"/>
    </row>
    <row r="447" spans="1:8" ht="13.8">
      <c r="A447" s="219">
        <v>2875</v>
      </c>
      <c r="B447" s="222" t="s">
        <v>284</v>
      </c>
      <c r="C447" s="772"/>
      <c r="D447" s="772"/>
      <c r="E447" s="772"/>
      <c r="F447" s="772"/>
      <c r="G447" s="307"/>
      <c r="H447" s="896"/>
    </row>
    <row r="448" spans="1:8" ht="12.6" customHeight="1">
      <c r="A448" s="302"/>
      <c r="B448" s="303" t="s">
        <v>173</v>
      </c>
      <c r="C448" s="775"/>
      <c r="D448" s="775"/>
      <c r="E448" s="775"/>
      <c r="F448" s="775"/>
      <c r="G448" s="307"/>
      <c r="H448" s="896"/>
    </row>
    <row r="449" spans="1:8" ht="13.8" thickBot="1">
      <c r="A449" s="302"/>
      <c r="B449" s="304" t="s">
        <v>174</v>
      </c>
      <c r="C449" s="773"/>
      <c r="D449" s="773"/>
      <c r="E449" s="773"/>
      <c r="F449" s="773">
        <v>400</v>
      </c>
      <c r="G449" s="623">
        <v>1</v>
      </c>
      <c r="H449" s="896"/>
    </row>
    <row r="450" spans="1:8" ht="13.8" thickBot="1">
      <c r="A450" s="302"/>
      <c r="B450" s="305" t="s">
        <v>186</v>
      </c>
      <c r="C450" s="788"/>
      <c r="D450" s="788"/>
      <c r="E450" s="788"/>
      <c r="F450" s="788">
        <f>SUM(F448:F449)</f>
        <v>400</v>
      </c>
      <c r="G450" s="733">
        <v>1</v>
      </c>
      <c r="H450" s="896"/>
    </row>
    <row r="451" spans="1:8" ht="12.75">
      <c r="A451" s="302"/>
      <c r="B451" s="303" t="s">
        <v>176</v>
      </c>
      <c r="C451" s="772">
        <v>378</v>
      </c>
      <c r="D451" s="772">
        <v>378</v>
      </c>
      <c r="E451" s="772">
        <v>378</v>
      </c>
      <c r="F451" s="772">
        <f>F452+F453</f>
        <v>309</v>
      </c>
      <c r="G451" s="307">
        <f t="shared" si="260"/>
        <v>0.8174603174603174</v>
      </c>
      <c r="H451" s="896"/>
    </row>
    <row r="452" spans="1:8" ht="12.75">
      <c r="A452" s="302"/>
      <c r="B452" s="308" t="s">
        <v>177</v>
      </c>
      <c r="C452" s="778"/>
      <c r="D452" s="778"/>
      <c r="E452" s="778"/>
      <c r="F452" s="778"/>
      <c r="G452" s="307"/>
      <c r="H452" s="896"/>
    </row>
    <row r="453" spans="1:8" ht="12.75">
      <c r="A453" s="302"/>
      <c r="B453" s="308" t="s">
        <v>178</v>
      </c>
      <c r="C453" s="778">
        <v>378</v>
      </c>
      <c r="D453" s="778">
        <v>378</v>
      </c>
      <c r="E453" s="778">
        <v>378</v>
      </c>
      <c r="F453" s="778">
        <v>309</v>
      </c>
      <c r="G453" s="307">
        <f t="shared" si="260"/>
        <v>0.8174603174603174</v>
      </c>
      <c r="H453" s="897"/>
    </row>
    <row r="454" spans="1:8" ht="12.75">
      <c r="A454" s="302"/>
      <c r="B454" s="309" t="s">
        <v>179</v>
      </c>
      <c r="C454" s="772">
        <v>993</v>
      </c>
      <c r="D454" s="772">
        <v>993</v>
      </c>
      <c r="E454" s="772">
        <v>993</v>
      </c>
      <c r="F454" s="772">
        <v>771</v>
      </c>
      <c r="G454" s="307">
        <f t="shared" si="260"/>
        <v>0.7764350453172205</v>
      </c>
      <c r="H454" s="897"/>
    </row>
    <row r="455" spans="1:8" ht="12.75">
      <c r="A455" s="302"/>
      <c r="B455" s="309" t="s">
        <v>180</v>
      </c>
      <c r="C455" s="772">
        <v>39711</v>
      </c>
      <c r="D455" s="772">
        <v>39711</v>
      </c>
      <c r="E455" s="772">
        <v>39711</v>
      </c>
      <c r="F455" s="772">
        <v>31504</v>
      </c>
      <c r="G455" s="307">
        <f t="shared" si="260"/>
        <v>0.7933318224169625</v>
      </c>
      <c r="H455" s="897"/>
    </row>
    <row r="456" spans="1:8" ht="12.75">
      <c r="A456" s="302"/>
      <c r="B456" s="309" t="s">
        <v>181</v>
      </c>
      <c r="C456" s="772">
        <v>6639</v>
      </c>
      <c r="D456" s="772">
        <v>6639</v>
      </c>
      <c r="E456" s="772">
        <v>6639</v>
      </c>
      <c r="F456" s="772">
        <v>5673</v>
      </c>
      <c r="G456" s="307">
        <f t="shared" si="260"/>
        <v>0.8544961590600995</v>
      </c>
      <c r="H456" s="897"/>
    </row>
    <row r="457" spans="1:8" ht="12.75">
      <c r="A457" s="302"/>
      <c r="B457" s="309" t="s">
        <v>328</v>
      </c>
      <c r="C457" s="772">
        <v>5070</v>
      </c>
      <c r="D457" s="772">
        <v>5070</v>
      </c>
      <c r="E457" s="772">
        <v>5070</v>
      </c>
      <c r="F457" s="772">
        <v>6842</v>
      </c>
      <c r="G457" s="307">
        <f t="shared" si="260"/>
        <v>1.3495069033530571</v>
      </c>
      <c r="H457" s="896"/>
    </row>
    <row r="458" spans="1:8" ht="12.75">
      <c r="A458" s="302"/>
      <c r="B458" s="310" t="s">
        <v>424</v>
      </c>
      <c r="C458" s="772"/>
      <c r="D458" s="772"/>
      <c r="E458" s="772"/>
      <c r="F458" s="772">
        <v>1</v>
      </c>
      <c r="G458" s="307">
        <v>1</v>
      </c>
      <c r="H458" s="896"/>
    </row>
    <row r="459" spans="1:8" ht="13.8" thickBot="1">
      <c r="A459" s="302"/>
      <c r="B459" s="311" t="s">
        <v>182</v>
      </c>
      <c r="C459" s="772"/>
      <c r="D459" s="772"/>
      <c r="E459" s="772"/>
      <c r="F459" s="772">
        <v>764</v>
      </c>
      <c r="G459" s="623">
        <v>1</v>
      </c>
      <c r="H459" s="896"/>
    </row>
    <row r="460" spans="1:8" ht="13.8" thickBot="1">
      <c r="A460" s="302"/>
      <c r="B460" s="312" t="s">
        <v>324</v>
      </c>
      <c r="C460" s="774">
        <f aca="true" t="shared" si="321" ref="C460">SUM(C451+C454+C455+C456+C459+C457)</f>
        <v>52791</v>
      </c>
      <c r="D460" s="774">
        <f aca="true" t="shared" si="322" ref="D460:E460">SUM(D451+D454+D455+D456+D459+D457)</f>
        <v>52791</v>
      </c>
      <c r="E460" s="774">
        <f t="shared" si="322"/>
        <v>52791</v>
      </c>
      <c r="F460" s="774">
        <f>SUM(F451+F454+F455+F456+F458+F459+F457)</f>
        <v>45864</v>
      </c>
      <c r="G460" s="722">
        <f aca="true" t="shared" si="323" ref="G460:G521">F460/E460</f>
        <v>0.8687844518952094</v>
      </c>
      <c r="H460" s="896"/>
    </row>
    <row r="461" spans="1:8" ht="13.8" thickBot="1">
      <c r="A461" s="302"/>
      <c r="B461" s="314" t="s">
        <v>58</v>
      </c>
      <c r="C461" s="1039">
        <f aca="true" t="shared" si="324" ref="C461">SUM(C460+C450)</f>
        <v>52791</v>
      </c>
      <c r="D461" s="1039">
        <f aca="true" t="shared" si="325" ref="D461:E461">SUM(D460+D450)</f>
        <v>52791</v>
      </c>
      <c r="E461" s="1039">
        <f t="shared" si="325"/>
        <v>52791</v>
      </c>
      <c r="F461" s="1039">
        <f aca="true" t="shared" si="326" ref="F461">SUM(F460+F450)</f>
        <v>46264</v>
      </c>
      <c r="G461" s="722">
        <f t="shared" si="323"/>
        <v>0.8763615010134304</v>
      </c>
      <c r="H461" s="896"/>
    </row>
    <row r="462" spans="1:8" ht="13.8" thickBot="1">
      <c r="A462" s="302"/>
      <c r="B462" s="315" t="s">
        <v>59</v>
      </c>
      <c r="C462" s="780"/>
      <c r="D462" s="780"/>
      <c r="E462" s="780"/>
      <c r="F462" s="780"/>
      <c r="G462" s="733"/>
      <c r="H462" s="896"/>
    </row>
    <row r="463" spans="1:8" ht="12.75">
      <c r="A463" s="302"/>
      <c r="B463" s="637" t="s">
        <v>397</v>
      </c>
      <c r="C463" s="782"/>
      <c r="D463" s="782">
        <v>5137</v>
      </c>
      <c r="E463" s="782">
        <v>5137</v>
      </c>
      <c r="F463" s="782">
        <v>5137</v>
      </c>
      <c r="G463" s="307">
        <f t="shared" si="323"/>
        <v>1</v>
      </c>
      <c r="H463" s="896"/>
    </row>
    <row r="464" spans="1:8" ht="13.8" thickBot="1">
      <c r="A464" s="302"/>
      <c r="B464" s="318" t="s">
        <v>430</v>
      </c>
      <c r="C464" s="773">
        <v>867567</v>
      </c>
      <c r="D464" s="773">
        <v>929570</v>
      </c>
      <c r="E464" s="773">
        <f>929570+35917+355+8178</f>
        <v>974020</v>
      </c>
      <c r="F464" s="773">
        <v>707494</v>
      </c>
      <c r="G464" s="623">
        <f t="shared" si="323"/>
        <v>0.7263649617050985</v>
      </c>
      <c r="H464" s="897"/>
    </row>
    <row r="465" spans="1:8" ht="13.8" thickBot="1">
      <c r="A465" s="302"/>
      <c r="B465" s="319" t="s">
        <v>52</v>
      </c>
      <c r="C465" s="781">
        <f aca="true" t="shared" si="327" ref="C465">SUM(C463:C464)</f>
        <v>867567</v>
      </c>
      <c r="D465" s="781">
        <f aca="true" t="shared" si="328" ref="D465:F465">SUM(D463:D464)</f>
        <v>934707</v>
      </c>
      <c r="E465" s="781">
        <f t="shared" si="328"/>
        <v>979157</v>
      </c>
      <c r="F465" s="781">
        <f t="shared" si="328"/>
        <v>712631</v>
      </c>
      <c r="G465" s="733">
        <f t="shared" si="323"/>
        <v>0.7278005467968875</v>
      </c>
      <c r="H465" s="896"/>
    </row>
    <row r="466" spans="1:8" ht="13.8" thickBot="1">
      <c r="A466" s="302"/>
      <c r="B466" s="241" t="s">
        <v>397</v>
      </c>
      <c r="C466" s="780"/>
      <c r="D466" s="780">
        <v>610</v>
      </c>
      <c r="E466" s="780">
        <v>610</v>
      </c>
      <c r="F466" s="780">
        <v>610</v>
      </c>
      <c r="G466" s="733">
        <f t="shared" si="323"/>
        <v>1</v>
      </c>
      <c r="H466" s="896"/>
    </row>
    <row r="467" spans="1:8" ht="13.8" thickBot="1">
      <c r="A467" s="302"/>
      <c r="B467" s="319" t="s">
        <v>54</v>
      </c>
      <c r="C467" s="781"/>
      <c r="D467" s="781">
        <f>SUM(D466)</f>
        <v>610</v>
      </c>
      <c r="E467" s="781">
        <f>SUM(E466)</f>
        <v>610</v>
      </c>
      <c r="F467" s="781">
        <f>SUM(F466)</f>
        <v>610</v>
      </c>
      <c r="G467" s="722">
        <f t="shared" si="323"/>
        <v>1</v>
      </c>
      <c r="H467" s="896"/>
    </row>
    <row r="468" spans="1:8" ht="14.4" thickBot="1">
      <c r="A468" s="302"/>
      <c r="B468" s="321" t="s">
        <v>66</v>
      </c>
      <c r="C468" s="774">
        <f aca="true" t="shared" si="329" ref="C468">SUM(C461+C462+C465+C467)</f>
        <v>920358</v>
      </c>
      <c r="D468" s="774">
        <f aca="true" t="shared" si="330" ref="D468:E468">SUM(D461+D462+D465+D467)</f>
        <v>988108</v>
      </c>
      <c r="E468" s="774">
        <f t="shared" si="330"/>
        <v>1032558</v>
      </c>
      <c r="F468" s="774">
        <f aca="true" t="shared" si="331" ref="F468">SUM(F461+F462+F465+F467)</f>
        <v>759505</v>
      </c>
      <c r="G468" s="722">
        <f t="shared" si="323"/>
        <v>0.735556743543704</v>
      </c>
      <c r="H468" s="896"/>
    </row>
    <row r="469" spans="1:8" ht="12.75">
      <c r="A469" s="302"/>
      <c r="B469" s="322" t="s">
        <v>304</v>
      </c>
      <c r="C469" s="772">
        <v>612712</v>
      </c>
      <c r="D469" s="772">
        <v>666414</v>
      </c>
      <c r="E469" s="772">
        <f>666414+31232+307+7111</f>
        <v>705064</v>
      </c>
      <c r="F469" s="772">
        <v>511316</v>
      </c>
      <c r="G469" s="307">
        <f t="shared" si="323"/>
        <v>0.7252050877650823</v>
      </c>
      <c r="H469" s="897"/>
    </row>
    <row r="470" spans="1:8" ht="12.75">
      <c r="A470" s="302"/>
      <c r="B470" s="322" t="s">
        <v>305</v>
      </c>
      <c r="C470" s="772">
        <v>100416</v>
      </c>
      <c r="D470" s="772">
        <v>108717</v>
      </c>
      <c r="E470" s="772">
        <f>108717+4685+48+1067</f>
        <v>114517</v>
      </c>
      <c r="F470" s="772">
        <v>86664</v>
      </c>
      <c r="G470" s="307">
        <f t="shared" si="323"/>
        <v>0.7567784695722033</v>
      </c>
      <c r="H470" s="897"/>
    </row>
    <row r="471" spans="1:8" ht="12.75">
      <c r="A471" s="302"/>
      <c r="B471" s="322" t="s">
        <v>306</v>
      </c>
      <c r="C471" s="772">
        <v>205000</v>
      </c>
      <c r="D471" s="772">
        <f>205000+5137</f>
        <v>210137</v>
      </c>
      <c r="E471" s="772">
        <f>205000+5137</f>
        <v>210137</v>
      </c>
      <c r="F471" s="772">
        <v>156089</v>
      </c>
      <c r="G471" s="307">
        <f t="shared" si="323"/>
        <v>0.7427963661801587</v>
      </c>
      <c r="H471" s="897"/>
    </row>
    <row r="472" spans="1:8" ht="12.75">
      <c r="A472" s="302"/>
      <c r="B472" s="323" t="s">
        <v>308</v>
      </c>
      <c r="C472" s="772">
        <v>230</v>
      </c>
      <c r="D472" s="772">
        <v>230</v>
      </c>
      <c r="E472" s="772">
        <v>230</v>
      </c>
      <c r="F472" s="772">
        <v>227</v>
      </c>
      <c r="G472" s="307">
        <f t="shared" si="323"/>
        <v>0.9869565217391304</v>
      </c>
      <c r="H472" s="897"/>
    </row>
    <row r="473" spans="1:8" ht="13.8" thickBot="1">
      <c r="A473" s="302"/>
      <c r="B473" s="324" t="s">
        <v>307</v>
      </c>
      <c r="C473" s="772"/>
      <c r="D473" s="772"/>
      <c r="E473" s="772"/>
      <c r="F473" s="772"/>
      <c r="G473" s="623"/>
      <c r="H473" s="896"/>
    </row>
    <row r="474" spans="1:8" ht="13.8" thickBot="1">
      <c r="A474" s="302"/>
      <c r="B474" s="325" t="s">
        <v>51</v>
      </c>
      <c r="C474" s="774">
        <f aca="true" t="shared" si="332" ref="C474">SUM(C469:C473)</f>
        <v>918358</v>
      </c>
      <c r="D474" s="774">
        <f aca="true" t="shared" si="333" ref="D474:F474">SUM(D469:D473)</f>
        <v>985498</v>
      </c>
      <c r="E474" s="774">
        <f t="shared" si="333"/>
        <v>1029948</v>
      </c>
      <c r="F474" s="774">
        <f t="shared" si="333"/>
        <v>754296</v>
      </c>
      <c r="G474" s="733">
        <f t="shared" si="323"/>
        <v>0.7323631872677068</v>
      </c>
      <c r="H474" s="896"/>
    </row>
    <row r="475" spans="1:8" ht="12.75">
      <c r="A475" s="302"/>
      <c r="B475" s="322" t="s">
        <v>231</v>
      </c>
      <c r="C475" s="772">
        <v>2000</v>
      </c>
      <c r="D475" s="772">
        <f>2000+610</f>
        <v>2610</v>
      </c>
      <c r="E475" s="772">
        <f>2000+610</f>
        <v>2610</v>
      </c>
      <c r="F475" s="772">
        <v>607</v>
      </c>
      <c r="G475" s="307">
        <f t="shared" si="323"/>
        <v>0.23256704980842913</v>
      </c>
      <c r="H475" s="897"/>
    </row>
    <row r="476" spans="1:8" ht="12.75">
      <c r="A476" s="302"/>
      <c r="B476" s="322" t="s">
        <v>232</v>
      </c>
      <c r="C476" s="772"/>
      <c r="D476" s="772"/>
      <c r="E476" s="772"/>
      <c r="F476" s="772"/>
      <c r="G476" s="307"/>
      <c r="H476" s="896"/>
    </row>
    <row r="477" spans="1:8" ht="13.8" thickBot="1">
      <c r="A477" s="302"/>
      <c r="B477" s="324" t="s">
        <v>406</v>
      </c>
      <c r="C477" s="772"/>
      <c r="D477" s="772"/>
      <c r="E477" s="772"/>
      <c r="F477" s="772"/>
      <c r="G477" s="623"/>
      <c r="H477" s="896"/>
    </row>
    <row r="478" spans="1:8" ht="13.8" thickBot="1">
      <c r="A478" s="302"/>
      <c r="B478" s="326" t="s">
        <v>57</v>
      </c>
      <c r="C478" s="774">
        <f aca="true" t="shared" si="334" ref="C478">SUM(C475:C477)</f>
        <v>2000</v>
      </c>
      <c r="D478" s="774">
        <f aca="true" t="shared" si="335" ref="D478:E478">SUM(D475:D477)</f>
        <v>2610</v>
      </c>
      <c r="E478" s="774">
        <f t="shared" si="335"/>
        <v>2610</v>
      </c>
      <c r="F478" s="774">
        <f aca="true" t="shared" si="336" ref="F478">SUM(F475:F477)</f>
        <v>607</v>
      </c>
      <c r="G478" s="722">
        <f t="shared" si="323"/>
        <v>0.23256704980842913</v>
      </c>
      <c r="H478" s="896"/>
    </row>
    <row r="479" spans="1:8" ht="14.4" thickBot="1">
      <c r="A479" s="299"/>
      <c r="B479" s="327" t="s">
        <v>103</v>
      </c>
      <c r="C479" s="774">
        <f aca="true" t="shared" si="337" ref="C479">SUM(C474+C478)</f>
        <v>920358</v>
      </c>
      <c r="D479" s="774">
        <f aca="true" t="shared" si="338" ref="D479:E479">SUM(D474+D478)</f>
        <v>988108</v>
      </c>
      <c r="E479" s="774">
        <f t="shared" si="338"/>
        <v>1032558</v>
      </c>
      <c r="F479" s="774">
        <f aca="true" t="shared" si="339" ref="F479">SUM(F474+F478)</f>
        <v>754903</v>
      </c>
      <c r="G479" s="722">
        <f t="shared" si="323"/>
        <v>0.7310998510495295</v>
      </c>
      <c r="H479" s="896"/>
    </row>
    <row r="480" spans="1:8" ht="13.8">
      <c r="A480" s="219">
        <v>2898</v>
      </c>
      <c r="B480" s="329" t="s">
        <v>318</v>
      </c>
      <c r="C480" s="785"/>
      <c r="D480" s="785"/>
      <c r="E480" s="785"/>
      <c r="F480" s="785"/>
      <c r="G480" s="307"/>
      <c r="H480" s="896"/>
    </row>
    <row r="481" spans="1:8" ht="12.75">
      <c r="A481" s="302"/>
      <c r="B481" s="303" t="s">
        <v>173</v>
      </c>
      <c r="C481" s="775"/>
      <c r="D481" s="775"/>
      <c r="E481" s="775"/>
      <c r="F481" s="775"/>
      <c r="G481" s="307"/>
      <c r="H481" s="896"/>
    </row>
    <row r="482" spans="1:8" ht="13.8" thickBot="1">
      <c r="A482" s="302"/>
      <c r="B482" s="304" t="s">
        <v>174</v>
      </c>
      <c r="C482" s="773">
        <f aca="true" t="shared" si="340" ref="C482">SUM(C449+C414)</f>
        <v>0</v>
      </c>
      <c r="D482" s="773">
        <f aca="true" t="shared" si="341" ref="D482:E482">SUM(D449+D414)</f>
        <v>0</v>
      </c>
      <c r="E482" s="773">
        <f t="shared" si="341"/>
        <v>0</v>
      </c>
      <c r="F482" s="773">
        <f aca="true" t="shared" si="342" ref="F482">SUM(F449+F414)</f>
        <v>400</v>
      </c>
      <c r="G482" s="623">
        <v>1</v>
      </c>
      <c r="H482" s="896"/>
    </row>
    <row r="483" spans="1:8" ht="13.8" thickBot="1">
      <c r="A483" s="302"/>
      <c r="B483" s="305" t="s">
        <v>186</v>
      </c>
      <c r="C483" s="788">
        <f aca="true" t="shared" si="343" ref="C483">SUM(C482)</f>
        <v>0</v>
      </c>
      <c r="D483" s="788">
        <f aca="true" t="shared" si="344" ref="D483:E483">SUM(D482)</f>
        <v>0</v>
      </c>
      <c r="E483" s="788">
        <f t="shared" si="344"/>
        <v>0</v>
      </c>
      <c r="F483" s="788">
        <f aca="true" t="shared" si="345" ref="F483">SUM(F482)</f>
        <v>400</v>
      </c>
      <c r="G483" s="733">
        <v>1</v>
      </c>
      <c r="H483" s="896"/>
    </row>
    <row r="484" spans="1:8" ht="12.75">
      <c r="A484" s="302"/>
      <c r="B484" s="303" t="s">
        <v>176</v>
      </c>
      <c r="C484" s="772">
        <f aca="true" t="shared" si="346" ref="C484">SUM(C451+C416)</f>
        <v>3474</v>
      </c>
      <c r="D484" s="772">
        <f aca="true" t="shared" si="347" ref="D484:E484">SUM(D451+D416)</f>
        <v>3474</v>
      </c>
      <c r="E484" s="772">
        <f t="shared" si="347"/>
        <v>4203</v>
      </c>
      <c r="F484" s="772">
        <f aca="true" t="shared" si="348" ref="F484">SUM(F451+F416)</f>
        <v>4920</v>
      </c>
      <c r="G484" s="307">
        <f t="shared" si="323"/>
        <v>1.1705924339757316</v>
      </c>
      <c r="H484" s="896"/>
    </row>
    <row r="485" spans="1:8" ht="12.75">
      <c r="A485" s="302"/>
      <c r="B485" s="308" t="s">
        <v>177</v>
      </c>
      <c r="C485" s="778">
        <f aca="true" t="shared" si="349" ref="C485">SUM(C452+C417)</f>
        <v>3096</v>
      </c>
      <c r="D485" s="778">
        <f aca="true" t="shared" si="350" ref="D485:E485">SUM(D452+D417)</f>
        <v>3096</v>
      </c>
      <c r="E485" s="778">
        <f t="shared" si="350"/>
        <v>3825</v>
      </c>
      <c r="F485" s="778">
        <f aca="true" t="shared" si="351" ref="F485">SUM(F452+F417)</f>
        <v>4611</v>
      </c>
      <c r="G485" s="307">
        <f t="shared" si="323"/>
        <v>1.2054901960784314</v>
      </c>
      <c r="H485" s="896"/>
    </row>
    <row r="486" spans="1:8" ht="12.75">
      <c r="A486" s="302"/>
      <c r="B486" s="308" t="s">
        <v>178</v>
      </c>
      <c r="C486" s="778">
        <f aca="true" t="shared" si="352" ref="C486">SUM(C453+C418)</f>
        <v>378</v>
      </c>
      <c r="D486" s="778">
        <f aca="true" t="shared" si="353" ref="D486:E486">SUM(D453+D418)</f>
        <v>378</v>
      </c>
      <c r="E486" s="778">
        <f t="shared" si="353"/>
        <v>378</v>
      </c>
      <c r="F486" s="778">
        <f aca="true" t="shared" si="354" ref="F486">SUM(F453+F418)</f>
        <v>309</v>
      </c>
      <c r="G486" s="307">
        <f t="shared" si="323"/>
        <v>0.8174603174603174</v>
      </c>
      <c r="H486" s="896"/>
    </row>
    <row r="487" spans="1:8" ht="12.75">
      <c r="A487" s="302"/>
      <c r="B487" s="309" t="s">
        <v>179</v>
      </c>
      <c r="C487" s="772">
        <f aca="true" t="shared" si="355" ref="C487">SUM(C454+C419)</f>
        <v>993</v>
      </c>
      <c r="D487" s="772">
        <f aca="true" t="shared" si="356" ref="D487:E487">SUM(D454+D419)</f>
        <v>993</v>
      </c>
      <c r="E487" s="772">
        <f t="shared" si="356"/>
        <v>993</v>
      </c>
      <c r="F487" s="772">
        <f aca="true" t="shared" si="357" ref="F487">SUM(F454+F419)</f>
        <v>771</v>
      </c>
      <c r="G487" s="307">
        <f t="shared" si="323"/>
        <v>0.7764350453172205</v>
      </c>
      <c r="H487" s="897"/>
    </row>
    <row r="488" spans="1:8" ht="12.75">
      <c r="A488" s="302"/>
      <c r="B488" s="309" t="s">
        <v>180</v>
      </c>
      <c r="C488" s="772">
        <f aca="true" t="shared" si="358" ref="C488">SUM(C455+C420)</f>
        <v>53931</v>
      </c>
      <c r="D488" s="772">
        <f aca="true" t="shared" si="359" ref="D488:E488">SUM(D455+D420)</f>
        <v>53931</v>
      </c>
      <c r="E488" s="772">
        <f t="shared" si="359"/>
        <v>53931</v>
      </c>
      <c r="F488" s="772">
        <f aca="true" t="shared" si="360" ref="F488">SUM(F455+F420)</f>
        <v>40622</v>
      </c>
      <c r="G488" s="307">
        <f t="shared" si="323"/>
        <v>0.7532217092210417</v>
      </c>
      <c r="H488" s="897"/>
    </row>
    <row r="489" spans="1:8" ht="12.75">
      <c r="A489" s="302"/>
      <c r="B489" s="309" t="s">
        <v>181</v>
      </c>
      <c r="C489" s="772">
        <f aca="true" t="shared" si="361" ref="C489">SUM(C456+C421)</f>
        <v>10479</v>
      </c>
      <c r="D489" s="772">
        <f aca="true" t="shared" si="362" ref="D489:E489">SUM(D456+D421)</f>
        <v>10479</v>
      </c>
      <c r="E489" s="772">
        <f t="shared" si="362"/>
        <v>10479</v>
      </c>
      <c r="F489" s="772">
        <f aca="true" t="shared" si="363" ref="F489">SUM(F456+F421)</f>
        <v>8891</v>
      </c>
      <c r="G489" s="307">
        <f t="shared" si="323"/>
        <v>0.8484588224067182</v>
      </c>
      <c r="H489" s="897"/>
    </row>
    <row r="490" spans="1:8" ht="12.75">
      <c r="A490" s="302"/>
      <c r="B490" s="309" t="s">
        <v>328</v>
      </c>
      <c r="C490" s="772">
        <f aca="true" t="shared" si="364" ref="C490">SUM(C422+C457)</f>
        <v>5070</v>
      </c>
      <c r="D490" s="772">
        <f aca="true" t="shared" si="365" ref="D490:E490">SUM(D422+D457)</f>
        <v>5070</v>
      </c>
      <c r="E490" s="772">
        <f t="shared" si="365"/>
        <v>5070</v>
      </c>
      <c r="F490" s="772">
        <f aca="true" t="shared" si="366" ref="F490">SUM(F422+F457)</f>
        <v>6842</v>
      </c>
      <c r="G490" s="307">
        <f t="shared" si="323"/>
        <v>1.3495069033530571</v>
      </c>
      <c r="H490" s="896"/>
    </row>
    <row r="491" spans="1:8" ht="12.75">
      <c r="A491" s="302"/>
      <c r="B491" s="310" t="s">
        <v>424</v>
      </c>
      <c r="C491" s="772">
        <f aca="true" t="shared" si="367" ref="C491">SUM(C458+C423)</f>
        <v>0</v>
      </c>
      <c r="D491" s="772">
        <f aca="true" t="shared" si="368" ref="D491:E491">SUM(D458+D423)</f>
        <v>0</v>
      </c>
      <c r="E491" s="772">
        <f t="shared" si="368"/>
        <v>0</v>
      </c>
      <c r="F491" s="772">
        <f aca="true" t="shared" si="369" ref="F491">SUM(F458+F423)</f>
        <v>1</v>
      </c>
      <c r="G491" s="307">
        <v>1</v>
      </c>
      <c r="H491" s="896"/>
    </row>
    <row r="492" spans="1:8" ht="13.8" thickBot="1">
      <c r="A492" s="302"/>
      <c r="B492" s="311" t="s">
        <v>182</v>
      </c>
      <c r="C492" s="772">
        <f aca="true" t="shared" si="370" ref="C492">SUM(C459+C424)</f>
        <v>0</v>
      </c>
      <c r="D492" s="772">
        <f aca="true" t="shared" si="371" ref="D492:E492">SUM(D459+D424)</f>
        <v>0</v>
      </c>
      <c r="E492" s="772">
        <f t="shared" si="371"/>
        <v>0</v>
      </c>
      <c r="F492" s="772">
        <f aca="true" t="shared" si="372" ref="F492">SUM(F459+F424)</f>
        <v>764</v>
      </c>
      <c r="G492" s="623">
        <v>1</v>
      </c>
      <c r="H492" s="896"/>
    </row>
    <row r="493" spans="1:8" ht="13.8" thickBot="1">
      <c r="A493" s="302"/>
      <c r="B493" s="312" t="s">
        <v>324</v>
      </c>
      <c r="C493" s="774">
        <f aca="true" t="shared" si="373" ref="C493">SUM(C484+C487+C488+C489+C492+C490)</f>
        <v>73947</v>
      </c>
      <c r="D493" s="774">
        <f aca="true" t="shared" si="374" ref="D493:E493">SUM(D484+D487+D488+D489+D492+D490)</f>
        <v>73947</v>
      </c>
      <c r="E493" s="774">
        <f t="shared" si="374"/>
        <v>74676</v>
      </c>
      <c r="F493" s="774">
        <f aca="true" t="shared" si="375" ref="F493">SUM(F484+F487+F488+F489+F492+F490)</f>
        <v>62810</v>
      </c>
      <c r="G493" s="722">
        <f t="shared" si="323"/>
        <v>0.8411002196154053</v>
      </c>
      <c r="H493" s="896"/>
    </row>
    <row r="494" spans="1:8" ht="13.8" thickBot="1">
      <c r="A494" s="302"/>
      <c r="B494" s="314" t="s">
        <v>58</v>
      </c>
      <c r="C494" s="1039">
        <f aca="true" t="shared" si="376" ref="C494">SUM(C493+C483)</f>
        <v>73947</v>
      </c>
      <c r="D494" s="1039">
        <f aca="true" t="shared" si="377" ref="D494:E494">SUM(D493+D483)</f>
        <v>73947</v>
      </c>
      <c r="E494" s="1039">
        <f t="shared" si="377"/>
        <v>74676</v>
      </c>
      <c r="F494" s="1039">
        <f aca="true" t="shared" si="378" ref="F494">SUM(F493+F483)</f>
        <v>63210</v>
      </c>
      <c r="G494" s="722">
        <f t="shared" si="323"/>
        <v>0.8464566929133859</v>
      </c>
      <c r="H494" s="896"/>
    </row>
    <row r="495" spans="1:8" ht="13.8" thickBot="1">
      <c r="A495" s="302"/>
      <c r="B495" s="315" t="s">
        <v>59</v>
      </c>
      <c r="C495" s="783"/>
      <c r="D495" s="783"/>
      <c r="E495" s="783"/>
      <c r="F495" s="783"/>
      <c r="G495" s="733"/>
      <c r="H495" s="896"/>
    </row>
    <row r="496" spans="1:8" ht="12.75">
      <c r="A496" s="302"/>
      <c r="B496" s="637" t="s">
        <v>397</v>
      </c>
      <c r="C496" s="782">
        <f aca="true" t="shared" si="379" ref="C496">SUM(C463+C428)</f>
        <v>0</v>
      </c>
      <c r="D496" s="782">
        <f aca="true" t="shared" si="380" ref="D496:E496">SUM(D463+D428)</f>
        <v>7451</v>
      </c>
      <c r="E496" s="782">
        <f t="shared" si="380"/>
        <v>7451</v>
      </c>
      <c r="F496" s="782">
        <f aca="true" t="shared" si="381" ref="F496">SUM(F463+F428)</f>
        <v>7451</v>
      </c>
      <c r="G496" s="307">
        <f t="shared" si="323"/>
        <v>1</v>
      </c>
      <c r="H496" s="896"/>
    </row>
    <row r="497" spans="1:8" ht="12.75">
      <c r="A497" s="302"/>
      <c r="B497" s="125" t="s">
        <v>620</v>
      </c>
      <c r="C497" s="782"/>
      <c r="D497" s="782">
        <f>SUM(D429)</f>
        <v>13</v>
      </c>
      <c r="E497" s="782">
        <f>SUM(E429)</f>
        <v>13</v>
      </c>
      <c r="F497" s="782">
        <f>SUM(F429)</f>
        <v>13</v>
      </c>
      <c r="G497" s="307">
        <f t="shared" si="323"/>
        <v>1</v>
      </c>
      <c r="H497" s="896"/>
    </row>
    <row r="498" spans="1:8" ht="12.75">
      <c r="A498" s="302"/>
      <c r="B498" s="317" t="s">
        <v>430</v>
      </c>
      <c r="C498" s="772">
        <f aca="true" t="shared" si="382" ref="C498">SUM(C464+C430)</f>
        <v>1468604</v>
      </c>
      <c r="D498" s="772">
        <f aca="true" t="shared" si="383" ref="D498:E498">SUM(D464+D430)</f>
        <v>1535252</v>
      </c>
      <c r="E498" s="772">
        <f t="shared" si="383"/>
        <v>1582741</v>
      </c>
      <c r="F498" s="772">
        <f aca="true" t="shared" si="384" ref="F498">SUM(F464+F430)</f>
        <v>1105967</v>
      </c>
      <c r="G498" s="307">
        <f t="shared" si="323"/>
        <v>0.6987668860540038</v>
      </c>
      <c r="H498" s="897"/>
    </row>
    <row r="499" spans="1:8" ht="13.8" thickBot="1">
      <c r="A499" s="302"/>
      <c r="B499" s="318" t="s">
        <v>433</v>
      </c>
      <c r="C499" s="773">
        <f aca="true" t="shared" si="385" ref="C499">SUM(C431)</f>
        <v>22248</v>
      </c>
      <c r="D499" s="773">
        <f aca="true" t="shared" si="386" ref="D499:E499">SUM(D431)</f>
        <v>22248</v>
      </c>
      <c r="E499" s="773">
        <f t="shared" si="386"/>
        <v>22248</v>
      </c>
      <c r="F499" s="773">
        <f aca="true" t="shared" si="387" ref="F499">SUM(F431)</f>
        <v>4065</v>
      </c>
      <c r="G499" s="623">
        <f t="shared" si="323"/>
        <v>0.18271305285868392</v>
      </c>
      <c r="H499" s="897"/>
    </row>
    <row r="500" spans="1:8" ht="13.8" thickBot="1">
      <c r="A500" s="302"/>
      <c r="B500" s="319" t="s">
        <v>52</v>
      </c>
      <c r="C500" s="781">
        <f aca="true" t="shared" si="388" ref="C500">SUM(C496:C499)</f>
        <v>1490852</v>
      </c>
      <c r="D500" s="781">
        <f aca="true" t="shared" si="389" ref="D500:E500">SUM(D496:D499)</f>
        <v>1564964</v>
      </c>
      <c r="E500" s="781">
        <f t="shared" si="389"/>
        <v>1612453</v>
      </c>
      <c r="F500" s="781">
        <f aca="true" t="shared" si="390" ref="F500">SUM(F496:F499)</f>
        <v>1117496</v>
      </c>
      <c r="G500" s="722">
        <f t="shared" si="323"/>
        <v>0.6930409754578893</v>
      </c>
      <c r="H500" s="896"/>
    </row>
    <row r="501" spans="1:8" ht="13.8" thickBot="1">
      <c r="A501" s="302"/>
      <c r="B501" s="241" t="s">
        <v>397</v>
      </c>
      <c r="C501" s="780">
        <f>SUM(C466)</f>
        <v>0</v>
      </c>
      <c r="D501" s="780">
        <f>SUM(D466)+D433</f>
        <v>930</v>
      </c>
      <c r="E501" s="780">
        <f>SUM(E466)+E433</f>
        <v>930</v>
      </c>
      <c r="F501" s="780">
        <f>SUM(F466)+F433</f>
        <v>930</v>
      </c>
      <c r="G501" s="733">
        <f t="shared" si="323"/>
        <v>1</v>
      </c>
      <c r="H501" s="896"/>
    </row>
    <row r="502" spans="1:8" ht="13.8" thickBot="1">
      <c r="A502" s="302"/>
      <c r="B502" s="319" t="s">
        <v>54</v>
      </c>
      <c r="C502" s="781">
        <f aca="true" t="shared" si="391" ref="C502">SUM(C501)</f>
        <v>0</v>
      </c>
      <c r="D502" s="781">
        <f aca="true" t="shared" si="392" ref="D502:E502">SUM(D501)</f>
        <v>930</v>
      </c>
      <c r="E502" s="781">
        <f t="shared" si="392"/>
        <v>930</v>
      </c>
      <c r="F502" s="781">
        <f aca="true" t="shared" si="393" ref="F502">SUM(F501)</f>
        <v>930</v>
      </c>
      <c r="G502" s="722">
        <f t="shared" si="323"/>
        <v>1</v>
      </c>
      <c r="H502" s="896"/>
    </row>
    <row r="503" spans="1:8" ht="14.4" thickBot="1">
      <c r="A503" s="302"/>
      <c r="B503" s="321" t="s">
        <v>66</v>
      </c>
      <c r="C503" s="774">
        <f aca="true" t="shared" si="394" ref="C503">SUM(C494+C495+C500+C502)</f>
        <v>1564799</v>
      </c>
      <c r="D503" s="774">
        <f aca="true" t="shared" si="395" ref="D503:E503">SUM(D494+D495+D500+D502)</f>
        <v>1639841</v>
      </c>
      <c r="E503" s="774">
        <f t="shared" si="395"/>
        <v>1688059</v>
      </c>
      <c r="F503" s="774">
        <f aca="true" t="shared" si="396" ref="F503">SUM(F494+F495+F500+F502)</f>
        <v>1181636</v>
      </c>
      <c r="G503" s="722">
        <f t="shared" si="323"/>
        <v>0.6999968602993142</v>
      </c>
      <c r="H503" s="896"/>
    </row>
    <row r="504" spans="1:8" ht="12.75">
      <c r="A504" s="302"/>
      <c r="B504" s="322" t="s">
        <v>304</v>
      </c>
      <c r="C504" s="772">
        <f aca="true" t="shared" si="397" ref="C504">SUM(C469+C436)</f>
        <v>1108029</v>
      </c>
      <c r="D504" s="772">
        <f aca="true" t="shared" si="398" ref="D504:E504">SUM(D469+D436)</f>
        <v>1165157</v>
      </c>
      <c r="E504" s="772">
        <f t="shared" si="398"/>
        <v>1206447</v>
      </c>
      <c r="F504" s="772">
        <f aca="true" t="shared" si="399" ref="F504">SUM(F469+F436)</f>
        <v>844010</v>
      </c>
      <c r="G504" s="307">
        <f t="shared" si="323"/>
        <v>0.6995831561601961</v>
      </c>
      <c r="H504" s="897"/>
    </row>
    <row r="505" spans="1:8" ht="12.75">
      <c r="A505" s="302"/>
      <c r="B505" s="322" t="s">
        <v>305</v>
      </c>
      <c r="C505" s="772">
        <f aca="true" t="shared" si="400" ref="C505">SUM(C470+C437)</f>
        <v>184933</v>
      </c>
      <c r="D505" s="772">
        <f aca="true" t="shared" si="401" ref="D505:E505">SUM(D470+D437)</f>
        <v>193828</v>
      </c>
      <c r="E505" s="772">
        <f t="shared" si="401"/>
        <v>200027</v>
      </c>
      <c r="F505" s="772">
        <f aca="true" t="shared" si="402" ref="F505">SUM(F470+F437)</f>
        <v>145177</v>
      </c>
      <c r="G505" s="307">
        <f t="shared" si="323"/>
        <v>0.7257870187524684</v>
      </c>
      <c r="H505" s="897"/>
    </row>
    <row r="506" spans="1:8" ht="12.75">
      <c r="A506" s="302"/>
      <c r="B506" s="322" t="s">
        <v>306</v>
      </c>
      <c r="C506" s="772">
        <f aca="true" t="shared" si="403" ref="C506">SUM(C471+C438)</f>
        <v>267107</v>
      </c>
      <c r="D506" s="772">
        <f aca="true" t="shared" si="404" ref="D506:E506">SUM(D471+D438)</f>
        <v>275195</v>
      </c>
      <c r="E506" s="772">
        <f t="shared" si="404"/>
        <v>275923</v>
      </c>
      <c r="F506" s="772">
        <f aca="true" t="shared" si="405" ref="F506">SUM(F471+F438)</f>
        <v>186049</v>
      </c>
      <c r="G506" s="307">
        <f t="shared" si="323"/>
        <v>0.6742786936935304</v>
      </c>
      <c r="H506" s="897"/>
    </row>
    <row r="507" spans="1:8" ht="12.75">
      <c r="A507" s="302"/>
      <c r="B507" s="323" t="s">
        <v>308</v>
      </c>
      <c r="C507" s="772">
        <f aca="true" t="shared" si="406" ref="C507">SUM(C472+C439)</f>
        <v>230</v>
      </c>
      <c r="D507" s="772">
        <f aca="true" t="shared" si="407" ref="D507:E507">SUM(D472+D439)</f>
        <v>230</v>
      </c>
      <c r="E507" s="772">
        <f t="shared" si="407"/>
        <v>230</v>
      </c>
      <c r="F507" s="772">
        <f aca="true" t="shared" si="408" ref="F507">SUM(F472+F439)</f>
        <v>227</v>
      </c>
      <c r="G507" s="307">
        <f t="shared" si="323"/>
        <v>0.9869565217391304</v>
      </c>
      <c r="H507" s="897"/>
    </row>
    <row r="508" spans="1:8" ht="13.8" thickBot="1">
      <c r="A508" s="302"/>
      <c r="B508" s="324" t="s">
        <v>307</v>
      </c>
      <c r="C508" s="772">
        <f aca="true" t="shared" si="409" ref="C508">SUM(C473+C440)</f>
        <v>0</v>
      </c>
      <c r="D508" s="772">
        <f aca="true" t="shared" si="410" ref="D508:E508">SUM(D473+D440)</f>
        <v>1</v>
      </c>
      <c r="E508" s="772">
        <f t="shared" si="410"/>
        <v>2</v>
      </c>
      <c r="F508" s="772">
        <f aca="true" t="shared" si="411" ref="F508">SUM(F473+F440)</f>
        <v>1</v>
      </c>
      <c r="G508" s="623">
        <f t="shared" si="323"/>
        <v>0.5</v>
      </c>
      <c r="H508" s="896"/>
    </row>
    <row r="509" spans="1:8" ht="13.8" thickBot="1">
      <c r="A509" s="302"/>
      <c r="B509" s="325" t="s">
        <v>51</v>
      </c>
      <c r="C509" s="774">
        <f aca="true" t="shared" si="412" ref="C509">SUM(C504:C508)</f>
        <v>1560299</v>
      </c>
      <c r="D509" s="774">
        <f aca="true" t="shared" si="413" ref="D509:E509">SUM(D504:D508)</f>
        <v>1634411</v>
      </c>
      <c r="E509" s="774">
        <f t="shared" si="413"/>
        <v>1682629</v>
      </c>
      <c r="F509" s="774">
        <f aca="true" t="shared" si="414" ref="F509">SUM(F504:F508)</f>
        <v>1175464</v>
      </c>
      <c r="G509" s="722">
        <f t="shared" si="323"/>
        <v>0.698587745724102</v>
      </c>
      <c r="H509" s="896"/>
    </row>
    <row r="510" spans="1:8" ht="12.75">
      <c r="A510" s="302"/>
      <c r="B510" s="322" t="s">
        <v>231</v>
      </c>
      <c r="C510" s="772">
        <f aca="true" t="shared" si="415" ref="C510">SUM(C475+C442)</f>
        <v>4500</v>
      </c>
      <c r="D510" s="772">
        <f aca="true" t="shared" si="416" ref="D510:E510">SUM(D475+D442)</f>
        <v>5430</v>
      </c>
      <c r="E510" s="772">
        <f t="shared" si="416"/>
        <v>5430</v>
      </c>
      <c r="F510" s="772">
        <f aca="true" t="shared" si="417" ref="F510">SUM(F475+F442)</f>
        <v>1029</v>
      </c>
      <c r="G510" s="307">
        <f t="shared" si="323"/>
        <v>0.18950276243093922</v>
      </c>
      <c r="H510" s="896"/>
    </row>
    <row r="511" spans="1:8" ht="12.75">
      <c r="A511" s="302"/>
      <c r="B511" s="322" t="s">
        <v>232</v>
      </c>
      <c r="C511" s="772">
        <f aca="true" t="shared" si="418" ref="C511">SUM(C476)</f>
        <v>0</v>
      </c>
      <c r="D511" s="772">
        <f aca="true" t="shared" si="419" ref="D511:E511">SUM(D476)</f>
        <v>0</v>
      </c>
      <c r="E511" s="772">
        <f t="shared" si="419"/>
        <v>0</v>
      </c>
      <c r="F511" s="772">
        <f aca="true" t="shared" si="420" ref="F511">SUM(F476)</f>
        <v>0</v>
      </c>
      <c r="G511" s="307"/>
      <c r="H511" s="896"/>
    </row>
    <row r="512" spans="1:8" ht="13.8" thickBot="1">
      <c r="A512" s="302"/>
      <c r="B512" s="324" t="s">
        <v>406</v>
      </c>
      <c r="C512" s="773"/>
      <c r="D512" s="773"/>
      <c r="E512" s="773"/>
      <c r="F512" s="773"/>
      <c r="G512" s="623"/>
      <c r="H512" s="896"/>
    </row>
    <row r="513" spans="1:8" ht="13.8" thickBot="1">
      <c r="A513" s="302"/>
      <c r="B513" s="326" t="s">
        <v>57</v>
      </c>
      <c r="C513" s="774">
        <f aca="true" t="shared" si="421" ref="C513">SUM(C510:C512)</f>
        <v>4500</v>
      </c>
      <c r="D513" s="774">
        <f aca="true" t="shared" si="422" ref="D513:E513">SUM(D510:D512)</f>
        <v>5430</v>
      </c>
      <c r="E513" s="774">
        <f t="shared" si="422"/>
        <v>5430</v>
      </c>
      <c r="F513" s="774">
        <f aca="true" t="shared" si="423" ref="F513">SUM(F510:F512)</f>
        <v>1029</v>
      </c>
      <c r="G513" s="722">
        <f t="shared" si="323"/>
        <v>0.18950276243093922</v>
      </c>
      <c r="H513" s="896"/>
    </row>
    <row r="514" spans="1:8" ht="14.4" thickBot="1">
      <c r="A514" s="299"/>
      <c r="B514" s="327" t="s">
        <v>103</v>
      </c>
      <c r="C514" s="779">
        <f aca="true" t="shared" si="424" ref="C514">SUM(C509+C513)</f>
        <v>1564799</v>
      </c>
      <c r="D514" s="779">
        <f aca="true" t="shared" si="425" ref="D514:E514">SUM(D509+D513)</f>
        <v>1639841</v>
      </c>
      <c r="E514" s="779">
        <f t="shared" si="425"/>
        <v>1688059</v>
      </c>
      <c r="F514" s="779">
        <f aca="true" t="shared" si="426" ref="F514">SUM(F509+F513)</f>
        <v>1176493</v>
      </c>
      <c r="G514" s="722">
        <f t="shared" si="323"/>
        <v>0.6969501658413598</v>
      </c>
      <c r="H514" s="896"/>
    </row>
    <row r="515" spans="1:8" ht="13.8">
      <c r="A515" s="219">
        <v>2985</v>
      </c>
      <c r="B515" s="222" t="s">
        <v>319</v>
      </c>
      <c r="C515" s="772"/>
      <c r="D515" s="772"/>
      <c r="E515" s="772"/>
      <c r="F515" s="772"/>
      <c r="G515" s="307"/>
      <c r="H515" s="896"/>
    </row>
    <row r="516" spans="1:8" ht="12.6" customHeight="1">
      <c r="A516" s="302"/>
      <c r="B516" s="303" t="s">
        <v>173</v>
      </c>
      <c r="C516" s="775"/>
      <c r="D516" s="775"/>
      <c r="E516" s="775"/>
      <c r="F516" s="775"/>
      <c r="G516" s="307"/>
      <c r="H516" s="896"/>
    </row>
    <row r="517" spans="1:8" ht="13.8" thickBot="1">
      <c r="A517" s="302"/>
      <c r="B517" s="304" t="s">
        <v>174</v>
      </c>
      <c r="C517" s="786"/>
      <c r="D517" s="786"/>
      <c r="E517" s="786"/>
      <c r="F517" s="786"/>
      <c r="G517" s="623"/>
      <c r="H517" s="896"/>
    </row>
    <row r="518" spans="1:8" ht="13.8" thickBot="1">
      <c r="A518" s="302"/>
      <c r="B518" s="305" t="s">
        <v>186</v>
      </c>
      <c r="C518" s="784"/>
      <c r="D518" s="784"/>
      <c r="E518" s="784"/>
      <c r="F518" s="784">
        <f>SUM(F516:F517)</f>
        <v>0</v>
      </c>
      <c r="G518" s="733"/>
      <c r="H518" s="896"/>
    </row>
    <row r="519" spans="1:8" ht="12.75">
      <c r="A519" s="302"/>
      <c r="B519" s="303" t="s">
        <v>379</v>
      </c>
      <c r="C519" s="793"/>
      <c r="D519" s="793"/>
      <c r="E519" s="793">
        <v>7</v>
      </c>
      <c r="F519" s="793">
        <v>27</v>
      </c>
      <c r="G519" s="307">
        <f t="shared" si="323"/>
        <v>3.857142857142857</v>
      </c>
      <c r="H519" s="896"/>
    </row>
    <row r="520" spans="1:8" ht="12.75">
      <c r="A520" s="302"/>
      <c r="B520" s="303" t="s">
        <v>176</v>
      </c>
      <c r="C520" s="772">
        <f aca="true" t="shared" si="427" ref="C520:F520">SUM(C521)</f>
        <v>11717</v>
      </c>
      <c r="D520" s="772">
        <f t="shared" si="427"/>
        <v>11717</v>
      </c>
      <c r="E520" s="772">
        <f t="shared" si="427"/>
        <v>1717</v>
      </c>
      <c r="F520" s="772">
        <f t="shared" si="427"/>
        <v>2363</v>
      </c>
      <c r="G520" s="307">
        <f t="shared" si="323"/>
        <v>1.3762376237623761</v>
      </c>
      <c r="H520" s="896"/>
    </row>
    <row r="521" spans="1:8" ht="12.75">
      <c r="A521" s="302"/>
      <c r="B521" s="308" t="s">
        <v>177</v>
      </c>
      <c r="C521" s="778">
        <v>11717</v>
      </c>
      <c r="D521" s="778">
        <v>11717</v>
      </c>
      <c r="E521" s="778">
        <f>11717-10000</f>
        <v>1717</v>
      </c>
      <c r="F521" s="778">
        <v>2363</v>
      </c>
      <c r="G521" s="307">
        <f t="shared" si="323"/>
        <v>1.3762376237623761</v>
      </c>
      <c r="H521" s="897"/>
    </row>
    <row r="522" spans="1:8" ht="12.75">
      <c r="A522" s="302"/>
      <c r="B522" s="308" t="s">
        <v>178</v>
      </c>
      <c r="C522" s="778"/>
      <c r="D522" s="778"/>
      <c r="E522" s="778"/>
      <c r="F522" s="778"/>
      <c r="G522" s="307"/>
      <c r="H522" s="896"/>
    </row>
    <row r="523" spans="1:8" ht="12.75">
      <c r="A523" s="302"/>
      <c r="B523" s="309" t="s">
        <v>179</v>
      </c>
      <c r="C523" s="772"/>
      <c r="D523" s="772"/>
      <c r="E523" s="772">
        <v>441</v>
      </c>
      <c r="F523" s="772">
        <v>611</v>
      </c>
      <c r="G523" s="307">
        <f aca="true" t="shared" si="428" ref="G523:G586">F523/E523</f>
        <v>1.3854875283446713</v>
      </c>
      <c r="H523" s="896"/>
    </row>
    <row r="524" spans="1:8" ht="12.75">
      <c r="A524" s="302"/>
      <c r="B524" s="309" t="s">
        <v>180</v>
      </c>
      <c r="C524" s="772"/>
      <c r="D524" s="772"/>
      <c r="E524" s="772"/>
      <c r="F524" s="772"/>
      <c r="G524" s="307"/>
      <c r="H524" s="896"/>
    </row>
    <row r="525" spans="1:8" ht="12.75">
      <c r="A525" s="302"/>
      <c r="B525" s="309" t="s">
        <v>181</v>
      </c>
      <c r="C525" s="772">
        <v>3164</v>
      </c>
      <c r="D525" s="772">
        <v>3164</v>
      </c>
      <c r="E525" s="772">
        <f>3164-2579</f>
        <v>585</v>
      </c>
      <c r="F525" s="772">
        <v>802</v>
      </c>
      <c r="G525" s="307">
        <f t="shared" si="428"/>
        <v>1.370940170940171</v>
      </c>
      <c r="H525" s="897"/>
    </row>
    <row r="526" spans="1:8" ht="12.75">
      <c r="A526" s="302"/>
      <c r="B526" s="309" t="s">
        <v>328</v>
      </c>
      <c r="C526" s="772"/>
      <c r="D526" s="772"/>
      <c r="E526" s="772"/>
      <c r="F526" s="772"/>
      <c r="G526" s="307"/>
      <c r="H526" s="896"/>
    </row>
    <row r="527" spans="1:8" ht="12.75">
      <c r="A527" s="302"/>
      <c r="B527" s="310" t="s">
        <v>424</v>
      </c>
      <c r="C527" s="772"/>
      <c r="D527" s="772"/>
      <c r="E527" s="772"/>
      <c r="F527" s="772"/>
      <c r="G527" s="307"/>
      <c r="H527" s="896"/>
    </row>
    <row r="528" spans="1:8" ht="13.8" thickBot="1">
      <c r="A528" s="302"/>
      <c r="B528" s="311" t="s">
        <v>182</v>
      </c>
      <c r="C528" s="772"/>
      <c r="D528" s="772"/>
      <c r="E528" s="772"/>
      <c r="F528" s="772">
        <v>4</v>
      </c>
      <c r="G528" s="623">
        <v>1</v>
      </c>
      <c r="H528" s="896"/>
    </row>
    <row r="529" spans="1:8" ht="13.8" thickBot="1">
      <c r="A529" s="302"/>
      <c r="B529" s="312" t="s">
        <v>324</v>
      </c>
      <c r="C529" s="774">
        <f aca="true" t="shared" si="429" ref="C529">SUM(C520+C523+C524+C525+C528+C519+C526+C527)</f>
        <v>14881</v>
      </c>
      <c r="D529" s="774">
        <f aca="true" t="shared" si="430" ref="D529:F529">SUM(D520+D523+D524+D525+D528+D519+D526+D527)</f>
        <v>14881</v>
      </c>
      <c r="E529" s="774">
        <f t="shared" si="430"/>
        <v>2750</v>
      </c>
      <c r="F529" s="774">
        <f t="shared" si="430"/>
        <v>3807</v>
      </c>
      <c r="G529" s="722">
        <f t="shared" si="428"/>
        <v>1.3843636363636365</v>
      </c>
      <c r="H529" s="896"/>
    </row>
    <row r="530" spans="1:8" ht="13.8" thickBot="1">
      <c r="A530" s="302"/>
      <c r="B530" s="597" t="s">
        <v>210</v>
      </c>
      <c r="C530" s="779"/>
      <c r="D530" s="779"/>
      <c r="E530" s="779"/>
      <c r="F530" s="779"/>
      <c r="G530" s="722"/>
      <c r="H530" s="896"/>
    </row>
    <row r="531" spans="1:8" ht="13.8" thickBot="1">
      <c r="A531" s="302"/>
      <c r="B531" s="314" t="s">
        <v>58</v>
      </c>
      <c r="C531" s="1039">
        <f aca="true" t="shared" si="431" ref="C531">SUM(C529+C518+C530)</f>
        <v>14881</v>
      </c>
      <c r="D531" s="1039">
        <f aca="true" t="shared" si="432" ref="D531:F531">SUM(D529+D518+D530)</f>
        <v>14881</v>
      </c>
      <c r="E531" s="1039">
        <f t="shared" si="432"/>
        <v>2750</v>
      </c>
      <c r="F531" s="1039">
        <f t="shared" si="432"/>
        <v>3807</v>
      </c>
      <c r="G531" s="722">
        <f t="shared" si="428"/>
        <v>1.3843636363636365</v>
      </c>
      <c r="H531" s="896"/>
    </row>
    <row r="532" spans="1:8" ht="13.8" thickBot="1">
      <c r="A532" s="302"/>
      <c r="B532" s="127" t="s">
        <v>224</v>
      </c>
      <c r="C532" s="780"/>
      <c r="D532" s="780"/>
      <c r="E532" s="780"/>
      <c r="F532" s="780"/>
      <c r="G532" s="733"/>
      <c r="H532" s="896"/>
    </row>
    <row r="533" spans="1:8" ht="13.8" thickBot="1">
      <c r="A533" s="302"/>
      <c r="B533" s="315" t="s">
        <v>59</v>
      </c>
      <c r="C533" s="781"/>
      <c r="D533" s="781"/>
      <c r="E533" s="781"/>
      <c r="F533" s="781">
        <f>F532</f>
        <v>0</v>
      </c>
      <c r="G533" s="733"/>
      <c r="H533" s="896"/>
    </row>
    <row r="534" spans="1:8" ht="12.75">
      <c r="A534" s="302"/>
      <c r="B534" s="637" t="s">
        <v>397</v>
      </c>
      <c r="C534" s="782"/>
      <c r="D534" s="782">
        <v>1500</v>
      </c>
      <c r="E534" s="782">
        <v>1500</v>
      </c>
      <c r="F534" s="782">
        <v>1500</v>
      </c>
      <c r="G534" s="307">
        <f t="shared" si="428"/>
        <v>1</v>
      </c>
      <c r="H534" s="896"/>
    </row>
    <row r="535" spans="1:8" ht="13.8" thickBot="1">
      <c r="A535" s="302"/>
      <c r="B535" s="318" t="s">
        <v>430</v>
      </c>
      <c r="C535" s="773">
        <v>239644</v>
      </c>
      <c r="D535" s="773">
        <v>268418</v>
      </c>
      <c r="E535" s="773">
        <f>268418+6307+1040</f>
        <v>275765</v>
      </c>
      <c r="F535" s="773">
        <v>141927</v>
      </c>
      <c r="G535" s="623">
        <f t="shared" si="428"/>
        <v>0.5146664732652803</v>
      </c>
      <c r="H535" s="897"/>
    </row>
    <row r="536" spans="1:8" ht="13.8" thickBot="1">
      <c r="A536" s="302"/>
      <c r="B536" s="319" t="s">
        <v>52</v>
      </c>
      <c r="C536" s="781">
        <f aca="true" t="shared" si="433" ref="C536">SUM(C534:C535)</f>
        <v>239644</v>
      </c>
      <c r="D536" s="781">
        <f aca="true" t="shared" si="434" ref="D536:E536">SUM(D534:D535)</f>
        <v>269918</v>
      </c>
      <c r="E536" s="781">
        <f t="shared" si="434"/>
        <v>277265</v>
      </c>
      <c r="F536" s="781">
        <f aca="true" t="shared" si="435" ref="F536">SUM(F534:F535)</f>
        <v>143427</v>
      </c>
      <c r="G536" s="722">
        <f t="shared" si="428"/>
        <v>0.5172921212558382</v>
      </c>
      <c r="H536" s="896"/>
    </row>
    <row r="537" spans="1:8" ht="14.4" thickBot="1">
      <c r="A537" s="302"/>
      <c r="B537" s="321" t="s">
        <v>66</v>
      </c>
      <c r="C537" s="774">
        <f aca="true" t="shared" si="436" ref="C537">SUM(C531+C533+C536)</f>
        <v>254525</v>
      </c>
      <c r="D537" s="774">
        <f aca="true" t="shared" si="437" ref="D537:E537">SUM(D531+D533+D536)</f>
        <v>284799</v>
      </c>
      <c r="E537" s="774">
        <f t="shared" si="437"/>
        <v>280015</v>
      </c>
      <c r="F537" s="774">
        <f aca="true" t="shared" si="438" ref="F537">SUM(F531+F533+F536)</f>
        <v>147234</v>
      </c>
      <c r="G537" s="722">
        <f t="shared" si="428"/>
        <v>0.5258075460243201</v>
      </c>
      <c r="H537" s="896"/>
    </row>
    <row r="538" spans="1:8" ht="12.75">
      <c r="A538" s="302"/>
      <c r="B538" s="322" t="s">
        <v>304</v>
      </c>
      <c r="C538" s="772">
        <v>122111</v>
      </c>
      <c r="D538" s="772">
        <f>122111+91</f>
        <v>122202</v>
      </c>
      <c r="E538" s="772">
        <f>122202+5484+900-6000</f>
        <v>122586</v>
      </c>
      <c r="F538" s="772">
        <v>74980</v>
      </c>
      <c r="G538" s="307">
        <f t="shared" si="428"/>
        <v>0.611652227823732</v>
      </c>
      <c r="H538" s="897"/>
    </row>
    <row r="539" spans="1:8" ht="12.75">
      <c r="A539" s="302"/>
      <c r="B539" s="322" t="s">
        <v>305</v>
      </c>
      <c r="C539" s="772">
        <v>18577</v>
      </c>
      <c r="D539" s="772">
        <f>18577+413</f>
        <v>18990</v>
      </c>
      <c r="E539" s="772">
        <f>18990+823+140-930</f>
        <v>19023</v>
      </c>
      <c r="F539" s="772">
        <v>11882</v>
      </c>
      <c r="G539" s="307">
        <f t="shared" si="428"/>
        <v>0.6246123114125006</v>
      </c>
      <c r="H539" s="898"/>
    </row>
    <row r="540" spans="1:8" ht="12.75">
      <c r="A540" s="302"/>
      <c r="B540" s="322" t="s">
        <v>306</v>
      </c>
      <c r="C540" s="772">
        <v>111137</v>
      </c>
      <c r="D540" s="772">
        <v>140907</v>
      </c>
      <c r="E540" s="772">
        <f>140907-5329</f>
        <v>135578</v>
      </c>
      <c r="F540" s="772">
        <v>59306</v>
      </c>
      <c r="G540" s="307">
        <f t="shared" si="428"/>
        <v>0.4374308516130936</v>
      </c>
      <c r="H540" s="898"/>
    </row>
    <row r="541" spans="1:8" ht="12.75">
      <c r="A541" s="302"/>
      <c r="B541" s="322" t="s">
        <v>308</v>
      </c>
      <c r="C541" s="772"/>
      <c r="D541" s="772"/>
      <c r="E541" s="772"/>
      <c r="F541" s="772"/>
      <c r="G541" s="307"/>
      <c r="H541" s="896"/>
    </row>
    <row r="542" spans="1:8" ht="13.8" thickBot="1">
      <c r="A542" s="302"/>
      <c r="B542" s="546" t="s">
        <v>307</v>
      </c>
      <c r="C542" s="773"/>
      <c r="D542" s="773"/>
      <c r="E542" s="773">
        <v>128</v>
      </c>
      <c r="F542" s="773">
        <v>128</v>
      </c>
      <c r="G542" s="623">
        <f t="shared" si="428"/>
        <v>1</v>
      </c>
      <c r="H542" s="896"/>
    </row>
    <row r="543" spans="1:8" ht="12.75">
      <c r="A543" s="545"/>
      <c r="B543" s="656" t="s">
        <v>51</v>
      </c>
      <c r="C543" s="794">
        <f aca="true" t="shared" si="439" ref="C543">SUM(C538:C542)</f>
        <v>251825</v>
      </c>
      <c r="D543" s="933">
        <f aca="true" t="shared" si="440" ref="D543:F543">SUM(D538:D542)</f>
        <v>282099</v>
      </c>
      <c r="E543" s="933">
        <f t="shared" si="440"/>
        <v>277315</v>
      </c>
      <c r="F543" s="933">
        <f t="shared" si="440"/>
        <v>146296</v>
      </c>
      <c r="G543" s="1043">
        <f t="shared" si="428"/>
        <v>0.5275444891188721</v>
      </c>
      <c r="H543" s="896"/>
    </row>
    <row r="544" spans="1:8" ht="12.75">
      <c r="A544" s="302"/>
      <c r="B544" s="543" t="s">
        <v>13</v>
      </c>
      <c r="C544" s="778">
        <v>41000</v>
      </c>
      <c r="D544" s="778">
        <v>60000</v>
      </c>
      <c r="E544" s="778">
        <v>60000</v>
      </c>
      <c r="F544" s="778">
        <v>28683</v>
      </c>
      <c r="G544" s="307">
        <f t="shared" si="428"/>
        <v>0.47805</v>
      </c>
      <c r="H544" s="898"/>
    </row>
    <row r="545" spans="1:8" ht="12.75">
      <c r="A545" s="302"/>
      <c r="B545" s="655" t="s">
        <v>12</v>
      </c>
      <c r="C545" s="795">
        <v>6029</v>
      </c>
      <c r="D545" s="795">
        <v>6029</v>
      </c>
      <c r="E545" s="795">
        <v>6029</v>
      </c>
      <c r="F545" s="795">
        <v>4966</v>
      </c>
      <c r="G545" s="834">
        <f t="shared" si="428"/>
        <v>0.8236855199867308</v>
      </c>
      <c r="H545" s="898"/>
    </row>
    <row r="546" spans="1:8" ht="12.75">
      <c r="A546" s="302"/>
      <c r="B546" s="322" t="s">
        <v>231</v>
      </c>
      <c r="C546" s="772">
        <v>2700</v>
      </c>
      <c r="D546" s="772">
        <v>2700</v>
      </c>
      <c r="E546" s="772">
        <v>2700</v>
      </c>
      <c r="F546" s="772">
        <v>580</v>
      </c>
      <c r="G546" s="307">
        <f t="shared" si="428"/>
        <v>0.21481481481481482</v>
      </c>
      <c r="H546" s="898"/>
    </row>
    <row r="547" spans="1:8" ht="12.75">
      <c r="A547" s="302"/>
      <c r="B547" s="322" t="s">
        <v>232</v>
      </c>
      <c r="C547" s="772"/>
      <c r="D547" s="772"/>
      <c r="E547" s="772"/>
      <c r="F547" s="772"/>
      <c r="G547" s="307"/>
      <c r="H547" s="896"/>
    </row>
    <row r="548" spans="1:8" ht="13.8" thickBot="1">
      <c r="A548" s="302"/>
      <c r="B548" s="324" t="s">
        <v>406</v>
      </c>
      <c r="C548" s="773"/>
      <c r="D548" s="773"/>
      <c r="E548" s="773"/>
      <c r="F548" s="773"/>
      <c r="G548" s="623"/>
      <c r="H548" s="896"/>
    </row>
    <row r="549" spans="1:8" ht="13.8" thickBot="1">
      <c r="A549" s="302"/>
      <c r="B549" s="326" t="s">
        <v>57</v>
      </c>
      <c r="C549" s="774">
        <f aca="true" t="shared" si="441" ref="C549">SUM(C546:C548)</f>
        <v>2700</v>
      </c>
      <c r="D549" s="774">
        <f aca="true" t="shared" si="442" ref="D549:E549">SUM(D546:D548)</f>
        <v>2700</v>
      </c>
      <c r="E549" s="774">
        <f t="shared" si="442"/>
        <v>2700</v>
      </c>
      <c r="F549" s="774">
        <f aca="true" t="shared" si="443" ref="F549">SUM(F546:F548)</f>
        <v>580</v>
      </c>
      <c r="G549" s="722">
        <f t="shared" si="428"/>
        <v>0.21481481481481482</v>
      </c>
      <c r="H549" s="896"/>
    </row>
    <row r="550" spans="1:8" ht="14.4" thickBot="1">
      <c r="A550" s="299"/>
      <c r="B550" s="327" t="s">
        <v>103</v>
      </c>
      <c r="C550" s="774">
        <f aca="true" t="shared" si="444" ref="C550">SUM(C543+C549)</f>
        <v>254525</v>
      </c>
      <c r="D550" s="779">
        <f aca="true" t="shared" si="445" ref="D550:E550">SUM(D543+D549)</f>
        <v>284799</v>
      </c>
      <c r="E550" s="779">
        <f t="shared" si="445"/>
        <v>280015</v>
      </c>
      <c r="F550" s="779">
        <f aca="true" t="shared" si="446" ref="F550">SUM(F543+F549)</f>
        <v>146876</v>
      </c>
      <c r="G550" s="734">
        <f t="shared" si="428"/>
        <v>0.5245290430869775</v>
      </c>
      <c r="H550" s="896"/>
    </row>
    <row r="551" spans="1:8" ht="13.8">
      <c r="A551" s="219">
        <v>2986</v>
      </c>
      <c r="B551" s="222" t="s">
        <v>376</v>
      </c>
      <c r="C551" s="772"/>
      <c r="D551" s="772"/>
      <c r="E551" s="772"/>
      <c r="F551" s="772"/>
      <c r="G551" s="307"/>
      <c r="H551" s="896"/>
    </row>
    <row r="552" spans="1:8" ht="12.75">
      <c r="A552" s="302"/>
      <c r="B552" s="303" t="s">
        <v>173</v>
      </c>
      <c r="C552" s="775"/>
      <c r="D552" s="775"/>
      <c r="E552" s="775"/>
      <c r="F552" s="775"/>
      <c r="G552" s="307"/>
      <c r="H552" s="896"/>
    </row>
    <row r="553" spans="1:8" ht="13.8" thickBot="1">
      <c r="A553" s="302"/>
      <c r="B553" s="304" t="s">
        <v>174</v>
      </c>
      <c r="C553" s="786"/>
      <c r="D553" s="786"/>
      <c r="E553" s="786"/>
      <c r="F553" s="786"/>
      <c r="G553" s="623"/>
      <c r="H553" s="897"/>
    </row>
    <row r="554" spans="1:8" ht="13.8" thickBot="1">
      <c r="A554" s="302"/>
      <c r="B554" s="305" t="s">
        <v>186</v>
      </c>
      <c r="C554" s="784"/>
      <c r="D554" s="784"/>
      <c r="E554" s="784"/>
      <c r="F554" s="784">
        <f>SUM(F552:F553)</f>
        <v>0</v>
      </c>
      <c r="G554" s="733"/>
      <c r="H554" s="896"/>
    </row>
    <row r="555" spans="1:8" ht="12.75">
      <c r="A555" s="302"/>
      <c r="B555" s="303" t="s">
        <v>176</v>
      </c>
      <c r="C555" s="772">
        <f aca="true" t="shared" si="447" ref="C555">SUM(C556:C557)</f>
        <v>9000</v>
      </c>
      <c r="D555" s="772">
        <f aca="true" t="shared" si="448" ref="D555:F555">SUM(D556:D557)</f>
        <v>9000</v>
      </c>
      <c r="E555" s="772">
        <f t="shared" si="448"/>
        <v>7000</v>
      </c>
      <c r="F555" s="772">
        <f t="shared" si="448"/>
        <v>5523</v>
      </c>
      <c r="G555" s="307">
        <f t="shared" si="428"/>
        <v>0.789</v>
      </c>
      <c r="H555" s="896"/>
    </row>
    <row r="556" spans="1:8" ht="12.75">
      <c r="A556" s="302"/>
      <c r="B556" s="308" t="s">
        <v>177</v>
      </c>
      <c r="C556" s="778">
        <v>9000</v>
      </c>
      <c r="D556" s="778">
        <v>9000</v>
      </c>
      <c r="E556" s="778">
        <f>9000-2000</f>
        <v>7000</v>
      </c>
      <c r="F556" s="778">
        <v>5523</v>
      </c>
      <c r="G556" s="307">
        <f t="shared" si="428"/>
        <v>0.789</v>
      </c>
      <c r="H556" s="897"/>
    </row>
    <row r="557" spans="1:8" ht="12.75">
      <c r="A557" s="302"/>
      <c r="B557" s="308" t="s">
        <v>178</v>
      </c>
      <c r="C557" s="778"/>
      <c r="D557" s="778"/>
      <c r="E557" s="778"/>
      <c r="F557" s="778"/>
      <c r="G557" s="307"/>
      <c r="H557" s="896"/>
    </row>
    <row r="558" spans="1:8" ht="12.75">
      <c r="A558" s="302"/>
      <c r="B558" s="309" t="s">
        <v>179</v>
      </c>
      <c r="C558" s="772"/>
      <c r="D558" s="772"/>
      <c r="E558" s="772"/>
      <c r="F558" s="772"/>
      <c r="G558" s="307"/>
      <c r="H558" s="896"/>
    </row>
    <row r="559" spans="1:8" ht="12.75">
      <c r="A559" s="302"/>
      <c r="B559" s="309" t="s">
        <v>180</v>
      </c>
      <c r="C559" s="772"/>
      <c r="D559" s="772"/>
      <c r="E559" s="772"/>
      <c r="F559" s="772"/>
      <c r="G559" s="307"/>
      <c r="H559" s="896"/>
    </row>
    <row r="560" spans="1:8" ht="12.75">
      <c r="A560" s="302"/>
      <c r="B560" s="309" t="s">
        <v>181</v>
      </c>
      <c r="C560" s="772">
        <v>2430</v>
      </c>
      <c r="D560" s="772">
        <v>2430</v>
      </c>
      <c r="E560" s="772">
        <f>2430-540</f>
        <v>1890</v>
      </c>
      <c r="F560" s="772">
        <v>1491</v>
      </c>
      <c r="G560" s="307">
        <f t="shared" si="428"/>
        <v>0.7888888888888889</v>
      </c>
      <c r="H560" s="897"/>
    </row>
    <row r="561" spans="1:8" ht="12.75">
      <c r="A561" s="302"/>
      <c r="B561" s="309" t="s">
        <v>468</v>
      </c>
      <c r="C561" s="772"/>
      <c r="D561" s="772"/>
      <c r="E561" s="772">
        <v>5887</v>
      </c>
      <c r="F561" s="772">
        <v>7018</v>
      </c>
      <c r="G561" s="307">
        <f t="shared" si="428"/>
        <v>1.1921182266009853</v>
      </c>
      <c r="H561" s="897"/>
    </row>
    <row r="562" spans="1:8" ht="12.75">
      <c r="A562" s="302"/>
      <c r="B562" s="310" t="s">
        <v>424</v>
      </c>
      <c r="C562" s="772"/>
      <c r="D562" s="772"/>
      <c r="E562" s="772"/>
      <c r="F562" s="772">
        <v>3</v>
      </c>
      <c r="G562" s="307">
        <v>1</v>
      </c>
      <c r="H562" s="896"/>
    </row>
    <row r="563" spans="1:8" ht="13.8" thickBot="1">
      <c r="A563" s="302"/>
      <c r="B563" s="311" t="s">
        <v>182</v>
      </c>
      <c r="C563" s="772"/>
      <c r="D563" s="772"/>
      <c r="E563" s="772"/>
      <c r="F563" s="772"/>
      <c r="G563" s="623"/>
      <c r="H563" s="896"/>
    </row>
    <row r="564" spans="1:8" ht="13.8" thickBot="1">
      <c r="A564" s="302"/>
      <c r="B564" s="312" t="s">
        <v>324</v>
      </c>
      <c r="C564" s="774">
        <f aca="true" t="shared" si="449" ref="C564">SUM(C555+C558+C559+C560+C563+C561+C562)</f>
        <v>11430</v>
      </c>
      <c r="D564" s="774">
        <f aca="true" t="shared" si="450" ref="D564:F564">SUM(D555+D558+D559+D560+D563+D561+D562)</f>
        <v>11430</v>
      </c>
      <c r="E564" s="774">
        <f t="shared" si="450"/>
        <v>14777</v>
      </c>
      <c r="F564" s="774">
        <f t="shared" si="450"/>
        <v>14035</v>
      </c>
      <c r="G564" s="722">
        <f t="shared" si="428"/>
        <v>0.949786830885836</v>
      </c>
      <c r="H564" s="896"/>
    </row>
    <row r="565" spans="1:8" ht="13.8" thickBot="1">
      <c r="A565" s="302"/>
      <c r="B565" s="597" t="s">
        <v>210</v>
      </c>
      <c r="C565" s="779"/>
      <c r="D565" s="779"/>
      <c r="E565" s="779"/>
      <c r="F565" s="779"/>
      <c r="G565" s="733"/>
      <c r="H565" s="896"/>
    </row>
    <row r="566" spans="1:8" ht="13.8" thickBot="1">
      <c r="A566" s="302"/>
      <c r="B566" s="314" t="s">
        <v>58</v>
      </c>
      <c r="C566" s="1039">
        <f aca="true" t="shared" si="451" ref="C566">SUM(C564+C554+C565)</f>
        <v>11430</v>
      </c>
      <c r="D566" s="1039">
        <f aca="true" t="shared" si="452" ref="D566:F566">SUM(D564+D554+D565)</f>
        <v>11430</v>
      </c>
      <c r="E566" s="1039">
        <f t="shared" si="452"/>
        <v>14777</v>
      </c>
      <c r="F566" s="1039">
        <f t="shared" si="452"/>
        <v>14035</v>
      </c>
      <c r="G566" s="722">
        <f t="shared" si="428"/>
        <v>0.949786830885836</v>
      </c>
      <c r="H566" s="896"/>
    </row>
    <row r="567" spans="1:8" ht="13.8" thickBot="1">
      <c r="A567" s="302"/>
      <c r="B567" s="127" t="s">
        <v>224</v>
      </c>
      <c r="C567" s="780"/>
      <c r="D567" s="780"/>
      <c r="E567" s="780"/>
      <c r="F567" s="780"/>
      <c r="G567" s="733"/>
      <c r="H567" s="896"/>
    </row>
    <row r="568" spans="1:8" ht="13.8" thickBot="1">
      <c r="A568" s="302"/>
      <c r="B568" s="842" t="s">
        <v>552</v>
      </c>
      <c r="C568" s="780"/>
      <c r="D568" s="780"/>
      <c r="E568" s="780"/>
      <c r="F568" s="780"/>
      <c r="G568" s="733"/>
      <c r="H568" s="896"/>
    </row>
    <row r="569" spans="1:8" ht="13.8" thickBot="1">
      <c r="A569" s="302"/>
      <c r="B569" s="315" t="s">
        <v>59</v>
      </c>
      <c r="C569" s="781"/>
      <c r="D569" s="781"/>
      <c r="E569" s="781"/>
      <c r="F569" s="781">
        <f>F567+F568</f>
        <v>0</v>
      </c>
      <c r="G569" s="733"/>
      <c r="H569" s="896"/>
    </row>
    <row r="570" spans="1:8" ht="12.75">
      <c r="A570" s="302"/>
      <c r="B570" s="637" t="s">
        <v>397</v>
      </c>
      <c r="C570" s="782"/>
      <c r="D570" s="782">
        <v>47759</v>
      </c>
      <c r="E570" s="782">
        <v>47759</v>
      </c>
      <c r="F570" s="782">
        <v>47759</v>
      </c>
      <c r="G570" s="307">
        <f t="shared" si="428"/>
        <v>1</v>
      </c>
      <c r="H570" s="896"/>
    </row>
    <row r="571" spans="1:8" ht="13.8" thickBot="1">
      <c r="A571" s="302"/>
      <c r="B571" s="318" t="s">
        <v>430</v>
      </c>
      <c r="C571" s="773">
        <v>114828</v>
      </c>
      <c r="D571" s="773">
        <v>124112</v>
      </c>
      <c r="E571" s="773">
        <f>124112+2775</f>
        <v>126887</v>
      </c>
      <c r="F571" s="773">
        <v>62582</v>
      </c>
      <c r="G571" s="623">
        <f t="shared" si="428"/>
        <v>0.4932104943768865</v>
      </c>
      <c r="H571" s="897"/>
    </row>
    <row r="572" spans="1:8" ht="13.8" thickBot="1">
      <c r="A572" s="302"/>
      <c r="B572" s="319" t="s">
        <v>52</v>
      </c>
      <c r="C572" s="781">
        <f aca="true" t="shared" si="453" ref="C572">SUM(C570:C571)</f>
        <v>114828</v>
      </c>
      <c r="D572" s="781">
        <f aca="true" t="shared" si="454" ref="D572:F572">SUM(D570:D571)</f>
        <v>171871</v>
      </c>
      <c r="E572" s="781">
        <f t="shared" si="454"/>
        <v>174646</v>
      </c>
      <c r="F572" s="781">
        <f t="shared" si="454"/>
        <v>110341</v>
      </c>
      <c r="G572" s="722">
        <f t="shared" si="428"/>
        <v>0.6317980371723372</v>
      </c>
      <c r="H572" s="896"/>
    </row>
    <row r="573" spans="1:8" ht="13.8" thickBot="1">
      <c r="A573" s="302"/>
      <c r="B573" s="241" t="s">
        <v>397</v>
      </c>
      <c r="C573" s="780"/>
      <c r="D573" s="780">
        <v>3000</v>
      </c>
      <c r="E573" s="780">
        <v>3000</v>
      </c>
      <c r="F573" s="780">
        <v>3000</v>
      </c>
      <c r="G573" s="733">
        <f t="shared" si="428"/>
        <v>1</v>
      </c>
      <c r="H573" s="896"/>
    </row>
    <row r="574" spans="1:8" ht="13.8" thickBot="1">
      <c r="A574" s="302"/>
      <c r="B574" s="319" t="s">
        <v>54</v>
      </c>
      <c r="C574" s="781">
        <f aca="true" t="shared" si="455" ref="C574">SUM(C573)</f>
        <v>0</v>
      </c>
      <c r="D574" s="781">
        <f aca="true" t="shared" si="456" ref="D574:E574">SUM(D573)</f>
        <v>3000</v>
      </c>
      <c r="E574" s="781">
        <f t="shared" si="456"/>
        <v>3000</v>
      </c>
      <c r="F574" s="781">
        <f aca="true" t="shared" si="457" ref="F574">SUM(F573)</f>
        <v>3000</v>
      </c>
      <c r="G574" s="722">
        <f t="shared" si="428"/>
        <v>1</v>
      </c>
      <c r="H574" s="896"/>
    </row>
    <row r="575" spans="1:8" ht="14.4" thickBot="1">
      <c r="A575" s="302"/>
      <c r="B575" s="321" t="s">
        <v>66</v>
      </c>
      <c r="C575" s="774">
        <f>SUM(C566+C569+C572)</f>
        <v>126258</v>
      </c>
      <c r="D575" s="774">
        <f>SUM(D566+D569+D572)+D574</f>
        <v>186301</v>
      </c>
      <c r="E575" s="774">
        <f>SUM(E566+E569+E572)+E574</f>
        <v>192423</v>
      </c>
      <c r="F575" s="774">
        <f>SUM(F566+F569+F572)+F574</f>
        <v>127376</v>
      </c>
      <c r="G575" s="722">
        <f t="shared" si="428"/>
        <v>0.6619582898094303</v>
      </c>
      <c r="H575" s="896"/>
    </row>
    <row r="576" spans="1:8" ht="12.75">
      <c r="A576" s="302"/>
      <c r="B576" s="322" t="s">
        <v>304</v>
      </c>
      <c r="C576" s="772">
        <v>60130</v>
      </c>
      <c r="D576" s="772">
        <f>60130+340</f>
        <v>60470</v>
      </c>
      <c r="E576" s="772">
        <f>60470+2413+2873</f>
        <v>65756</v>
      </c>
      <c r="F576" s="772">
        <v>42564</v>
      </c>
      <c r="G576" s="307">
        <f t="shared" si="428"/>
        <v>0.6473021473325629</v>
      </c>
      <c r="H576" s="897"/>
    </row>
    <row r="577" spans="1:8" ht="12.75">
      <c r="A577" s="302"/>
      <c r="B577" s="322" t="s">
        <v>305</v>
      </c>
      <c r="C577" s="772">
        <v>9628</v>
      </c>
      <c r="D577" s="772">
        <f>9628+157</f>
        <v>9785</v>
      </c>
      <c r="E577" s="772">
        <f>9785+362+291</f>
        <v>10438</v>
      </c>
      <c r="F577" s="772">
        <v>5843</v>
      </c>
      <c r="G577" s="307">
        <f t="shared" si="428"/>
        <v>0.559781567350067</v>
      </c>
      <c r="H577" s="897"/>
    </row>
    <row r="578" spans="1:8" ht="12.75">
      <c r="A578" s="302"/>
      <c r="B578" s="322" t="s">
        <v>306</v>
      </c>
      <c r="C578" s="772">
        <v>55000</v>
      </c>
      <c r="D578" s="772">
        <v>111546</v>
      </c>
      <c r="E578" s="772">
        <f>111546+183</f>
        <v>111729</v>
      </c>
      <c r="F578" s="772">
        <v>54936</v>
      </c>
      <c r="G578" s="307">
        <f t="shared" si="428"/>
        <v>0.49168971350320867</v>
      </c>
      <c r="H578" s="897"/>
    </row>
    <row r="579" spans="1:8" ht="12.75">
      <c r="A579" s="302"/>
      <c r="B579" s="322" t="s">
        <v>308</v>
      </c>
      <c r="C579" s="772"/>
      <c r="D579" s="772"/>
      <c r="E579" s="772"/>
      <c r="F579" s="772"/>
      <c r="G579" s="307"/>
      <c r="H579" s="899"/>
    </row>
    <row r="580" spans="1:8" ht="13.8" thickBot="1">
      <c r="A580" s="302"/>
      <c r="B580" s="546" t="s">
        <v>307</v>
      </c>
      <c r="C580" s="773"/>
      <c r="D580" s="773"/>
      <c r="E580" s="773"/>
      <c r="F580" s="773"/>
      <c r="G580" s="623"/>
      <c r="H580" s="896"/>
    </row>
    <row r="581" spans="1:8" ht="13.8" thickBot="1">
      <c r="A581" s="302"/>
      <c r="B581" s="325" t="s">
        <v>51</v>
      </c>
      <c r="C581" s="774">
        <f aca="true" t="shared" si="458" ref="C581">SUM(C576:C580)</f>
        <v>124758</v>
      </c>
      <c r="D581" s="774">
        <f aca="true" t="shared" si="459" ref="D581:F581">SUM(D576:D580)</f>
        <v>181801</v>
      </c>
      <c r="E581" s="774">
        <f t="shared" si="459"/>
        <v>187923</v>
      </c>
      <c r="F581" s="774">
        <f t="shared" si="459"/>
        <v>103343</v>
      </c>
      <c r="G581" s="722">
        <f t="shared" si="428"/>
        <v>0.5499220425386994</v>
      </c>
      <c r="H581" s="896"/>
    </row>
    <row r="582" spans="1:8" ht="12.75">
      <c r="A582" s="302"/>
      <c r="B582" s="322" t="s">
        <v>231</v>
      </c>
      <c r="C582" s="772">
        <v>1500</v>
      </c>
      <c r="D582" s="772">
        <f>1500+3000</f>
        <v>4500</v>
      </c>
      <c r="E582" s="772">
        <f>1500+3000</f>
        <v>4500</v>
      </c>
      <c r="F582" s="772">
        <v>264</v>
      </c>
      <c r="G582" s="307">
        <f t="shared" si="428"/>
        <v>0.058666666666666666</v>
      </c>
      <c r="H582" s="897"/>
    </row>
    <row r="583" spans="1:8" ht="12.75">
      <c r="A583" s="302"/>
      <c r="B583" s="322" t="s">
        <v>232</v>
      </c>
      <c r="C583" s="772"/>
      <c r="D583" s="772"/>
      <c r="E583" s="772"/>
      <c r="F583" s="772"/>
      <c r="G583" s="307"/>
      <c r="H583" s="896"/>
    </row>
    <row r="584" spans="1:8" ht="13.8" thickBot="1">
      <c r="A584" s="302"/>
      <c r="B584" s="324" t="s">
        <v>406</v>
      </c>
      <c r="C584" s="773"/>
      <c r="D584" s="773"/>
      <c r="E584" s="773"/>
      <c r="F584" s="773"/>
      <c r="G584" s="623"/>
      <c r="H584" s="896"/>
    </row>
    <row r="585" spans="1:8" ht="13.8" thickBot="1">
      <c r="A585" s="302"/>
      <c r="B585" s="326" t="s">
        <v>57</v>
      </c>
      <c r="C585" s="774">
        <f aca="true" t="shared" si="460" ref="C585">SUM(C582:C584)</f>
        <v>1500</v>
      </c>
      <c r="D585" s="774">
        <f aca="true" t="shared" si="461" ref="D585:E585">SUM(D582:D584)</f>
        <v>4500</v>
      </c>
      <c r="E585" s="774">
        <f t="shared" si="461"/>
        <v>4500</v>
      </c>
      <c r="F585" s="774">
        <f aca="true" t="shared" si="462" ref="F585">SUM(F582:F584)</f>
        <v>264</v>
      </c>
      <c r="G585" s="722">
        <f t="shared" si="428"/>
        <v>0.058666666666666666</v>
      </c>
      <c r="H585" s="896"/>
    </row>
    <row r="586" spans="1:8" ht="14.4" thickBot="1">
      <c r="A586" s="299"/>
      <c r="B586" s="327" t="s">
        <v>103</v>
      </c>
      <c r="C586" s="774">
        <f aca="true" t="shared" si="463" ref="C586">SUM(C585,C581)</f>
        <v>126258</v>
      </c>
      <c r="D586" s="779">
        <f aca="true" t="shared" si="464" ref="D586:E586">SUM(D585,D581)</f>
        <v>186301</v>
      </c>
      <c r="E586" s="779">
        <f t="shared" si="464"/>
        <v>192423</v>
      </c>
      <c r="F586" s="779">
        <f aca="true" t="shared" si="465" ref="F586">SUM(F585,F581)</f>
        <v>103607</v>
      </c>
      <c r="G586" s="734">
        <f t="shared" si="428"/>
        <v>0.5384335552402779</v>
      </c>
      <c r="H586" s="896"/>
    </row>
    <row r="587" spans="1:8" ht="13.8">
      <c r="A587" s="219">
        <v>2991</v>
      </c>
      <c r="B587" s="222" t="s">
        <v>187</v>
      </c>
      <c r="C587" s="785"/>
      <c r="D587" s="785"/>
      <c r="E587" s="785"/>
      <c r="F587" s="785"/>
      <c r="G587" s="307"/>
      <c r="H587" s="896"/>
    </row>
    <row r="588" spans="1:8" ht="12.75">
      <c r="A588" s="302"/>
      <c r="B588" s="303" t="s">
        <v>173</v>
      </c>
      <c r="C588" s="775"/>
      <c r="D588" s="775"/>
      <c r="E588" s="775"/>
      <c r="F588" s="775"/>
      <c r="G588" s="307"/>
      <c r="H588" s="896"/>
    </row>
    <row r="589" spans="1:8" ht="13.8" thickBot="1">
      <c r="A589" s="302"/>
      <c r="B589" s="304" t="s">
        <v>174</v>
      </c>
      <c r="C589" s="773">
        <f aca="true" t="shared" si="466" ref="C589">SUM(C482+C517+C378+C553)</f>
        <v>0</v>
      </c>
      <c r="D589" s="773">
        <f aca="true" t="shared" si="467" ref="D589:E589">SUM(D482+D517+D378+D553)</f>
        <v>0</v>
      </c>
      <c r="E589" s="773">
        <f t="shared" si="467"/>
        <v>285</v>
      </c>
      <c r="F589" s="773">
        <f>SUM(F482+F517+F378+F553)</f>
        <v>685</v>
      </c>
      <c r="G589" s="623">
        <f aca="true" t="shared" si="468" ref="G589:G625">F589/E589</f>
        <v>2.4035087719298245</v>
      </c>
      <c r="H589" s="897"/>
    </row>
    <row r="590" spans="1:8" ht="13.8" thickBot="1">
      <c r="A590" s="302"/>
      <c r="B590" s="305" t="s">
        <v>186</v>
      </c>
      <c r="C590" s="796">
        <f aca="true" t="shared" si="469" ref="C590">SUM(C589)</f>
        <v>0</v>
      </c>
      <c r="D590" s="796">
        <f aca="true" t="shared" si="470" ref="D590:F590">SUM(D589)</f>
        <v>0</v>
      </c>
      <c r="E590" s="796">
        <f t="shared" si="470"/>
        <v>285</v>
      </c>
      <c r="F590" s="796">
        <f t="shared" si="470"/>
        <v>685</v>
      </c>
      <c r="G590" s="733">
        <f t="shared" si="468"/>
        <v>2.4035087719298245</v>
      </c>
      <c r="H590" s="896"/>
    </row>
    <row r="591" spans="1:8" ht="12.75">
      <c r="A591" s="302"/>
      <c r="B591" s="303" t="s">
        <v>381</v>
      </c>
      <c r="C591" s="772">
        <f aca="true" t="shared" si="471" ref="C591">SUM(C519)</f>
        <v>0</v>
      </c>
      <c r="D591" s="772">
        <f aca="true" t="shared" si="472" ref="D591:E591">SUM(D519)</f>
        <v>0</v>
      </c>
      <c r="E591" s="772">
        <f t="shared" si="472"/>
        <v>7</v>
      </c>
      <c r="F591" s="772">
        <f aca="true" t="shared" si="473" ref="F591">SUM(F519)</f>
        <v>27</v>
      </c>
      <c r="G591" s="307">
        <f t="shared" si="468"/>
        <v>3.857142857142857</v>
      </c>
      <c r="H591" s="896"/>
    </row>
    <row r="592" spans="1:8" ht="12.75">
      <c r="A592" s="302"/>
      <c r="B592" s="303" t="s">
        <v>176</v>
      </c>
      <c r="C592" s="772">
        <f aca="true" t="shared" si="474" ref="C592">SUM(C520+C484+C380+C555)</f>
        <v>65571</v>
      </c>
      <c r="D592" s="772">
        <f aca="true" t="shared" si="475" ref="D592:E592">SUM(D520+D484+D380+D555)</f>
        <v>65571</v>
      </c>
      <c r="E592" s="772">
        <f t="shared" si="475"/>
        <v>54300</v>
      </c>
      <c r="F592" s="772">
        <f aca="true" t="shared" si="476" ref="F592">SUM(F520+F484+F380+F555)</f>
        <v>45174</v>
      </c>
      <c r="G592" s="307">
        <f t="shared" si="468"/>
        <v>0.8319337016574586</v>
      </c>
      <c r="H592" s="896"/>
    </row>
    <row r="593" spans="1:8" ht="12.75">
      <c r="A593" s="302"/>
      <c r="B593" s="308" t="s">
        <v>177</v>
      </c>
      <c r="C593" s="778">
        <f aca="true" t="shared" si="477" ref="C593">SUM(C521+C485+C381+C556)</f>
        <v>23813</v>
      </c>
      <c r="D593" s="778">
        <f aca="true" t="shared" si="478" ref="D593:E593">SUM(D521+D485+D381+D556)</f>
        <v>23813</v>
      </c>
      <c r="E593" s="778">
        <f t="shared" si="478"/>
        <v>12542</v>
      </c>
      <c r="F593" s="778">
        <f aca="true" t="shared" si="479" ref="F593">SUM(F521+F485+F381+F556)</f>
        <v>12497</v>
      </c>
      <c r="G593" s="307">
        <f t="shared" si="468"/>
        <v>0.9964120554935417</v>
      </c>
      <c r="H593" s="897"/>
    </row>
    <row r="594" spans="1:8" ht="12.75">
      <c r="A594" s="302"/>
      <c r="B594" s="308" t="s">
        <v>178</v>
      </c>
      <c r="C594" s="778">
        <f aca="true" t="shared" si="480" ref="C594">SUM(C522+C486+C382)</f>
        <v>41758</v>
      </c>
      <c r="D594" s="778">
        <f aca="true" t="shared" si="481" ref="D594:E594">SUM(D522+D486+D382)</f>
        <v>41758</v>
      </c>
      <c r="E594" s="778">
        <f t="shared" si="481"/>
        <v>41758</v>
      </c>
      <c r="F594" s="778">
        <f aca="true" t="shared" si="482" ref="F594">SUM(F522+F486+F382)</f>
        <v>32677</v>
      </c>
      <c r="G594" s="307">
        <f t="shared" si="468"/>
        <v>0.7825326883471431</v>
      </c>
      <c r="H594" s="897"/>
    </row>
    <row r="595" spans="1:8" ht="12.75">
      <c r="A595" s="302"/>
      <c r="B595" s="309" t="s">
        <v>179</v>
      </c>
      <c r="C595" s="772">
        <f aca="true" t="shared" si="483" ref="C595">SUM(C523+C487+C383)</f>
        <v>9838</v>
      </c>
      <c r="D595" s="772">
        <f aca="true" t="shared" si="484" ref="D595:E595">SUM(D523+D487+D383)</f>
        <v>9838</v>
      </c>
      <c r="E595" s="772">
        <f t="shared" si="484"/>
        <v>10279</v>
      </c>
      <c r="F595" s="772">
        <f aca="true" t="shared" si="485" ref="F595">SUM(F523+F487+F383)</f>
        <v>9493</v>
      </c>
      <c r="G595" s="307">
        <f t="shared" si="468"/>
        <v>0.9235334176476311</v>
      </c>
      <c r="H595" s="897"/>
    </row>
    <row r="596" spans="1:8" ht="12.75">
      <c r="A596" s="302"/>
      <c r="B596" s="309" t="s">
        <v>180</v>
      </c>
      <c r="C596" s="772">
        <f aca="true" t="shared" si="486" ref="C596">SUM(C524+C488+C384)</f>
        <v>191068</v>
      </c>
      <c r="D596" s="772">
        <f aca="true" t="shared" si="487" ref="D596:E596">SUM(D524+D488+D384)</f>
        <v>191068</v>
      </c>
      <c r="E596" s="772">
        <f t="shared" si="487"/>
        <v>191068</v>
      </c>
      <c r="F596" s="772">
        <f aca="true" t="shared" si="488" ref="F596">SUM(F524+F488+F384)</f>
        <v>108481</v>
      </c>
      <c r="G596" s="307">
        <f t="shared" si="468"/>
        <v>0.5677612159021919</v>
      </c>
      <c r="H596" s="897"/>
    </row>
    <row r="597" spans="1:8" ht="12.75">
      <c r="A597" s="302"/>
      <c r="B597" s="309" t="s">
        <v>181</v>
      </c>
      <c r="C597" s="772">
        <f aca="true" t="shared" si="489" ref="C597">SUM(C525+C489+C385+C560)</f>
        <v>66661</v>
      </c>
      <c r="D597" s="772">
        <f aca="true" t="shared" si="490" ref="D597:E597">SUM(D525+D489+D385+D560)</f>
        <v>66661</v>
      </c>
      <c r="E597" s="772">
        <f t="shared" si="490"/>
        <v>63542</v>
      </c>
      <c r="F597" s="772">
        <f aca="true" t="shared" si="491" ref="F597">SUM(F525+F489+F385+F560)</f>
        <v>40385</v>
      </c>
      <c r="G597" s="307">
        <f t="shared" si="468"/>
        <v>0.6355638790091593</v>
      </c>
      <c r="H597" s="897"/>
    </row>
    <row r="598" spans="1:8" ht="12.75">
      <c r="A598" s="302"/>
      <c r="B598" s="309" t="s">
        <v>328</v>
      </c>
      <c r="C598" s="772">
        <f aca="true" t="shared" si="492" ref="C598">C490+C526+C561</f>
        <v>5070</v>
      </c>
      <c r="D598" s="772">
        <f aca="true" t="shared" si="493" ref="D598:E598">D490+D526+D561</f>
        <v>5070</v>
      </c>
      <c r="E598" s="772">
        <f t="shared" si="493"/>
        <v>10957</v>
      </c>
      <c r="F598" s="772">
        <f aca="true" t="shared" si="494" ref="F598">F490+F526+F561</f>
        <v>13860</v>
      </c>
      <c r="G598" s="307">
        <f t="shared" si="468"/>
        <v>1.2649447841562471</v>
      </c>
      <c r="H598" s="896"/>
    </row>
    <row r="599" spans="1:8" ht="12.75">
      <c r="A599" s="302"/>
      <c r="B599" s="310" t="s">
        <v>424</v>
      </c>
      <c r="C599" s="772">
        <f aca="true" t="shared" si="495" ref="C599">SUM(C527+C491+C387+C562)</f>
        <v>0</v>
      </c>
      <c r="D599" s="772">
        <f aca="true" t="shared" si="496" ref="D599:E599">SUM(D527+D491+D387+D562)</f>
        <v>0</v>
      </c>
      <c r="E599" s="772">
        <f t="shared" si="496"/>
        <v>0</v>
      </c>
      <c r="F599" s="772">
        <f>SUM(F527+F491+F387+F562)</f>
        <v>5</v>
      </c>
      <c r="G599" s="307">
        <v>1</v>
      </c>
      <c r="H599" s="896"/>
    </row>
    <row r="600" spans="1:8" ht="13.8" thickBot="1">
      <c r="A600" s="302"/>
      <c r="B600" s="311" t="s">
        <v>182</v>
      </c>
      <c r="C600" s="772">
        <f aca="true" t="shared" si="497" ref="C600">SUM(C528+C492+C388+C563)</f>
        <v>0</v>
      </c>
      <c r="D600" s="772">
        <f aca="true" t="shared" si="498" ref="D600:E600">SUM(D528+D492+D388+D563)</f>
        <v>0</v>
      </c>
      <c r="E600" s="772">
        <f t="shared" si="498"/>
        <v>0</v>
      </c>
      <c r="F600" s="772">
        <f aca="true" t="shared" si="499" ref="F600">SUM(F528+F492+F388+F563)</f>
        <v>947</v>
      </c>
      <c r="G600" s="623">
        <v>1</v>
      </c>
      <c r="H600" s="896"/>
    </row>
    <row r="601" spans="1:8" ht="13.8" thickBot="1">
      <c r="A601" s="302"/>
      <c r="B601" s="312" t="s">
        <v>324</v>
      </c>
      <c r="C601" s="774">
        <f aca="true" t="shared" si="500" ref="C601">SUM(C592+C595+C596+C597+C600+C598+C599+C591)</f>
        <v>338208</v>
      </c>
      <c r="D601" s="774">
        <f aca="true" t="shared" si="501" ref="D601:E601">SUM(D592+D595+D596+D597+D600+D598+D599+D591)</f>
        <v>338208</v>
      </c>
      <c r="E601" s="774">
        <f t="shared" si="501"/>
        <v>330153</v>
      </c>
      <c r="F601" s="774">
        <f>SUM(F592+F595+F596+F597+F600+F598+F599+F591)</f>
        <v>218372</v>
      </c>
      <c r="G601" s="722">
        <f t="shared" si="468"/>
        <v>0.6614266718763725</v>
      </c>
      <c r="H601" s="896"/>
    </row>
    <row r="602" spans="1:8" ht="13.8" thickBot="1">
      <c r="A602" s="302"/>
      <c r="B602" s="597" t="s">
        <v>210</v>
      </c>
      <c r="C602" s="774">
        <f aca="true" t="shared" si="502" ref="C602">SUM(C530)</f>
        <v>0</v>
      </c>
      <c r="D602" s="774">
        <f aca="true" t="shared" si="503" ref="D602:E602">SUM(D530)</f>
        <v>0</v>
      </c>
      <c r="E602" s="774">
        <f t="shared" si="503"/>
        <v>0</v>
      </c>
      <c r="F602" s="774">
        <f aca="true" t="shared" si="504" ref="F602">SUM(F530)</f>
        <v>0</v>
      </c>
      <c r="G602" s="733"/>
      <c r="H602" s="896"/>
    </row>
    <row r="603" spans="1:8" ht="13.8" thickBot="1">
      <c r="A603" s="302"/>
      <c r="B603" s="314" t="s">
        <v>58</v>
      </c>
      <c r="C603" s="1026">
        <f aca="true" t="shared" si="505" ref="C603">SUM(C601+C590+C602)</f>
        <v>338208</v>
      </c>
      <c r="D603" s="1026">
        <f aca="true" t="shared" si="506" ref="D603:E603">SUM(D601+D590+D602)</f>
        <v>338208</v>
      </c>
      <c r="E603" s="1026">
        <f t="shared" si="506"/>
        <v>330438</v>
      </c>
      <c r="F603" s="1026">
        <f aca="true" t="shared" si="507" ref="F603">SUM(F601+F590+F602)</f>
        <v>219057</v>
      </c>
      <c r="G603" s="722">
        <f t="shared" si="468"/>
        <v>0.6629292030577597</v>
      </c>
      <c r="H603" s="896"/>
    </row>
    <row r="604" spans="1:8" ht="12.75">
      <c r="A604" s="302"/>
      <c r="B604" s="644" t="s">
        <v>437</v>
      </c>
      <c r="C604" s="789">
        <f>SUM(C391)</f>
        <v>0</v>
      </c>
      <c r="D604" s="782">
        <f>SUM(D391)</f>
        <v>0</v>
      </c>
      <c r="E604" s="782">
        <f>SUM(E391)</f>
        <v>0</v>
      </c>
      <c r="F604" s="782">
        <f>SUM(F391)</f>
        <v>0</v>
      </c>
      <c r="G604" s="307"/>
      <c r="H604" s="896"/>
    </row>
    <row r="605" spans="1:8" ht="13.8" thickBot="1">
      <c r="A605" s="302"/>
      <c r="B605" s="143" t="s">
        <v>224</v>
      </c>
      <c r="C605" s="780">
        <f aca="true" t="shared" si="508" ref="C605">SUM(C532+C392)</f>
        <v>0</v>
      </c>
      <c r="D605" s="780">
        <f aca="true" t="shared" si="509" ref="D605:E605">SUM(D532+D392)</f>
        <v>0</v>
      </c>
      <c r="E605" s="780">
        <f t="shared" si="509"/>
        <v>0</v>
      </c>
      <c r="F605" s="780">
        <f aca="true" t="shared" si="510" ref="F605">SUM(F532+F392)</f>
        <v>0</v>
      </c>
      <c r="G605" s="623"/>
      <c r="H605" s="896"/>
    </row>
    <row r="606" spans="1:8" ht="13.8" thickBot="1">
      <c r="A606" s="302"/>
      <c r="B606" s="315" t="s">
        <v>59</v>
      </c>
      <c r="C606" s="790">
        <f aca="true" t="shared" si="511" ref="C606">SUM(C604+C605)</f>
        <v>0</v>
      </c>
      <c r="D606" s="790">
        <f aca="true" t="shared" si="512" ref="D606:E606">SUM(D604+D605)</f>
        <v>0</v>
      </c>
      <c r="E606" s="790">
        <f t="shared" si="512"/>
        <v>0</v>
      </c>
      <c r="F606" s="790">
        <f aca="true" t="shared" si="513" ref="F606">SUM(F604+F605)</f>
        <v>0</v>
      </c>
      <c r="G606" s="733"/>
      <c r="H606" s="896"/>
    </row>
    <row r="607" spans="1:8" ht="12.75">
      <c r="A607" s="302"/>
      <c r="B607" s="637" t="s">
        <v>397</v>
      </c>
      <c r="C607" s="782">
        <f aca="true" t="shared" si="514" ref="C607">SUM(C534+C496+C394+C570)</f>
        <v>0</v>
      </c>
      <c r="D607" s="782">
        <f aca="true" t="shared" si="515" ref="D607:E607">SUM(D534+D496+D394+D570)</f>
        <v>73430</v>
      </c>
      <c r="E607" s="782">
        <f t="shared" si="515"/>
        <v>73430</v>
      </c>
      <c r="F607" s="782">
        <f aca="true" t="shared" si="516" ref="F607">SUM(F534+F496+F394+F570)</f>
        <v>73430</v>
      </c>
      <c r="G607" s="307">
        <f t="shared" si="468"/>
        <v>1</v>
      </c>
      <c r="H607" s="896"/>
    </row>
    <row r="608" spans="1:8" ht="12.75">
      <c r="A608" s="302"/>
      <c r="B608" s="125" t="s">
        <v>621</v>
      </c>
      <c r="C608" s="782"/>
      <c r="D608" s="782">
        <f>SUM(D497)</f>
        <v>13</v>
      </c>
      <c r="E608" s="782">
        <f>SUM(E497)</f>
        <v>13</v>
      </c>
      <c r="F608" s="782">
        <f>SUM(F497)</f>
        <v>13</v>
      </c>
      <c r="G608" s="307">
        <f t="shared" si="468"/>
        <v>1</v>
      </c>
      <c r="H608" s="896"/>
    </row>
    <row r="609" spans="1:8" ht="12.75">
      <c r="A609" s="302"/>
      <c r="B609" s="317" t="s">
        <v>430</v>
      </c>
      <c r="C609" s="772">
        <f aca="true" t="shared" si="517" ref="C609">SUM(C535+C498+C395+C571)</f>
        <v>4150285</v>
      </c>
      <c r="D609" s="772">
        <f aca="true" t="shared" si="518" ref="D609:E609">SUM(D535+D498+D395+D571)</f>
        <v>4356417</v>
      </c>
      <c r="E609" s="772">
        <f t="shared" si="518"/>
        <v>4470138</v>
      </c>
      <c r="F609" s="772">
        <f aca="true" t="shared" si="519" ref="F609">SUM(F535+F498+F395+F571)</f>
        <v>2892120</v>
      </c>
      <c r="G609" s="307">
        <f t="shared" si="468"/>
        <v>0.6469867373222035</v>
      </c>
      <c r="H609" s="897"/>
    </row>
    <row r="610" spans="1:8" ht="13.8" thickBot="1">
      <c r="A610" s="302"/>
      <c r="B610" s="318" t="s">
        <v>433</v>
      </c>
      <c r="C610" s="773">
        <f aca="true" t="shared" si="520" ref="C610">SUM(C499+C396)</f>
        <v>432652</v>
      </c>
      <c r="D610" s="773">
        <f aca="true" t="shared" si="521" ref="D610:E610">SUM(D499+D396)</f>
        <v>467652</v>
      </c>
      <c r="E610" s="773">
        <f t="shared" si="521"/>
        <v>467652</v>
      </c>
      <c r="F610" s="773">
        <f aca="true" t="shared" si="522" ref="F610">SUM(F499+F396)</f>
        <v>265206</v>
      </c>
      <c r="G610" s="623">
        <f t="shared" si="468"/>
        <v>0.567101177798876</v>
      </c>
      <c r="H610" s="897"/>
    </row>
    <row r="611" spans="1:8" ht="13.8" thickBot="1">
      <c r="A611" s="302"/>
      <c r="B611" s="319" t="s">
        <v>52</v>
      </c>
      <c r="C611" s="781">
        <f aca="true" t="shared" si="523" ref="C611">SUM(C607:C610)</f>
        <v>4582937</v>
      </c>
      <c r="D611" s="781">
        <f aca="true" t="shared" si="524" ref="D611:E611">SUM(D607:D610)</f>
        <v>4897512</v>
      </c>
      <c r="E611" s="781">
        <f t="shared" si="524"/>
        <v>5011233</v>
      </c>
      <c r="F611" s="781">
        <f aca="true" t="shared" si="525" ref="F611">SUM(F607:F610)</f>
        <v>3230769</v>
      </c>
      <c r="G611" s="722">
        <f t="shared" si="468"/>
        <v>0.6447054048374921</v>
      </c>
      <c r="H611" s="896"/>
    </row>
    <row r="612" spans="1:8" ht="13.8" thickBot="1">
      <c r="A612" s="302"/>
      <c r="B612" s="241" t="s">
        <v>397</v>
      </c>
      <c r="C612" s="780">
        <f>SUM(C502)</f>
        <v>0</v>
      </c>
      <c r="D612" s="780">
        <f>SUM(D502)+D398+D573</f>
        <v>8214</v>
      </c>
      <c r="E612" s="780">
        <f>SUM(E502)+E398+E573</f>
        <v>8214</v>
      </c>
      <c r="F612" s="780">
        <f>SUM(F502)+F398+F573</f>
        <v>8214</v>
      </c>
      <c r="G612" s="733">
        <f t="shared" si="468"/>
        <v>1</v>
      </c>
      <c r="H612" s="896"/>
    </row>
    <row r="613" spans="1:8" ht="13.8" thickBot="1">
      <c r="A613" s="302"/>
      <c r="B613" s="319" t="s">
        <v>54</v>
      </c>
      <c r="C613" s="781">
        <f aca="true" t="shared" si="526" ref="C613">SUM(C612)</f>
        <v>0</v>
      </c>
      <c r="D613" s="781">
        <f aca="true" t="shared" si="527" ref="D613:E613">SUM(D612)</f>
        <v>8214</v>
      </c>
      <c r="E613" s="781">
        <f t="shared" si="527"/>
        <v>8214</v>
      </c>
      <c r="F613" s="781">
        <f aca="true" t="shared" si="528" ref="F613">SUM(F612)</f>
        <v>8214</v>
      </c>
      <c r="G613" s="722">
        <f t="shared" si="468"/>
        <v>1</v>
      </c>
      <c r="H613" s="896"/>
    </row>
    <row r="614" spans="1:8" ht="14.4" thickBot="1">
      <c r="A614" s="302"/>
      <c r="B614" s="321" t="s">
        <v>66</v>
      </c>
      <c r="C614" s="774">
        <f aca="true" t="shared" si="529" ref="C614">SUM(C603+C606+C611+C613)</f>
        <v>4921145</v>
      </c>
      <c r="D614" s="774">
        <f aca="true" t="shared" si="530" ref="D614:E614">SUM(D603+D606+D611+D613)</f>
        <v>5243934</v>
      </c>
      <c r="E614" s="774">
        <f t="shared" si="530"/>
        <v>5349885</v>
      </c>
      <c r="F614" s="774">
        <f aca="true" t="shared" si="531" ref="F614">SUM(F603+F606+F611+F613)</f>
        <v>3458040</v>
      </c>
      <c r="G614" s="722">
        <f t="shared" si="468"/>
        <v>0.6463765108969632</v>
      </c>
      <c r="H614" s="1064"/>
    </row>
    <row r="615" spans="1:8" ht="12.75">
      <c r="A615" s="302"/>
      <c r="B615" s="322" t="s">
        <v>304</v>
      </c>
      <c r="C615" s="772">
        <f aca="true" t="shared" si="532" ref="C615">SUM(C538+C504+C401+C576)</f>
        <v>2938045</v>
      </c>
      <c r="D615" s="772">
        <f aca="true" t="shared" si="533" ref="D615:E615">SUM(D538+D504+D401+D576)</f>
        <v>3003328</v>
      </c>
      <c r="E615" s="772">
        <f t="shared" si="533"/>
        <v>3055577</v>
      </c>
      <c r="F615" s="772">
        <f aca="true" t="shared" si="534" ref="F615">SUM(F538+F504+F401+F576)</f>
        <v>2078120</v>
      </c>
      <c r="G615" s="307">
        <f t="shared" si="468"/>
        <v>0.6801072268838259</v>
      </c>
      <c r="H615" s="1065"/>
    </row>
    <row r="616" spans="1:8" ht="12.75">
      <c r="A616" s="302"/>
      <c r="B616" s="322" t="s">
        <v>305</v>
      </c>
      <c r="C616" s="772">
        <f aca="true" t="shared" si="535" ref="C616">SUM(C539+C505+C402+C577)</f>
        <v>489097</v>
      </c>
      <c r="D616" s="772">
        <f aca="true" t="shared" si="536" ref="D616:E616">SUM(D539+D505+D402+D577)</f>
        <v>501984</v>
      </c>
      <c r="E616" s="772">
        <f t="shared" si="536"/>
        <v>509690</v>
      </c>
      <c r="F616" s="772">
        <f aca="true" t="shared" si="537" ref="F616">SUM(F539+F505+F402+F577)</f>
        <v>350475</v>
      </c>
      <c r="G616" s="307">
        <f t="shared" si="468"/>
        <v>0.6876238497910495</v>
      </c>
      <c r="H616" s="1065"/>
    </row>
    <row r="617" spans="1:8" ht="12.75">
      <c r="A617" s="302"/>
      <c r="B617" s="322" t="s">
        <v>306</v>
      </c>
      <c r="C617" s="772">
        <f aca="true" t="shared" si="538" ref="C617">SUM(C540+C506+C403+C578)</f>
        <v>1477973</v>
      </c>
      <c r="D617" s="772">
        <f aca="true" t="shared" si="539" ref="D617:E617">SUM(D540+D506+D403+D578)</f>
        <v>1714377</v>
      </c>
      <c r="E617" s="772">
        <f t="shared" si="539"/>
        <v>1721974</v>
      </c>
      <c r="F617" s="772">
        <f aca="true" t="shared" si="540" ref="F617">SUM(F540+F506+F403+F578)</f>
        <v>919318</v>
      </c>
      <c r="G617" s="307">
        <f t="shared" si="468"/>
        <v>0.5338744952014374</v>
      </c>
      <c r="H617" s="1065"/>
    </row>
    <row r="618" spans="1:8" ht="12.75">
      <c r="A618" s="302"/>
      <c r="B618" s="323" t="s">
        <v>308</v>
      </c>
      <c r="C618" s="772">
        <f aca="true" t="shared" si="541" ref="C618">SUM(C472)</f>
        <v>230</v>
      </c>
      <c r="D618" s="772">
        <f aca="true" t="shared" si="542" ref="D618:E618">SUM(D472)</f>
        <v>230</v>
      </c>
      <c r="E618" s="772">
        <f t="shared" si="542"/>
        <v>230</v>
      </c>
      <c r="F618" s="772">
        <f aca="true" t="shared" si="543" ref="F618">SUM(F472)</f>
        <v>227</v>
      </c>
      <c r="G618" s="307">
        <f t="shared" si="468"/>
        <v>0.9869565217391304</v>
      </c>
      <c r="H618" s="1065"/>
    </row>
    <row r="619" spans="1:8" ht="13.8" thickBot="1">
      <c r="A619" s="302"/>
      <c r="B619" s="324" t="s">
        <v>307</v>
      </c>
      <c r="C619" s="772">
        <f aca="true" t="shared" si="544" ref="C619">SUM(C542+C508+C405)</f>
        <v>0</v>
      </c>
      <c r="D619" s="772">
        <f aca="true" t="shared" si="545" ref="D619:E619">SUM(D542+D508+D405)</f>
        <v>1</v>
      </c>
      <c r="E619" s="772">
        <f t="shared" si="545"/>
        <v>1400</v>
      </c>
      <c r="F619" s="772">
        <f aca="true" t="shared" si="546" ref="F619">SUM(F542+F508+F405)</f>
        <v>1399</v>
      </c>
      <c r="G619" s="623">
        <f t="shared" si="468"/>
        <v>0.9992857142857143</v>
      </c>
      <c r="H619" s="1065"/>
    </row>
    <row r="620" spans="1:8" ht="13.8" thickBot="1">
      <c r="A620" s="302"/>
      <c r="B620" s="325" t="s">
        <v>51</v>
      </c>
      <c r="C620" s="774">
        <f aca="true" t="shared" si="547" ref="C620">SUM(C615:C619)</f>
        <v>4905345</v>
      </c>
      <c r="D620" s="774">
        <f aca="true" t="shared" si="548" ref="D620:E620">SUM(D615:D619)</f>
        <v>5219920</v>
      </c>
      <c r="E620" s="774">
        <f t="shared" si="548"/>
        <v>5288871</v>
      </c>
      <c r="F620" s="774">
        <f aca="true" t="shared" si="549" ref="F620">SUM(F615:F619)</f>
        <v>3349539</v>
      </c>
      <c r="G620" s="722">
        <f t="shared" si="468"/>
        <v>0.6333183395851402</v>
      </c>
      <c r="H620" s="1065"/>
    </row>
    <row r="621" spans="1:8" ht="12.75">
      <c r="A621" s="302"/>
      <c r="B621" s="322" t="s">
        <v>231</v>
      </c>
      <c r="C621" s="772">
        <f aca="true" t="shared" si="550" ref="C621">SUM(C407+C510+C546+C582)</f>
        <v>15800</v>
      </c>
      <c r="D621" s="772">
        <f aca="true" t="shared" si="551" ref="D621:E621">SUM(D407+D510+D546+D582)</f>
        <v>24014</v>
      </c>
      <c r="E621" s="772">
        <f t="shared" si="551"/>
        <v>61014</v>
      </c>
      <c r="F621" s="772">
        <f aca="true" t="shared" si="552" ref="F621">SUM(F407+F510+F546+F582)</f>
        <v>15762</v>
      </c>
      <c r="G621" s="307">
        <f t="shared" si="468"/>
        <v>0.2583341528173862</v>
      </c>
      <c r="H621" s="1065"/>
    </row>
    <row r="622" spans="1:8" ht="12.75">
      <c r="A622" s="302"/>
      <c r="B622" s="322" t="s">
        <v>232</v>
      </c>
      <c r="C622" s="772">
        <f aca="true" t="shared" si="553" ref="C622">SUM(C547+C511+C408)</f>
        <v>0</v>
      </c>
      <c r="D622" s="772">
        <f aca="true" t="shared" si="554" ref="D622:E622">SUM(D547+D511+D408)</f>
        <v>0</v>
      </c>
      <c r="E622" s="772">
        <f t="shared" si="554"/>
        <v>0</v>
      </c>
      <c r="F622" s="772">
        <f aca="true" t="shared" si="555" ref="F622">SUM(F547+F511+F408)</f>
        <v>0</v>
      </c>
      <c r="G622" s="307"/>
      <c r="H622" s="1065"/>
    </row>
    <row r="623" spans="1:8" ht="13.8" thickBot="1">
      <c r="A623" s="302"/>
      <c r="B623" s="324" t="s">
        <v>406</v>
      </c>
      <c r="C623" s="773"/>
      <c r="D623" s="773"/>
      <c r="E623" s="773"/>
      <c r="F623" s="773"/>
      <c r="G623" s="734"/>
      <c r="H623" s="1065"/>
    </row>
    <row r="624" spans="1:9" ht="13.8" thickBot="1">
      <c r="A624" s="302"/>
      <c r="B624" s="326" t="s">
        <v>57</v>
      </c>
      <c r="C624" s="774">
        <f aca="true" t="shared" si="556" ref="C624">SUM(C621:C623)</f>
        <v>15800</v>
      </c>
      <c r="D624" s="774">
        <f aca="true" t="shared" si="557" ref="D624:E624">SUM(D621:D623)</f>
        <v>24014</v>
      </c>
      <c r="E624" s="774">
        <f t="shared" si="557"/>
        <v>61014</v>
      </c>
      <c r="F624" s="774">
        <f aca="true" t="shared" si="558" ref="F624">SUM(F621:F623)</f>
        <v>15762</v>
      </c>
      <c r="G624" s="722">
        <f t="shared" si="468"/>
        <v>0.2583341528173862</v>
      </c>
      <c r="H624" s="1065"/>
      <c r="I624" s="752"/>
    </row>
    <row r="625" spans="1:9" ht="14.4" thickBot="1">
      <c r="A625" s="299"/>
      <c r="B625" s="327" t="s">
        <v>103</v>
      </c>
      <c r="C625" s="774">
        <f aca="true" t="shared" si="559" ref="C625">SUM(C620+C624)</f>
        <v>4921145</v>
      </c>
      <c r="D625" s="774">
        <f aca="true" t="shared" si="560" ref="D625:E625">SUM(D620+D624)</f>
        <v>5243934</v>
      </c>
      <c r="E625" s="774">
        <f t="shared" si="560"/>
        <v>5349885</v>
      </c>
      <c r="F625" s="774">
        <f aca="true" t="shared" si="561" ref="F625">SUM(F620+F624)</f>
        <v>3365301</v>
      </c>
      <c r="G625" s="722">
        <f t="shared" si="468"/>
        <v>0.6290417457571518</v>
      </c>
      <c r="H625" s="1065"/>
      <c r="I625" s="753"/>
    </row>
  </sheetData>
  <mergeCells count="9">
    <mergeCell ref="A2:G2"/>
    <mergeCell ref="G5:G7"/>
    <mergeCell ref="A1:G1"/>
    <mergeCell ref="B5:B7"/>
    <mergeCell ref="A5:A7"/>
    <mergeCell ref="C5:C7"/>
    <mergeCell ref="D5:D7"/>
    <mergeCell ref="E5:E7"/>
    <mergeCell ref="F5:F7"/>
  </mergeCells>
  <printOptions horizontalCentered="1" verticalCentered="1"/>
  <pageMargins left="0" right="0" top="0.984251968503937" bottom="0.7874015748031497" header="0.31496062992125984" footer="0.5118110236220472"/>
  <pageSetup firstPageNumber="12" useFirstPageNumber="1" horizontalDpi="600" verticalDpi="600" orientation="portrait" paperSize="9" scale="66" r:id="rId3"/>
  <headerFooter alignWithMargins="0">
    <oddFooter>&amp;C&amp;P. oldal</oddFooter>
  </headerFooter>
  <rowBreaks count="8" manualBreakCount="8">
    <brk id="75" max="16383" man="1"/>
    <brk id="142" max="16383" man="1"/>
    <brk id="208" max="16383" man="1"/>
    <brk id="274" max="16383" man="1"/>
    <brk id="341" max="16383" man="1"/>
    <brk id="411" max="16383" man="1"/>
    <brk id="479" max="16383" man="1"/>
    <brk id="550" max="16383" man="1"/>
  </row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3793" r:id="rId4" name="Button 1">
              <controlPr defaultSize="0" print="0" autoFill="0" autoPict="0" macro="[7]!run">
                <anchor moveWithCells="1">
                  <from>
                    <xdr:col>0</xdr:col>
                    <xdr:colOff>83820</xdr:colOff>
                    <xdr:row>0</xdr:row>
                    <xdr:rowOff>38100</xdr:rowOff>
                  </from>
                  <to>
                    <xdr:col>0</xdr:col>
                    <xdr:colOff>251460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4" r:id="rId5" name="Button 2">
              <controlPr defaultSize="0" print="0" autoFill="0" autoLine="0" autoPict="0" macro="[7]!run">
                <anchor moveWithCells="1">
                  <from>
                    <xdr:col>0</xdr:col>
                    <xdr:colOff>83820</xdr:colOff>
                    <xdr:row>0</xdr:row>
                    <xdr:rowOff>38100</xdr:rowOff>
                  </from>
                  <to>
                    <xdr:col>0</xdr:col>
                    <xdr:colOff>251460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5" r:id="rId6" name="Button 3">
              <controlPr defaultSize="0" print="0" autoFill="0" autoPict="0" macro="[7]!run">
                <anchor moveWithCells="1">
                  <from>
                    <xdr:col>0</xdr:col>
                    <xdr:colOff>83820</xdr:colOff>
                    <xdr:row>0</xdr:row>
                    <xdr:rowOff>38100</xdr:rowOff>
                  </from>
                  <to>
                    <xdr:col>0</xdr:col>
                    <xdr:colOff>251460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6" r:id="rId7" name="Button 4">
              <controlPr defaultSize="0" print="0" autoFill="0" autoLine="0" autoPict="0" macro="[7]!run">
                <anchor moveWithCells="1">
                  <from>
                    <xdr:col>0</xdr:col>
                    <xdr:colOff>83820</xdr:colOff>
                    <xdr:row>0</xdr:row>
                    <xdr:rowOff>38100</xdr:rowOff>
                  </from>
                  <to>
                    <xdr:col>0</xdr:col>
                    <xdr:colOff>251460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7" r:id="rId8" name="Button 5">
              <controlPr defaultSize="0" print="0" autoFill="0" autoPict="0" macro="[7]!run">
                <anchor moveWithCells="1">
                  <from>
                    <xdr:col>0</xdr:col>
                    <xdr:colOff>83820</xdr:colOff>
                    <xdr:row>0</xdr:row>
                    <xdr:rowOff>38100</xdr:rowOff>
                  </from>
                  <to>
                    <xdr:col>0</xdr:col>
                    <xdr:colOff>251460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8" r:id="rId9" name="Button 6">
              <controlPr defaultSize="0" print="0" autoFill="0" autoLine="0" autoPict="0" macro="[7]!run">
                <anchor moveWithCells="1">
                  <from>
                    <xdr:col>0</xdr:col>
                    <xdr:colOff>83820</xdr:colOff>
                    <xdr:row>0</xdr:row>
                    <xdr:rowOff>38100</xdr:rowOff>
                  </from>
                  <to>
                    <xdr:col>0</xdr:col>
                    <xdr:colOff>251460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9" r:id="rId10" name="Button 7">
              <controlPr defaultSize="0" print="0" autoFill="0" autoPict="0" macro="[7]!run">
                <anchor moveWithCells="1">
                  <from>
                    <xdr:col>0</xdr:col>
                    <xdr:colOff>83820</xdr:colOff>
                    <xdr:row>0</xdr:row>
                    <xdr:rowOff>38100</xdr:rowOff>
                  </from>
                  <to>
                    <xdr:col>0</xdr:col>
                    <xdr:colOff>251460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0" r:id="rId11" name="Button 8">
              <controlPr defaultSize="0" print="0" autoFill="0" autoLine="0" autoPict="0" macro="[7]!run">
                <anchor moveWithCells="1">
                  <from>
                    <xdr:col>0</xdr:col>
                    <xdr:colOff>83820</xdr:colOff>
                    <xdr:row>0</xdr:row>
                    <xdr:rowOff>38100</xdr:rowOff>
                  </from>
                  <to>
                    <xdr:col>0</xdr:col>
                    <xdr:colOff>251460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1" r:id="rId12" name="Button 9">
              <controlPr defaultSize="0" print="0" autoFill="0" autoPict="0" macro="[7]!run">
                <anchor moveWithCells="1">
                  <from>
                    <xdr:col>0</xdr:col>
                    <xdr:colOff>83820</xdr:colOff>
                    <xdr:row>0</xdr:row>
                    <xdr:rowOff>38100</xdr:rowOff>
                  </from>
                  <to>
                    <xdr:col>0</xdr:col>
                    <xdr:colOff>251460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2" r:id="rId13" name="Button 10">
              <controlPr defaultSize="0" print="0" autoFill="0" autoLine="0" autoPict="0" macro="[7]!run">
                <anchor moveWithCells="1">
                  <from>
                    <xdr:col>0</xdr:col>
                    <xdr:colOff>83820</xdr:colOff>
                    <xdr:row>0</xdr:row>
                    <xdr:rowOff>38100</xdr:rowOff>
                  </from>
                  <to>
                    <xdr:col>0</xdr:col>
                    <xdr:colOff>251460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3" r:id="rId14" name="Button 11">
              <controlPr defaultSize="0" print="0" autoFill="0" autoPict="0" macro="[7]!run">
                <anchor moveWithCells="1">
                  <from>
                    <xdr:col>0</xdr:col>
                    <xdr:colOff>83820</xdr:colOff>
                    <xdr:row>0</xdr:row>
                    <xdr:rowOff>38100</xdr:rowOff>
                  </from>
                  <to>
                    <xdr:col>0</xdr:col>
                    <xdr:colOff>251460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4" r:id="rId15" name="Button 12">
              <controlPr defaultSize="0" print="0" autoFill="0" autoLine="0" autoPict="0" macro="[7]!run">
                <anchor moveWithCells="1">
                  <from>
                    <xdr:col>0</xdr:col>
                    <xdr:colOff>83820</xdr:colOff>
                    <xdr:row>0</xdr:row>
                    <xdr:rowOff>38100</xdr:rowOff>
                  </from>
                  <to>
                    <xdr:col>0</xdr:col>
                    <xdr:colOff>251460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5" r:id="rId16" name="Button 13">
              <controlPr defaultSize="0" print="0" autoFill="0" autoPict="0" macro="[7]!run">
                <anchor moveWithCells="1">
                  <from>
                    <xdr:col>0</xdr:col>
                    <xdr:colOff>83820</xdr:colOff>
                    <xdr:row>0</xdr:row>
                    <xdr:rowOff>38100</xdr:rowOff>
                  </from>
                  <to>
                    <xdr:col>0</xdr:col>
                    <xdr:colOff>251460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6" r:id="rId17" name="Button 14">
              <controlPr defaultSize="0" print="0" autoFill="0" autoLine="0" autoPict="0" macro="[7]!run">
                <anchor moveWithCells="1">
                  <from>
                    <xdr:col>0</xdr:col>
                    <xdr:colOff>83820</xdr:colOff>
                    <xdr:row>0</xdr:row>
                    <xdr:rowOff>38100</xdr:rowOff>
                  </from>
                  <to>
                    <xdr:col>0</xdr:col>
                    <xdr:colOff>251460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7" r:id="rId18" name="Button 15">
              <controlPr defaultSize="0" print="0" autoFill="0" autoPict="0" macro="[7]!run">
                <anchor moveWithCells="1">
                  <from>
                    <xdr:col>0</xdr:col>
                    <xdr:colOff>83820</xdr:colOff>
                    <xdr:row>0</xdr:row>
                    <xdr:rowOff>38100</xdr:rowOff>
                  </from>
                  <to>
                    <xdr:col>0</xdr:col>
                    <xdr:colOff>251460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8" r:id="rId19" name="Button 16">
              <controlPr defaultSize="0" print="0" autoFill="0" autoLine="0" autoPict="0" macro="[7]!run">
                <anchor moveWithCells="1">
                  <from>
                    <xdr:col>0</xdr:col>
                    <xdr:colOff>83820</xdr:colOff>
                    <xdr:row>0</xdr:row>
                    <xdr:rowOff>38100</xdr:rowOff>
                  </from>
                  <to>
                    <xdr:col>0</xdr:col>
                    <xdr:colOff>251460</xdr:colOff>
                    <xdr:row>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G56"/>
  <sheetViews>
    <sheetView showZeros="0" workbookViewId="0" topLeftCell="A10">
      <selection activeCell="F36" sqref="F36"/>
    </sheetView>
  </sheetViews>
  <sheetFormatPr defaultColWidth="9.125" defaultRowHeight="12.75"/>
  <cols>
    <col min="1" max="1" width="6.875" style="334" customWidth="1"/>
    <col min="2" max="2" width="50.125" style="333" customWidth="1"/>
    <col min="3" max="6" width="11.375" style="333" customWidth="1"/>
    <col min="7" max="7" width="9.00390625" style="333" bestFit="1" customWidth="1"/>
    <col min="8" max="8" width="28.375" style="333" customWidth="1"/>
    <col min="9" max="16384" width="9.125" style="333" customWidth="1"/>
  </cols>
  <sheetData>
    <row r="1" spans="1:7" ht="12">
      <c r="A1" s="1109" t="s">
        <v>296</v>
      </c>
      <c r="B1" s="1110"/>
      <c r="C1" s="1111"/>
      <c r="D1" s="1111"/>
      <c r="E1" s="1111"/>
      <c r="F1" s="1111"/>
      <c r="G1" s="1111"/>
    </row>
    <row r="2" spans="1:7" ht="13.2">
      <c r="A2" s="1109" t="s">
        <v>608</v>
      </c>
      <c r="B2" s="1110"/>
      <c r="C2" s="1111"/>
      <c r="D2" s="1111"/>
      <c r="E2" s="1111"/>
      <c r="F2" s="1111"/>
      <c r="G2" s="1111"/>
    </row>
    <row r="3" spans="3:7" ht="11.4" customHeight="1">
      <c r="C3" s="335"/>
      <c r="D3" s="335"/>
      <c r="E3" s="335"/>
      <c r="F3" s="335"/>
      <c r="G3" s="335" t="s">
        <v>164</v>
      </c>
    </row>
    <row r="4" spans="1:7" s="338" customFormat="1" ht="11.4" customHeight="1">
      <c r="A4" s="336"/>
      <c r="B4" s="337"/>
      <c r="C4" s="1102" t="s">
        <v>617</v>
      </c>
      <c r="D4" s="1102" t="s">
        <v>651</v>
      </c>
      <c r="E4" s="1102" t="s">
        <v>657</v>
      </c>
      <c r="F4" s="1102" t="s">
        <v>660</v>
      </c>
      <c r="G4" s="1107" t="s">
        <v>663</v>
      </c>
    </row>
    <row r="5" spans="1:7" s="338" customFormat="1" ht="12" customHeight="1">
      <c r="A5" s="339" t="s">
        <v>258</v>
      </c>
      <c r="B5" s="340" t="s">
        <v>268</v>
      </c>
      <c r="C5" s="1103"/>
      <c r="D5" s="1103"/>
      <c r="E5" s="1105"/>
      <c r="F5" s="1105"/>
      <c r="G5" s="1107"/>
    </row>
    <row r="6" spans="1:7" s="338" customFormat="1" ht="12.75" customHeight="1" thickBot="1">
      <c r="A6" s="341"/>
      <c r="B6" s="342"/>
      <c r="C6" s="1104"/>
      <c r="D6" s="1104"/>
      <c r="E6" s="1106"/>
      <c r="F6" s="1106"/>
      <c r="G6" s="1108"/>
    </row>
    <row r="7" spans="1:7" s="338" customFormat="1" ht="12" customHeight="1">
      <c r="A7" s="343" t="s">
        <v>149</v>
      </c>
      <c r="B7" s="344" t="s">
        <v>150</v>
      </c>
      <c r="C7" s="345" t="s">
        <v>151</v>
      </c>
      <c r="D7" s="345" t="s">
        <v>561</v>
      </c>
      <c r="E7" s="345" t="s">
        <v>562</v>
      </c>
      <c r="F7" s="345" t="s">
        <v>582</v>
      </c>
      <c r="G7" s="345" t="s">
        <v>583</v>
      </c>
    </row>
    <row r="8" spans="1:7" ht="12" customHeight="1">
      <c r="A8" s="336">
        <v>3010</v>
      </c>
      <c r="B8" s="346" t="s">
        <v>43</v>
      </c>
      <c r="C8" s="347">
        <f aca="true" t="shared" si="0" ref="C8">SUM(C18)</f>
        <v>8308</v>
      </c>
      <c r="D8" s="347">
        <f aca="true" t="shared" si="1" ref="D8:E8">SUM(D18)</f>
        <v>10078</v>
      </c>
      <c r="E8" s="347">
        <f t="shared" si="1"/>
        <v>10078</v>
      </c>
      <c r="F8" s="347">
        <f aca="true" t="shared" si="2" ref="F8">SUM(F18)</f>
        <v>4525</v>
      </c>
      <c r="G8" s="348">
        <f>SUM(F8/E8)</f>
        <v>0.44899781702718794</v>
      </c>
    </row>
    <row r="9" spans="1:7" ht="12" customHeight="1">
      <c r="A9" s="72">
        <v>3011</v>
      </c>
      <c r="B9" s="349" t="s">
        <v>105</v>
      </c>
      <c r="C9" s="347"/>
      <c r="D9" s="347"/>
      <c r="E9" s="347"/>
      <c r="F9" s="347"/>
      <c r="G9" s="348"/>
    </row>
    <row r="10" spans="1:7" ht="12" customHeight="1">
      <c r="A10" s="350"/>
      <c r="B10" s="351" t="s">
        <v>106</v>
      </c>
      <c r="C10" s="288">
        <v>2475</v>
      </c>
      <c r="D10" s="288">
        <v>2475</v>
      </c>
      <c r="E10" s="288">
        <v>2475</v>
      </c>
      <c r="F10" s="288">
        <v>2354</v>
      </c>
      <c r="G10" s="723">
        <f aca="true" t="shared" si="3" ref="G10:G54">SUM(F10/E10)</f>
        <v>0.9511111111111111</v>
      </c>
    </row>
    <row r="11" spans="1:7" ht="12" customHeight="1">
      <c r="A11" s="350"/>
      <c r="B11" s="176" t="s">
        <v>274</v>
      </c>
      <c r="C11" s="288">
        <v>533</v>
      </c>
      <c r="D11" s="288">
        <f>533+32</f>
        <v>565</v>
      </c>
      <c r="E11" s="288">
        <f>533+32</f>
        <v>565</v>
      </c>
      <c r="F11" s="288">
        <v>396</v>
      </c>
      <c r="G11" s="723">
        <f t="shared" si="3"/>
        <v>0.7008849557522124</v>
      </c>
    </row>
    <row r="12" spans="1:7" ht="12" customHeight="1">
      <c r="A12" s="282"/>
      <c r="B12" s="352" t="s">
        <v>263</v>
      </c>
      <c r="C12" s="288">
        <v>5000</v>
      </c>
      <c r="D12" s="288">
        <f>5000+238</f>
        <v>5238</v>
      </c>
      <c r="E12" s="288">
        <f>5000+238</f>
        <v>5238</v>
      </c>
      <c r="F12" s="288">
        <v>1436</v>
      </c>
      <c r="G12" s="723">
        <f t="shared" si="3"/>
        <v>0.2741504390988927</v>
      </c>
    </row>
    <row r="13" spans="1:7" ht="12" customHeight="1">
      <c r="A13" s="350"/>
      <c r="B13" s="289" t="s">
        <v>111</v>
      </c>
      <c r="C13" s="288"/>
      <c r="D13" s="288"/>
      <c r="E13" s="288"/>
      <c r="F13" s="288"/>
      <c r="G13" s="723"/>
    </row>
    <row r="14" spans="1:7" ht="12" customHeight="1">
      <c r="A14" s="350"/>
      <c r="B14" s="176" t="s">
        <v>270</v>
      </c>
      <c r="C14" s="353"/>
      <c r="D14" s="353"/>
      <c r="E14" s="353"/>
      <c r="F14" s="353"/>
      <c r="G14" s="723"/>
    </row>
    <row r="15" spans="1:7" ht="12" customHeight="1">
      <c r="A15" s="282"/>
      <c r="B15" s="351" t="s">
        <v>233</v>
      </c>
      <c r="C15" s="288">
        <v>300</v>
      </c>
      <c r="D15" s="288">
        <v>1800</v>
      </c>
      <c r="E15" s="288">
        <v>1800</v>
      </c>
      <c r="F15" s="288">
        <v>339</v>
      </c>
      <c r="G15" s="723">
        <f t="shared" si="3"/>
        <v>0.18833333333333332</v>
      </c>
    </row>
    <row r="16" spans="1:7" ht="12" customHeight="1">
      <c r="A16" s="282"/>
      <c r="B16" s="71" t="s">
        <v>234</v>
      </c>
      <c r="C16" s="692"/>
      <c r="D16" s="692"/>
      <c r="E16" s="692"/>
      <c r="F16" s="692"/>
      <c r="G16" s="723"/>
    </row>
    <row r="17" spans="1:7" ht="12" customHeight="1" thickBot="1">
      <c r="A17" s="350"/>
      <c r="B17" s="354" t="s">
        <v>251</v>
      </c>
      <c r="C17" s="663"/>
      <c r="D17" s="663"/>
      <c r="E17" s="663"/>
      <c r="F17" s="663"/>
      <c r="G17" s="725"/>
    </row>
    <row r="18" spans="1:7" ht="12" customHeight="1" thickBot="1">
      <c r="A18" s="341"/>
      <c r="B18" s="355" t="s">
        <v>256</v>
      </c>
      <c r="C18" s="675">
        <f aca="true" t="shared" si="4" ref="C18">SUM(C10:C17)</f>
        <v>8308</v>
      </c>
      <c r="D18" s="675">
        <f aca="true" t="shared" si="5" ref="D18:E18">SUM(D10:D17)</f>
        <v>10078</v>
      </c>
      <c r="E18" s="675">
        <f t="shared" si="5"/>
        <v>10078</v>
      </c>
      <c r="F18" s="675">
        <f aca="true" t="shared" si="6" ref="F18">SUM(F10:F17)</f>
        <v>4525</v>
      </c>
      <c r="G18" s="726">
        <f t="shared" si="3"/>
        <v>0.44899781702718794</v>
      </c>
    </row>
    <row r="19" spans="1:7" s="338" customFormat="1" ht="12" customHeight="1">
      <c r="A19" s="356">
        <v>3020</v>
      </c>
      <c r="B19" s="204" t="s">
        <v>82</v>
      </c>
      <c r="C19" s="699">
        <f>SUM(C29+C39)</f>
        <v>2045239</v>
      </c>
      <c r="D19" s="690">
        <f>SUM(D29+D39)</f>
        <v>2911655</v>
      </c>
      <c r="E19" s="690">
        <f>SUM(E29+E39)</f>
        <v>2931839</v>
      </c>
      <c r="F19" s="690">
        <f>SUM(F29+F39)</f>
        <v>1735336</v>
      </c>
      <c r="G19" s="724">
        <f t="shared" si="3"/>
        <v>0.5918933474859976</v>
      </c>
    </row>
    <row r="20" spans="1:7" s="338" customFormat="1" ht="12" customHeight="1">
      <c r="A20" s="339">
        <v>3021</v>
      </c>
      <c r="B20" s="357" t="s">
        <v>337</v>
      </c>
      <c r="C20" s="690"/>
      <c r="D20" s="690"/>
      <c r="E20" s="690"/>
      <c r="F20" s="690"/>
      <c r="G20" s="348"/>
    </row>
    <row r="21" spans="1:7" ht="12" customHeight="1">
      <c r="A21" s="350"/>
      <c r="B21" s="351" t="s">
        <v>106</v>
      </c>
      <c r="C21" s="691">
        <v>1418382</v>
      </c>
      <c r="D21" s="691">
        <v>1816375</v>
      </c>
      <c r="E21" s="691">
        <f>1816375+160</f>
        <v>1816535</v>
      </c>
      <c r="F21" s="691">
        <v>1186043</v>
      </c>
      <c r="G21" s="723">
        <f t="shared" si="3"/>
        <v>0.6529150277864175</v>
      </c>
    </row>
    <row r="22" spans="1:7" ht="12" customHeight="1">
      <c r="A22" s="350"/>
      <c r="B22" s="176" t="s">
        <v>274</v>
      </c>
      <c r="C22" s="691">
        <v>241357</v>
      </c>
      <c r="D22" s="691">
        <v>313499</v>
      </c>
      <c r="E22" s="691">
        <f>313499+24</f>
        <v>313523</v>
      </c>
      <c r="F22" s="691">
        <v>204160</v>
      </c>
      <c r="G22" s="723">
        <f t="shared" si="3"/>
        <v>0.6511802961824172</v>
      </c>
    </row>
    <row r="23" spans="1:7" ht="12" customHeight="1">
      <c r="A23" s="282"/>
      <c r="B23" s="352" t="s">
        <v>263</v>
      </c>
      <c r="C23" s="691">
        <v>260000</v>
      </c>
      <c r="D23" s="691">
        <v>519428</v>
      </c>
      <c r="E23" s="691">
        <v>519428</v>
      </c>
      <c r="F23" s="691">
        <v>188758</v>
      </c>
      <c r="G23" s="723">
        <f t="shared" si="3"/>
        <v>0.3633958893244107</v>
      </c>
    </row>
    <row r="24" spans="1:7" ht="12" customHeight="1">
      <c r="A24" s="350"/>
      <c r="B24" s="289" t="s">
        <v>111</v>
      </c>
      <c r="C24" s="691"/>
      <c r="D24" s="691"/>
      <c r="E24" s="691"/>
      <c r="F24" s="691"/>
      <c r="G24" s="723"/>
    </row>
    <row r="25" spans="1:7" ht="12" customHeight="1">
      <c r="A25" s="350"/>
      <c r="B25" s="176" t="s">
        <v>270</v>
      </c>
      <c r="C25" s="691"/>
      <c r="D25" s="691">
        <v>54284</v>
      </c>
      <c r="E25" s="691">
        <v>54284</v>
      </c>
      <c r="F25" s="691">
        <v>54284</v>
      </c>
      <c r="G25" s="723">
        <f t="shared" si="3"/>
        <v>1</v>
      </c>
    </row>
    <row r="26" spans="1:7" ht="12" customHeight="1">
      <c r="A26" s="282"/>
      <c r="B26" s="351" t="s">
        <v>233</v>
      </c>
      <c r="C26" s="692">
        <v>5000</v>
      </c>
      <c r="D26" s="692">
        <v>29677</v>
      </c>
      <c r="E26" s="692">
        <f>29677+20000</f>
        <v>49677</v>
      </c>
      <c r="F26" s="692">
        <v>6952</v>
      </c>
      <c r="G26" s="723">
        <f t="shared" si="3"/>
        <v>0.1399440384886366</v>
      </c>
    </row>
    <row r="27" spans="1:7" ht="12" customHeight="1">
      <c r="A27" s="282"/>
      <c r="B27" s="71" t="s">
        <v>234</v>
      </c>
      <c r="C27" s="692"/>
      <c r="D27" s="692"/>
      <c r="E27" s="692"/>
      <c r="F27" s="692"/>
      <c r="G27" s="723"/>
    </row>
    <row r="28" spans="1:7" ht="12" customHeight="1" thickBot="1">
      <c r="A28" s="350"/>
      <c r="B28" s="354" t="s">
        <v>407</v>
      </c>
      <c r="C28" s="663">
        <v>4000</v>
      </c>
      <c r="D28" s="663">
        <v>4000</v>
      </c>
      <c r="E28" s="663">
        <v>4000</v>
      </c>
      <c r="F28" s="663">
        <v>0</v>
      </c>
      <c r="G28" s="725">
        <f t="shared" si="3"/>
        <v>0</v>
      </c>
    </row>
    <row r="29" spans="1:7" ht="12" customHeight="1" thickBot="1">
      <c r="A29" s="341"/>
      <c r="B29" s="355" t="s">
        <v>256</v>
      </c>
      <c r="C29" s="675">
        <f aca="true" t="shared" si="7" ref="C29">SUM(C21:C28)</f>
        <v>1928739</v>
      </c>
      <c r="D29" s="675">
        <f aca="true" t="shared" si="8" ref="D29:E29">SUM(D21:D28)</f>
        <v>2737263</v>
      </c>
      <c r="E29" s="675">
        <f t="shared" si="8"/>
        <v>2757447</v>
      </c>
      <c r="F29" s="675">
        <f aca="true" t="shared" si="9" ref="F29">SUM(F21:F28)</f>
        <v>1640197</v>
      </c>
      <c r="G29" s="726">
        <f t="shared" si="3"/>
        <v>0.5948244880137316</v>
      </c>
    </row>
    <row r="30" spans="1:7" ht="12" customHeight="1">
      <c r="A30" s="360">
        <v>3026</v>
      </c>
      <c r="B30" s="361" t="s">
        <v>271</v>
      </c>
      <c r="C30" s="690"/>
      <c r="D30" s="690"/>
      <c r="E30" s="690"/>
      <c r="F30" s="690"/>
      <c r="G30" s="724"/>
    </row>
    <row r="31" spans="1:7" ht="12" customHeight="1">
      <c r="A31" s="72"/>
      <c r="B31" s="351" t="s">
        <v>106</v>
      </c>
      <c r="C31" s="691"/>
      <c r="D31" s="691"/>
      <c r="E31" s="691"/>
      <c r="F31" s="691"/>
      <c r="G31" s="348"/>
    </row>
    <row r="32" spans="1:7" ht="12" customHeight="1">
      <c r="A32" s="72"/>
      <c r="B32" s="176" t="s">
        <v>274</v>
      </c>
      <c r="C32" s="691"/>
      <c r="D32" s="691"/>
      <c r="E32" s="691"/>
      <c r="F32" s="691"/>
      <c r="G32" s="348"/>
    </row>
    <row r="33" spans="1:7" ht="12" customHeight="1">
      <c r="A33" s="72"/>
      <c r="B33" s="352" t="s">
        <v>263</v>
      </c>
      <c r="C33" s="691">
        <v>108000</v>
      </c>
      <c r="D33" s="691">
        <v>147728</v>
      </c>
      <c r="E33" s="691">
        <v>147728</v>
      </c>
      <c r="F33" s="691">
        <v>83835</v>
      </c>
      <c r="G33" s="723">
        <f t="shared" si="3"/>
        <v>0.5674956677136359</v>
      </c>
    </row>
    <row r="34" spans="1:7" ht="12" customHeight="1">
      <c r="A34" s="72"/>
      <c r="B34" s="289" t="s">
        <v>111</v>
      </c>
      <c r="C34" s="707"/>
      <c r="D34" s="707"/>
      <c r="E34" s="707"/>
      <c r="F34" s="707"/>
      <c r="G34" s="723"/>
    </row>
    <row r="35" spans="1:7" ht="12" customHeight="1">
      <c r="A35" s="72"/>
      <c r="B35" s="176" t="s">
        <v>270</v>
      </c>
      <c r="C35" s="797"/>
      <c r="D35" s="797"/>
      <c r="E35" s="797"/>
      <c r="F35" s="797"/>
      <c r="G35" s="723"/>
    </row>
    <row r="36" spans="1:7" ht="12" customHeight="1">
      <c r="A36" s="72"/>
      <c r="B36" s="351" t="s">
        <v>233</v>
      </c>
      <c r="C36" s="698">
        <v>8500</v>
      </c>
      <c r="D36" s="698">
        <v>26664</v>
      </c>
      <c r="E36" s="698">
        <v>26664</v>
      </c>
      <c r="F36" s="698">
        <v>11304</v>
      </c>
      <c r="G36" s="723">
        <f t="shared" si="3"/>
        <v>0.4239423942394239</v>
      </c>
    </row>
    <row r="37" spans="1:7" ht="12" customHeight="1">
      <c r="A37" s="72"/>
      <c r="B37" s="71" t="s">
        <v>234</v>
      </c>
      <c r="C37" s="698"/>
      <c r="D37" s="698"/>
      <c r="E37" s="698"/>
      <c r="F37" s="698"/>
      <c r="G37" s="723"/>
    </row>
    <row r="38" spans="1:7" ht="12" customHeight="1" thickBot="1">
      <c r="A38" s="72"/>
      <c r="B38" s="354" t="s">
        <v>251</v>
      </c>
      <c r="C38" s="798"/>
      <c r="D38" s="798"/>
      <c r="E38" s="798"/>
      <c r="F38" s="798"/>
      <c r="G38" s="725"/>
    </row>
    <row r="39" spans="1:7" ht="12" customHeight="1" thickBot="1">
      <c r="A39" s="359"/>
      <c r="B39" s="355" t="s">
        <v>256</v>
      </c>
      <c r="C39" s="675">
        <f aca="true" t="shared" si="10" ref="C39">SUM(C30:C36)</f>
        <v>116500</v>
      </c>
      <c r="D39" s="675">
        <f aca="true" t="shared" si="11" ref="D39:E39">SUM(D30:D36)</f>
        <v>174392</v>
      </c>
      <c r="E39" s="675">
        <f t="shared" si="11"/>
        <v>174392</v>
      </c>
      <c r="F39" s="675">
        <f aca="true" t="shared" si="12" ref="F39">SUM(F30:F36)</f>
        <v>95139</v>
      </c>
      <c r="G39" s="726">
        <f t="shared" si="3"/>
        <v>0.54554681407404</v>
      </c>
    </row>
    <row r="40" spans="1:7" ht="12" customHeight="1">
      <c r="A40" s="339">
        <v>3000</v>
      </c>
      <c r="B40" s="362" t="s">
        <v>107</v>
      </c>
      <c r="C40" s="691"/>
      <c r="D40" s="691"/>
      <c r="E40" s="691"/>
      <c r="F40" s="691"/>
      <c r="G40" s="724"/>
    </row>
    <row r="41" spans="1:7" ht="12" customHeight="1">
      <c r="A41" s="339"/>
      <c r="B41" s="363" t="s">
        <v>61</v>
      </c>
      <c r="C41" s="691"/>
      <c r="D41" s="691"/>
      <c r="E41" s="691"/>
      <c r="F41" s="691"/>
      <c r="G41" s="348"/>
    </row>
    <row r="42" spans="1:7" ht="12" customHeight="1">
      <c r="A42" s="350"/>
      <c r="B42" s="351" t="s">
        <v>106</v>
      </c>
      <c r="C42" s="691">
        <f aca="true" t="shared" si="13" ref="C42:C43">SUM(C21+C10)</f>
        <v>1420857</v>
      </c>
      <c r="D42" s="691">
        <f aca="true" t="shared" si="14" ref="D42:E42">SUM(D21+D10)</f>
        <v>1818850</v>
      </c>
      <c r="E42" s="691">
        <f t="shared" si="14"/>
        <v>1819010</v>
      </c>
      <c r="F42" s="691">
        <f aca="true" t="shared" si="15" ref="F42">SUM(F21+F10)</f>
        <v>1188397</v>
      </c>
      <c r="G42" s="723">
        <f t="shared" si="3"/>
        <v>0.6533207623927301</v>
      </c>
    </row>
    <row r="43" spans="1:7" ht="12" customHeight="1">
      <c r="A43" s="350"/>
      <c r="B43" s="176" t="s">
        <v>274</v>
      </c>
      <c r="C43" s="691">
        <f t="shared" si="13"/>
        <v>241890</v>
      </c>
      <c r="D43" s="691">
        <f aca="true" t="shared" si="16" ref="D43:E43">SUM(D22+D11)</f>
        <v>314064</v>
      </c>
      <c r="E43" s="691">
        <f t="shared" si="16"/>
        <v>314088</v>
      </c>
      <c r="F43" s="691">
        <f aca="true" t="shared" si="17" ref="F43">SUM(F22+F11)</f>
        <v>204556</v>
      </c>
      <c r="G43" s="723">
        <f t="shared" si="3"/>
        <v>0.6512697078525763</v>
      </c>
    </row>
    <row r="44" spans="1:7" ht="12" customHeight="1">
      <c r="A44" s="282"/>
      <c r="B44" s="289" t="s">
        <v>272</v>
      </c>
      <c r="C44" s="691">
        <f>SUM(C23+C12+C33)</f>
        <v>373000</v>
      </c>
      <c r="D44" s="691">
        <f>SUM(D23+D12+D33)</f>
        <v>672394</v>
      </c>
      <c r="E44" s="691">
        <f>SUM(E23+E12+E33)</f>
        <v>672394</v>
      </c>
      <c r="F44" s="691">
        <f>SUM(F23+F12+F33)</f>
        <v>274029</v>
      </c>
      <c r="G44" s="723">
        <f t="shared" si="3"/>
        <v>0.40754230406577097</v>
      </c>
    </row>
    <row r="45" spans="1:7" ht="12" customHeight="1">
      <c r="A45" s="350"/>
      <c r="B45" s="289" t="s">
        <v>111</v>
      </c>
      <c r="C45" s="691">
        <f>SUM(C13)</f>
        <v>0</v>
      </c>
      <c r="D45" s="691">
        <f>SUM(D13)</f>
        <v>0</v>
      </c>
      <c r="E45" s="691">
        <f>SUM(E13)</f>
        <v>0</v>
      </c>
      <c r="F45" s="691">
        <f>SUM(F13)</f>
        <v>0</v>
      </c>
      <c r="G45" s="723"/>
    </row>
    <row r="46" spans="1:7" ht="12" customHeight="1">
      <c r="A46" s="350"/>
      <c r="B46" s="176" t="s">
        <v>270</v>
      </c>
      <c r="C46" s="691"/>
      <c r="D46" s="691">
        <f>SUM(D25)</f>
        <v>54284</v>
      </c>
      <c r="E46" s="691">
        <f>SUM(E25)</f>
        <v>54284</v>
      </c>
      <c r="F46" s="691">
        <f>SUM(F25)</f>
        <v>54284</v>
      </c>
      <c r="G46" s="348">
        <f t="shared" si="3"/>
        <v>1</v>
      </c>
    </row>
    <row r="47" spans="1:7" ht="12" customHeight="1">
      <c r="A47" s="350"/>
      <c r="B47" s="293" t="s">
        <v>51</v>
      </c>
      <c r="C47" s="706">
        <f aca="true" t="shared" si="18" ref="C47">SUM(C42:C46)</f>
        <v>2035747</v>
      </c>
      <c r="D47" s="706">
        <f aca="true" t="shared" si="19" ref="D47:E47">SUM(D42:D46)</f>
        <v>2859592</v>
      </c>
      <c r="E47" s="706">
        <f t="shared" si="19"/>
        <v>2859776</v>
      </c>
      <c r="F47" s="706">
        <f>SUM(F42:F46)</f>
        <v>1721266</v>
      </c>
      <c r="G47" s="348">
        <f t="shared" si="3"/>
        <v>0.6018883996508817</v>
      </c>
    </row>
    <row r="48" spans="1:7" ht="12" customHeight="1">
      <c r="A48" s="350"/>
      <c r="B48" s="364" t="s">
        <v>62</v>
      </c>
      <c r="C48" s="691"/>
      <c r="D48" s="691"/>
      <c r="E48" s="691"/>
      <c r="F48" s="691"/>
      <c r="G48" s="348"/>
    </row>
    <row r="49" spans="1:7" ht="12" customHeight="1">
      <c r="A49" s="350"/>
      <c r="B49" s="351" t="s">
        <v>235</v>
      </c>
      <c r="C49" s="691">
        <f>SUM(C27+C16)</f>
        <v>0</v>
      </c>
      <c r="D49" s="691">
        <f>SUM(D27+D16)</f>
        <v>0</v>
      </c>
      <c r="E49" s="691">
        <f>SUM(E27+E16)</f>
        <v>0</v>
      </c>
      <c r="F49" s="691">
        <f>SUM(F27+F16)</f>
        <v>0</v>
      </c>
      <c r="G49" s="348"/>
    </row>
    <row r="50" spans="1:7" ht="12" customHeight="1">
      <c r="A50" s="350"/>
      <c r="B50" s="71" t="s">
        <v>350</v>
      </c>
      <c r="C50" s="691">
        <f>SUM(C26+C15+C36)</f>
        <v>13800</v>
      </c>
      <c r="D50" s="691">
        <f>SUM(D26+D15+D36)</f>
        <v>58141</v>
      </c>
      <c r="E50" s="691">
        <f>SUM(E26+E15+E36)</f>
        <v>78141</v>
      </c>
      <c r="F50" s="691">
        <f>SUM(F26+F15+F36)</f>
        <v>18595</v>
      </c>
      <c r="G50" s="723">
        <f t="shared" si="3"/>
        <v>0.23796726430427048</v>
      </c>
    </row>
    <row r="51" spans="1:7" ht="12" customHeight="1">
      <c r="A51" s="350"/>
      <c r="B51" s="289" t="s">
        <v>408</v>
      </c>
      <c r="C51" s="691">
        <f>SUM(C28)</f>
        <v>4000</v>
      </c>
      <c r="D51" s="691">
        <f>SUM(D28)</f>
        <v>4000</v>
      </c>
      <c r="E51" s="691">
        <f>SUM(E28)</f>
        <v>4000</v>
      </c>
      <c r="F51" s="691">
        <f>SUM(F28)</f>
        <v>0</v>
      </c>
      <c r="G51" s="723">
        <f t="shared" si="3"/>
        <v>0</v>
      </c>
    </row>
    <row r="52" spans="1:7" ht="12" customHeight="1" thickBot="1">
      <c r="A52" s="350"/>
      <c r="B52" s="293" t="s">
        <v>63</v>
      </c>
      <c r="C52" s="706">
        <f aca="true" t="shared" si="20" ref="C52">SUM(C49:C51)</f>
        <v>17800</v>
      </c>
      <c r="D52" s="803">
        <f aca="true" t="shared" si="21" ref="D52:E52">SUM(D49:D51)</f>
        <v>62141</v>
      </c>
      <c r="E52" s="803">
        <f t="shared" si="21"/>
        <v>82141</v>
      </c>
      <c r="F52" s="803">
        <f aca="true" t="shared" si="22" ref="F52">SUM(F49:F51)</f>
        <v>18595</v>
      </c>
      <c r="G52" s="727">
        <f t="shared" si="3"/>
        <v>0.2263790311780962</v>
      </c>
    </row>
    <row r="53" spans="1:7" ht="12" customHeight="1" thickBot="1">
      <c r="A53" s="341"/>
      <c r="B53" s="355" t="s">
        <v>236</v>
      </c>
      <c r="C53" s="675">
        <f aca="true" t="shared" si="23" ref="C53">SUM(C47+C52)</f>
        <v>2053547</v>
      </c>
      <c r="D53" s="675">
        <f aca="true" t="shared" si="24" ref="D53:E53">SUM(D47+D52)</f>
        <v>2921733</v>
      </c>
      <c r="E53" s="675">
        <f t="shared" si="24"/>
        <v>2941917</v>
      </c>
      <c r="F53" s="675">
        <f aca="true" t="shared" si="25" ref="F53">SUM(F47+F52)</f>
        <v>1739861</v>
      </c>
      <c r="G53" s="726">
        <f t="shared" si="3"/>
        <v>0.5914038363420858</v>
      </c>
    </row>
    <row r="54" spans="1:7" ht="12.6" thickBot="1">
      <c r="A54" s="365"/>
      <c r="B54" s="366" t="s">
        <v>73</v>
      </c>
      <c r="C54" s="799">
        <f aca="true" t="shared" si="26" ref="C54">SUM(C53)</f>
        <v>2053547</v>
      </c>
      <c r="D54" s="799">
        <f aca="true" t="shared" si="27" ref="D54:E54">SUM(D53)</f>
        <v>2921733</v>
      </c>
      <c r="E54" s="799">
        <f t="shared" si="27"/>
        <v>2941917</v>
      </c>
      <c r="F54" s="799">
        <f aca="true" t="shared" si="28" ref="F54">SUM(F53)</f>
        <v>1739861</v>
      </c>
      <c r="G54" s="726">
        <f t="shared" si="3"/>
        <v>0.5914038363420858</v>
      </c>
    </row>
    <row r="56" spans="3:6" ht="12.75">
      <c r="C56" s="367"/>
      <c r="D56" s="367"/>
      <c r="E56" s="367"/>
      <c r="F56" s="367"/>
    </row>
  </sheetData>
  <mergeCells count="7">
    <mergeCell ref="G4:G6"/>
    <mergeCell ref="A2:G2"/>
    <mergeCell ref="A1:G1"/>
    <mergeCell ref="C4:C6"/>
    <mergeCell ref="D4:D6"/>
    <mergeCell ref="E4:E6"/>
    <mergeCell ref="F4:F6"/>
  </mergeCells>
  <printOptions horizontalCentered="1" verticalCentered="1"/>
  <pageMargins left="0.3937007874015748" right="0.3937007874015748" top="0.1968503937007874" bottom="0.1968503937007874" header="0.11811023622047245" footer="0"/>
  <pageSetup firstPageNumber="21" useFirstPageNumber="1" horizontalDpi="600" verticalDpi="600" orientation="landscape" paperSize="9" r:id="rId3"/>
  <headerFooter alignWithMargins="0">
    <oddFooter>&amp;C&amp;P. oldal</oddFooter>
  </headerFooter>
  <rowBreaks count="1" manualBreakCount="1">
    <brk id="39" max="16383" man="1"/>
  </row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7409" r:id="rId4" name="Button 1">
              <controlPr defaultSize="0" print="0" autoFill="0" autoPict="0" macro="[8]!run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30480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7410" r:id="rId5" name="Button 2">
              <controlPr defaultSize="0" print="0" autoFill="0" autoPict="0" macro="[8]!run">
                <anchor moveWithCells="1">
                  <from>
                    <xdr:col>0</xdr:col>
                    <xdr:colOff>251460</xdr:colOff>
                    <xdr:row>0</xdr:row>
                    <xdr:rowOff>0</xdr:rowOff>
                  </from>
                  <to>
                    <xdr:col>1</xdr:col>
                    <xdr:colOff>274320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53"/>
  <sheetViews>
    <sheetView workbookViewId="0" topLeftCell="A1">
      <selection activeCell="D20" sqref="D20"/>
    </sheetView>
  </sheetViews>
  <sheetFormatPr defaultColWidth="9.125" defaultRowHeight="12.75"/>
  <cols>
    <col min="1" max="1" width="9.125" style="368" customWidth="1"/>
    <col min="2" max="2" width="60.00390625" style="368" customWidth="1"/>
    <col min="3" max="6" width="13.50390625" style="368" customWidth="1"/>
    <col min="7" max="7" width="9.00390625" style="368" bestFit="1" customWidth="1"/>
    <col min="8" max="16384" width="9.125" style="368" customWidth="1"/>
  </cols>
  <sheetData>
    <row r="2" spans="1:7" ht="13.8">
      <c r="A2" s="1116" t="s">
        <v>294</v>
      </c>
      <c r="B2" s="1111"/>
      <c r="C2" s="1111"/>
      <c r="D2" s="1111"/>
      <c r="E2" s="1111"/>
      <c r="F2" s="1111"/>
      <c r="G2" s="1111"/>
    </row>
    <row r="3" spans="1:7" ht="12.75">
      <c r="A3" s="1115" t="s">
        <v>609</v>
      </c>
      <c r="B3" s="1111"/>
      <c r="C3" s="1111"/>
      <c r="D3" s="1111"/>
      <c r="E3" s="1111"/>
      <c r="F3" s="1111"/>
      <c r="G3" s="1111"/>
    </row>
    <row r="4" ht="12.75">
      <c r="B4" s="369"/>
    </row>
    <row r="5" ht="12.75">
      <c r="B5" s="369"/>
    </row>
    <row r="6" spans="3:7" ht="12.75">
      <c r="C6" s="370"/>
      <c r="D6" s="370"/>
      <c r="E6" s="370"/>
      <c r="F6" s="370"/>
      <c r="G6" s="370" t="s">
        <v>164</v>
      </c>
    </row>
    <row r="7" spans="1:7" ht="12.75" customHeight="1">
      <c r="A7" s="371"/>
      <c r="B7" s="372" t="s">
        <v>148</v>
      </c>
      <c r="C7" s="1102" t="s">
        <v>617</v>
      </c>
      <c r="D7" s="1102" t="s">
        <v>652</v>
      </c>
      <c r="E7" s="1102" t="s">
        <v>658</v>
      </c>
      <c r="F7" s="1119" t="s">
        <v>664</v>
      </c>
      <c r="G7" s="1112" t="s">
        <v>665</v>
      </c>
    </row>
    <row r="8" spans="1:7" ht="12.75">
      <c r="A8" s="373"/>
      <c r="B8" s="374" t="s">
        <v>259</v>
      </c>
      <c r="C8" s="1117"/>
      <c r="D8" s="1117"/>
      <c r="E8" s="1117"/>
      <c r="F8" s="1120"/>
      <c r="G8" s="1113"/>
    </row>
    <row r="9" spans="1:7" ht="13.8" thickBot="1">
      <c r="A9" s="375"/>
      <c r="B9" s="376"/>
      <c r="C9" s="1118"/>
      <c r="D9" s="1118"/>
      <c r="E9" s="1118"/>
      <c r="F9" s="1121"/>
      <c r="G9" s="1114"/>
    </row>
    <row r="10" spans="1:7" ht="13.8" thickBot="1">
      <c r="A10" s="377" t="s">
        <v>149</v>
      </c>
      <c r="B10" s="376" t="s">
        <v>150</v>
      </c>
      <c r="C10" s="378" t="s">
        <v>151</v>
      </c>
      <c r="D10" s="378" t="s">
        <v>561</v>
      </c>
      <c r="E10" s="378" t="s">
        <v>562</v>
      </c>
      <c r="F10" s="378" t="s">
        <v>582</v>
      </c>
      <c r="G10" s="378" t="s">
        <v>583</v>
      </c>
    </row>
    <row r="11" spans="1:7" ht="15" customHeight="1">
      <c r="A11" s="379">
        <v>3030</v>
      </c>
      <c r="B11" s="380" t="s">
        <v>67</v>
      </c>
      <c r="C11" s="381"/>
      <c r="D11" s="381"/>
      <c r="E11" s="381"/>
      <c r="F11" s="381"/>
      <c r="G11" s="382"/>
    </row>
    <row r="12" spans="1:7" ht="15" customHeight="1">
      <c r="A12" s="379"/>
      <c r="B12" s="303" t="s">
        <v>173</v>
      </c>
      <c r="C12" s="381"/>
      <c r="D12" s="381"/>
      <c r="E12" s="381"/>
      <c r="F12" s="381"/>
      <c r="G12" s="373"/>
    </row>
    <row r="13" spans="1:7" ht="15" customHeight="1" thickBot="1">
      <c r="A13" s="379"/>
      <c r="B13" s="304" t="s">
        <v>426</v>
      </c>
      <c r="C13" s="572"/>
      <c r="D13" s="572"/>
      <c r="E13" s="572"/>
      <c r="F13" s="572"/>
      <c r="G13" s="529"/>
    </row>
    <row r="14" spans="1:7" ht="15" customHeight="1" thickBot="1">
      <c r="A14" s="383"/>
      <c r="B14" s="305" t="s">
        <v>395</v>
      </c>
      <c r="C14" s="575"/>
      <c r="D14" s="575"/>
      <c r="E14" s="575"/>
      <c r="F14" s="575"/>
      <c r="G14" s="529"/>
    </row>
    <row r="15" spans="1:7" ht="15" customHeight="1">
      <c r="A15" s="379"/>
      <c r="B15" s="569" t="s">
        <v>16</v>
      </c>
      <c r="C15" s="576"/>
      <c r="D15" s="576"/>
      <c r="E15" s="576"/>
      <c r="F15" s="576"/>
      <c r="G15" s="530"/>
    </row>
    <row r="16" spans="1:7" ht="15" customHeight="1">
      <c r="A16" s="379"/>
      <c r="B16" s="303" t="s">
        <v>17</v>
      </c>
      <c r="C16" s="574">
        <v>15000</v>
      </c>
      <c r="D16" s="574">
        <v>3951</v>
      </c>
      <c r="E16" s="574">
        <v>3951</v>
      </c>
      <c r="F16" s="574">
        <v>3951</v>
      </c>
      <c r="G16" s="661">
        <f>SUM(F16/E16)</f>
        <v>1</v>
      </c>
    </row>
    <row r="17" spans="1:7" ht="15" customHeight="1" thickBot="1">
      <c r="A17" s="384"/>
      <c r="B17" s="571" t="s">
        <v>475</v>
      </c>
      <c r="C17" s="572">
        <v>20000</v>
      </c>
      <c r="D17" s="572">
        <v>9206</v>
      </c>
      <c r="E17" s="572">
        <v>9206</v>
      </c>
      <c r="F17" s="572">
        <v>9206</v>
      </c>
      <c r="G17" s="837">
        <f aca="true" t="shared" si="0" ref="G17:G49">SUM(F17/E17)</f>
        <v>1</v>
      </c>
    </row>
    <row r="18" spans="1:7" ht="15" customHeight="1" thickBot="1">
      <c r="A18" s="384"/>
      <c r="B18" s="570" t="s">
        <v>18</v>
      </c>
      <c r="C18" s="575">
        <f aca="true" t="shared" si="1" ref="C18">SUM(C16:C17)</f>
        <v>35000</v>
      </c>
      <c r="D18" s="575">
        <f aca="true" t="shared" si="2" ref="D18:E18">SUM(D16:D17)</f>
        <v>13157</v>
      </c>
      <c r="E18" s="575">
        <f t="shared" si="2"/>
        <v>13157</v>
      </c>
      <c r="F18" s="575">
        <f aca="true" t="shared" si="3" ref="F18">SUM(F16:F17)</f>
        <v>13157</v>
      </c>
      <c r="G18" s="839">
        <f t="shared" si="0"/>
        <v>1</v>
      </c>
    </row>
    <row r="19" spans="1:7" ht="15" customHeight="1">
      <c r="A19" s="379"/>
      <c r="B19" s="303" t="s">
        <v>176</v>
      </c>
      <c r="C19" s="576"/>
      <c r="D19" s="576"/>
      <c r="E19" s="576"/>
      <c r="F19" s="576"/>
      <c r="G19" s="661"/>
    </row>
    <row r="20" spans="1:7" ht="15" customHeight="1">
      <c r="A20" s="379"/>
      <c r="B20" s="308" t="s">
        <v>177</v>
      </c>
      <c r="C20" s="574"/>
      <c r="D20" s="574"/>
      <c r="E20" s="574"/>
      <c r="F20" s="574"/>
      <c r="G20" s="661"/>
    </row>
    <row r="21" spans="1:7" ht="15" customHeight="1">
      <c r="A21" s="379"/>
      <c r="B21" s="308" t="s">
        <v>178</v>
      </c>
      <c r="C21" s="574"/>
      <c r="D21" s="574"/>
      <c r="E21" s="574"/>
      <c r="F21" s="574"/>
      <c r="G21" s="661"/>
    </row>
    <row r="22" spans="1:7" ht="15" customHeight="1">
      <c r="A22" s="379"/>
      <c r="B22" s="309" t="s">
        <v>179</v>
      </c>
      <c r="C22" s="574"/>
      <c r="D22" s="574">
        <v>188</v>
      </c>
      <c r="E22" s="574">
        <v>188</v>
      </c>
      <c r="F22" s="574">
        <v>188</v>
      </c>
      <c r="G22" s="661">
        <f t="shared" si="0"/>
        <v>1</v>
      </c>
    </row>
    <row r="23" spans="1:7" ht="15" customHeight="1">
      <c r="A23" s="379"/>
      <c r="B23" s="309" t="s">
        <v>180</v>
      </c>
      <c r="C23" s="576"/>
      <c r="D23" s="576"/>
      <c r="E23" s="576"/>
      <c r="F23" s="576"/>
      <c r="G23" s="661"/>
    </row>
    <row r="24" spans="1:7" ht="15" customHeight="1">
      <c r="A24" s="379"/>
      <c r="B24" s="309" t="s">
        <v>181</v>
      </c>
      <c r="C24" s="574"/>
      <c r="D24" s="574">
        <v>12</v>
      </c>
      <c r="E24" s="574">
        <v>12</v>
      </c>
      <c r="F24" s="574">
        <v>12</v>
      </c>
      <c r="G24" s="661">
        <f t="shared" si="0"/>
        <v>1</v>
      </c>
    </row>
    <row r="25" spans="1:7" ht="15" customHeight="1">
      <c r="A25" s="379"/>
      <c r="B25" s="310" t="s">
        <v>425</v>
      </c>
      <c r="C25" s="574"/>
      <c r="D25" s="574">
        <v>2</v>
      </c>
      <c r="E25" s="574">
        <v>2</v>
      </c>
      <c r="F25" s="574">
        <v>2</v>
      </c>
      <c r="G25" s="661">
        <f t="shared" si="0"/>
        <v>1</v>
      </c>
    </row>
    <row r="26" spans="1:7" ht="15" customHeight="1" thickBot="1">
      <c r="A26" s="384"/>
      <c r="B26" s="311" t="s">
        <v>182</v>
      </c>
      <c r="C26" s="572"/>
      <c r="D26" s="572">
        <v>217</v>
      </c>
      <c r="E26" s="572">
        <v>217</v>
      </c>
      <c r="F26" s="572">
        <v>217</v>
      </c>
      <c r="G26" s="837">
        <f t="shared" si="0"/>
        <v>1</v>
      </c>
    </row>
    <row r="27" spans="1:7" ht="15" customHeight="1" thickBot="1">
      <c r="A27" s="383"/>
      <c r="B27" s="312" t="s">
        <v>324</v>
      </c>
      <c r="C27" s="575"/>
      <c r="D27" s="575">
        <f>SUM(D22:D26)</f>
        <v>419</v>
      </c>
      <c r="E27" s="575">
        <f>SUM(E22:E26)</f>
        <v>419</v>
      </c>
      <c r="F27" s="575">
        <f>SUM(F22:F26)</f>
        <v>419</v>
      </c>
      <c r="G27" s="838">
        <f t="shared" si="0"/>
        <v>1</v>
      </c>
    </row>
    <row r="28" spans="1:7" ht="15" customHeight="1" thickBot="1">
      <c r="A28" s="383"/>
      <c r="B28" s="314" t="s">
        <v>58</v>
      </c>
      <c r="C28" s="575">
        <f aca="true" t="shared" si="4" ref="C28">SUM(C18+C27)</f>
        <v>35000</v>
      </c>
      <c r="D28" s="575">
        <f aca="true" t="shared" si="5" ref="D28:E28">SUM(D18+D27)</f>
        <v>13576</v>
      </c>
      <c r="E28" s="575">
        <f t="shared" si="5"/>
        <v>13576</v>
      </c>
      <c r="F28" s="575">
        <f aca="true" t="shared" si="6" ref="F28">SUM(F18+F27)</f>
        <v>13576</v>
      </c>
      <c r="G28" s="839">
        <f t="shared" si="0"/>
        <v>1</v>
      </c>
    </row>
    <row r="29" spans="1:7" ht="15" customHeight="1" thickBot="1">
      <c r="A29" s="383"/>
      <c r="B29" s="315" t="s">
        <v>59</v>
      </c>
      <c r="C29" s="575"/>
      <c r="D29" s="575"/>
      <c r="E29" s="575"/>
      <c r="F29" s="575"/>
      <c r="G29" s="838"/>
    </row>
    <row r="30" spans="1:7" ht="15" customHeight="1">
      <c r="A30" s="379"/>
      <c r="B30" s="316" t="s">
        <v>397</v>
      </c>
      <c r="C30" s="574"/>
      <c r="D30" s="574">
        <v>79014</v>
      </c>
      <c r="E30" s="574">
        <v>79014</v>
      </c>
      <c r="F30" s="574">
        <v>79014</v>
      </c>
      <c r="G30" s="661">
        <f t="shared" si="0"/>
        <v>1</v>
      </c>
    </row>
    <row r="31" spans="1:7" ht="15" customHeight="1">
      <c r="A31" s="379"/>
      <c r="B31" s="317" t="s">
        <v>411</v>
      </c>
      <c r="C31" s="574"/>
      <c r="D31" s="574"/>
      <c r="E31" s="574"/>
      <c r="F31" s="574"/>
      <c r="G31" s="661"/>
    </row>
    <row r="32" spans="1:7" ht="15" customHeight="1" thickBot="1">
      <c r="A32" s="379"/>
      <c r="B32" s="318" t="s">
        <v>430</v>
      </c>
      <c r="C32" s="572">
        <v>625000</v>
      </c>
      <c r="D32" s="959">
        <v>111500</v>
      </c>
      <c r="E32" s="959">
        <v>111500</v>
      </c>
      <c r="F32" s="959">
        <v>111500</v>
      </c>
      <c r="G32" s="661">
        <f t="shared" si="0"/>
        <v>1</v>
      </c>
    </row>
    <row r="33" spans="1:7" ht="15" customHeight="1" thickBot="1">
      <c r="A33" s="383"/>
      <c r="B33" s="319" t="s">
        <v>52</v>
      </c>
      <c r="C33" s="573">
        <f aca="true" t="shared" si="7" ref="C33">SUM(C30:C32)</f>
        <v>625000</v>
      </c>
      <c r="D33" s="674">
        <f aca="true" t="shared" si="8" ref="D33:E33">SUM(D30:D32)</f>
        <v>190514</v>
      </c>
      <c r="E33" s="674">
        <f t="shared" si="8"/>
        <v>190514</v>
      </c>
      <c r="F33" s="674">
        <f aca="true" t="shared" si="9" ref="F33">SUM(F30:F32)</f>
        <v>190514</v>
      </c>
      <c r="G33" s="839">
        <f t="shared" si="0"/>
        <v>1</v>
      </c>
    </row>
    <row r="34" spans="1:7" ht="15" customHeight="1" thickBot="1">
      <c r="A34" s="379"/>
      <c r="B34" s="641" t="s">
        <v>397</v>
      </c>
      <c r="C34" s="574"/>
      <c r="D34" s="959"/>
      <c r="E34" s="959"/>
      <c r="F34" s="959"/>
      <c r="G34" s="838"/>
    </row>
    <row r="35" spans="1:7" ht="15" customHeight="1" thickBot="1">
      <c r="A35" s="383"/>
      <c r="B35" s="319" t="s">
        <v>54</v>
      </c>
      <c r="C35" s="573"/>
      <c r="D35" s="674"/>
      <c r="E35" s="674"/>
      <c r="F35" s="674"/>
      <c r="G35" s="839"/>
    </row>
    <row r="36" spans="1:7" ht="15" customHeight="1" thickBot="1">
      <c r="A36" s="383"/>
      <c r="B36" s="321" t="s">
        <v>66</v>
      </c>
      <c r="C36" s="573">
        <f aca="true" t="shared" si="10" ref="C36">SUM(C35+C33+C28+C29)</f>
        <v>660000</v>
      </c>
      <c r="D36" s="674">
        <f aca="true" t="shared" si="11" ref="D36:E36">SUM(D35+D33+D28+D29)</f>
        <v>204090</v>
      </c>
      <c r="E36" s="674">
        <f t="shared" si="11"/>
        <v>204090</v>
      </c>
      <c r="F36" s="674">
        <f aca="true" t="shared" si="12" ref="F36">SUM(F35+F33+F28+F29)</f>
        <v>204090</v>
      </c>
      <c r="G36" s="839">
        <f t="shared" si="0"/>
        <v>1</v>
      </c>
    </row>
    <row r="37" spans="1:7" ht="15" customHeight="1">
      <c r="A37" s="379"/>
      <c r="B37" s="322" t="s">
        <v>304</v>
      </c>
      <c r="C37" s="574">
        <v>420826</v>
      </c>
      <c r="D37" s="959">
        <v>107241</v>
      </c>
      <c r="E37" s="959">
        <v>107241</v>
      </c>
      <c r="F37" s="959">
        <v>107241</v>
      </c>
      <c r="G37" s="661">
        <f t="shared" si="0"/>
        <v>1</v>
      </c>
    </row>
    <row r="38" spans="1:7" ht="15" customHeight="1">
      <c r="A38" s="379"/>
      <c r="B38" s="322" t="s">
        <v>305</v>
      </c>
      <c r="C38" s="574">
        <v>65244</v>
      </c>
      <c r="D38" s="959">
        <v>20542</v>
      </c>
      <c r="E38" s="959">
        <v>20542</v>
      </c>
      <c r="F38" s="959">
        <v>20542</v>
      </c>
      <c r="G38" s="661">
        <f t="shared" si="0"/>
        <v>1</v>
      </c>
    </row>
    <row r="39" spans="1:7" ht="15" customHeight="1">
      <c r="A39" s="379"/>
      <c r="B39" s="322" t="s">
        <v>306</v>
      </c>
      <c r="C39" s="574">
        <v>170930</v>
      </c>
      <c r="D39" s="959">
        <v>44198</v>
      </c>
      <c r="E39" s="959">
        <v>44198</v>
      </c>
      <c r="F39" s="959">
        <v>44198</v>
      </c>
      <c r="G39" s="661">
        <f t="shared" si="0"/>
        <v>1</v>
      </c>
    </row>
    <row r="40" spans="1:7" ht="15" customHeight="1">
      <c r="A40" s="379"/>
      <c r="B40" s="323" t="s">
        <v>308</v>
      </c>
      <c r="C40" s="576"/>
      <c r="D40" s="960"/>
      <c r="E40" s="960"/>
      <c r="F40" s="960"/>
      <c r="G40" s="661"/>
    </row>
    <row r="41" spans="1:7" ht="15" customHeight="1" thickBot="1">
      <c r="A41" s="549"/>
      <c r="B41" s="324" t="s">
        <v>307</v>
      </c>
      <c r="C41" s="572"/>
      <c r="D41" s="961">
        <v>32034</v>
      </c>
      <c r="E41" s="961">
        <v>32034</v>
      </c>
      <c r="F41" s="961">
        <v>32034</v>
      </c>
      <c r="G41" s="837">
        <f t="shared" si="0"/>
        <v>1</v>
      </c>
    </row>
    <row r="42" spans="1:7" ht="15" customHeight="1">
      <c r="A42" s="547"/>
      <c r="B42" s="551" t="s">
        <v>51</v>
      </c>
      <c r="C42" s="576">
        <f aca="true" t="shared" si="13" ref="C42:D42">SUM(C37:C41)</f>
        <v>657000</v>
      </c>
      <c r="D42" s="960">
        <f t="shared" si="13"/>
        <v>204015</v>
      </c>
      <c r="E42" s="960">
        <f aca="true" t="shared" si="14" ref="E42:F42">SUM(E37:E41)</f>
        <v>204015</v>
      </c>
      <c r="F42" s="960">
        <f t="shared" si="14"/>
        <v>204015</v>
      </c>
      <c r="G42" s="907">
        <f t="shared" si="0"/>
        <v>1</v>
      </c>
    </row>
    <row r="43" spans="1:7" ht="15" customHeight="1">
      <c r="A43" s="550"/>
      <c r="B43" s="548" t="s">
        <v>14</v>
      </c>
      <c r="C43" s="577">
        <v>145000</v>
      </c>
      <c r="D43" s="962">
        <v>145000</v>
      </c>
      <c r="E43" s="962">
        <v>145000</v>
      </c>
      <c r="F43" s="962">
        <v>145000</v>
      </c>
      <c r="G43" s="840">
        <f t="shared" si="0"/>
        <v>1</v>
      </c>
    </row>
    <row r="44" spans="1:7" ht="15" customHeight="1" thickBot="1">
      <c r="A44" s="384"/>
      <c r="B44" s="544" t="s">
        <v>369</v>
      </c>
      <c r="C44" s="578">
        <v>140000</v>
      </c>
      <c r="D44" s="963">
        <v>140000</v>
      </c>
      <c r="E44" s="963">
        <v>140000</v>
      </c>
      <c r="F44" s="963">
        <v>140000</v>
      </c>
      <c r="G44" s="841">
        <f t="shared" si="0"/>
        <v>1</v>
      </c>
    </row>
    <row r="45" spans="1:9" ht="15.9" customHeight="1">
      <c r="A45" s="379"/>
      <c r="B45" s="322" t="s">
        <v>231</v>
      </c>
      <c r="C45" s="579">
        <v>3000</v>
      </c>
      <c r="D45" s="964">
        <v>75</v>
      </c>
      <c r="E45" s="964">
        <v>75</v>
      </c>
      <c r="F45" s="964">
        <v>75</v>
      </c>
      <c r="G45" s="661">
        <f t="shared" si="0"/>
        <v>1</v>
      </c>
      <c r="I45" s="755"/>
    </row>
    <row r="46" spans="1:7" ht="15" customHeight="1">
      <c r="A46" s="379"/>
      <c r="B46" s="322" t="s">
        <v>232</v>
      </c>
      <c r="C46" s="576"/>
      <c r="D46" s="960"/>
      <c r="E46" s="960"/>
      <c r="F46" s="960"/>
      <c r="G46" s="661"/>
    </row>
    <row r="47" spans="1:7" ht="15" customHeight="1" thickBot="1">
      <c r="A47" s="379"/>
      <c r="B47" s="324" t="s">
        <v>406</v>
      </c>
      <c r="C47" s="575"/>
      <c r="D47" s="965"/>
      <c r="E47" s="965"/>
      <c r="F47" s="965"/>
      <c r="G47" s="837"/>
    </row>
    <row r="48" spans="1:7" ht="15" customHeight="1" thickBot="1">
      <c r="A48" s="383"/>
      <c r="B48" s="326" t="s">
        <v>57</v>
      </c>
      <c r="C48" s="573">
        <f aca="true" t="shared" si="15" ref="C48">SUM(C45:C47)</f>
        <v>3000</v>
      </c>
      <c r="D48" s="674">
        <f aca="true" t="shared" si="16" ref="D48:E48">SUM(D45:D47)</f>
        <v>75</v>
      </c>
      <c r="E48" s="674">
        <f t="shared" si="16"/>
        <v>75</v>
      </c>
      <c r="F48" s="674">
        <f aca="true" t="shared" si="17" ref="F48">SUM(F45:F47)</f>
        <v>75</v>
      </c>
      <c r="G48" s="839">
        <f t="shared" si="0"/>
        <v>1</v>
      </c>
    </row>
    <row r="49" spans="1:7" ht="15" customHeight="1" thickBot="1">
      <c r="A49" s="384"/>
      <c r="B49" s="327" t="s">
        <v>103</v>
      </c>
      <c r="C49" s="674">
        <f aca="true" t="shared" si="18" ref="C49">SUM(C48,C42)</f>
        <v>660000</v>
      </c>
      <c r="D49" s="674">
        <f aca="true" t="shared" si="19" ref="D49:E49">SUM(D48,D42)</f>
        <v>204090</v>
      </c>
      <c r="E49" s="674">
        <f t="shared" si="19"/>
        <v>204090</v>
      </c>
      <c r="F49" s="674">
        <f aca="true" t="shared" si="20" ref="F49">SUM(F48,F42)</f>
        <v>204090</v>
      </c>
      <c r="G49" s="839">
        <f t="shared" si="0"/>
        <v>1</v>
      </c>
    </row>
    <row r="52" ht="16.5" customHeight="1">
      <c r="B52" s="532"/>
    </row>
    <row r="53" ht="15" customHeight="1">
      <c r="B53" s="532"/>
    </row>
  </sheetData>
  <mergeCells count="7">
    <mergeCell ref="G7:G9"/>
    <mergeCell ref="A3:G3"/>
    <mergeCell ref="A2:G2"/>
    <mergeCell ref="C7:C9"/>
    <mergeCell ref="D7:D9"/>
    <mergeCell ref="E7:E9"/>
    <mergeCell ref="F7:F9"/>
  </mergeCells>
  <printOptions/>
  <pageMargins left="0.5511811023622047" right="0.5511811023622047" top="0.984251968503937" bottom="0.984251968503937" header="0.5118110236220472" footer="0.5118110236220472"/>
  <pageSetup firstPageNumber="23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31"/>
  <sheetViews>
    <sheetView showZeros="0" view="pageBreakPreview" zoomScaleSheetLayoutView="100" workbookViewId="0" topLeftCell="A1">
      <selection activeCell="G397" sqref="G397"/>
    </sheetView>
  </sheetViews>
  <sheetFormatPr defaultColWidth="9.125" defaultRowHeight="12.75"/>
  <cols>
    <col min="1" max="1" width="6.125" style="386" customWidth="1"/>
    <col min="2" max="2" width="50.875" style="333" customWidth="1"/>
    <col min="3" max="6" width="13.00390625" style="475" customWidth="1"/>
    <col min="7" max="7" width="9.125" style="475" customWidth="1"/>
    <col min="8" max="8" width="46.00390625" style="475" bestFit="1" customWidth="1"/>
    <col min="9" max="16384" width="9.125" style="333" customWidth="1"/>
  </cols>
  <sheetData>
    <row r="1" spans="1:8" ht="13.2">
      <c r="A1" s="1122" t="s">
        <v>295</v>
      </c>
      <c r="B1" s="1123"/>
      <c r="C1" s="1123"/>
      <c r="D1" s="1123"/>
      <c r="E1" s="1123"/>
      <c r="F1" s="1123"/>
      <c r="G1" s="1123"/>
      <c r="H1" s="1123"/>
    </row>
    <row r="2" spans="1:8" ht="13.2">
      <c r="A2" s="1124" t="s">
        <v>610</v>
      </c>
      <c r="B2" s="1125"/>
      <c r="C2" s="1125"/>
      <c r="D2" s="1125"/>
      <c r="E2" s="1125"/>
      <c r="F2" s="1125"/>
      <c r="G2" s="1125"/>
      <c r="H2" s="1125"/>
    </row>
    <row r="3" spans="1:8" ht="13.2">
      <c r="A3" s="385"/>
      <c r="B3" s="385"/>
      <c r="C3" s="865"/>
      <c r="D3" s="930"/>
      <c r="E3" s="969"/>
      <c r="F3" s="1044"/>
      <c r="G3" s="385"/>
      <c r="H3" s="385"/>
    </row>
    <row r="4" spans="3:8" ht="12">
      <c r="C4" s="387"/>
      <c r="D4" s="387"/>
      <c r="E4" s="387"/>
      <c r="F4" s="387"/>
      <c r="G4" s="387"/>
      <c r="H4" s="388" t="s">
        <v>164</v>
      </c>
    </row>
    <row r="5" spans="1:8" s="338" customFormat="1" ht="12" customHeight="1">
      <c r="A5" s="336"/>
      <c r="B5" s="337"/>
      <c r="C5" s="1102" t="s">
        <v>617</v>
      </c>
      <c r="D5" s="1102" t="s">
        <v>651</v>
      </c>
      <c r="E5" s="1102" t="s">
        <v>657</v>
      </c>
      <c r="F5" s="1102" t="s">
        <v>660</v>
      </c>
      <c r="G5" s="1102" t="s">
        <v>661</v>
      </c>
      <c r="H5" s="390" t="s">
        <v>510</v>
      </c>
    </row>
    <row r="6" spans="1:8" s="338" customFormat="1" ht="12" customHeight="1">
      <c r="A6" s="339" t="s">
        <v>258</v>
      </c>
      <c r="B6" s="340" t="s">
        <v>268</v>
      </c>
      <c r="C6" s="1117"/>
      <c r="D6" s="1117"/>
      <c r="E6" s="1117"/>
      <c r="F6" s="1105"/>
      <c r="G6" s="1105"/>
      <c r="H6" s="72" t="s">
        <v>131</v>
      </c>
    </row>
    <row r="7" spans="1:8" s="338" customFormat="1" ht="12.75" customHeight="1" thickBot="1">
      <c r="A7" s="339"/>
      <c r="B7" s="342"/>
      <c r="C7" s="1118"/>
      <c r="D7" s="1118"/>
      <c r="E7" s="1118"/>
      <c r="F7" s="1106"/>
      <c r="G7" s="1106"/>
      <c r="H7" s="359"/>
    </row>
    <row r="8" spans="1:8" s="338" customFormat="1" ht="12">
      <c r="A8" s="343" t="s">
        <v>149</v>
      </c>
      <c r="B8" s="391" t="s">
        <v>150</v>
      </c>
      <c r="C8" s="345" t="s">
        <v>151</v>
      </c>
      <c r="D8" s="345" t="s">
        <v>561</v>
      </c>
      <c r="E8" s="345" t="s">
        <v>562</v>
      </c>
      <c r="F8" s="345" t="s">
        <v>582</v>
      </c>
      <c r="G8" s="345" t="s">
        <v>583</v>
      </c>
      <c r="H8" s="345" t="s">
        <v>583</v>
      </c>
    </row>
    <row r="9" spans="1:8" s="338" customFormat="1" ht="12" customHeight="1">
      <c r="A9" s="339">
        <v>3050</v>
      </c>
      <c r="B9" s="392" t="s">
        <v>237</v>
      </c>
      <c r="C9" s="393">
        <f>SUM(C17+C25+C34+C43+C52)</f>
        <v>103000</v>
      </c>
      <c r="D9" s="932">
        <f>SUM(D17+D25+D34+D43+D52)</f>
        <v>105755</v>
      </c>
      <c r="E9" s="932">
        <f>SUM(E17+E25+E34+E43+E52)</f>
        <v>105755</v>
      </c>
      <c r="F9" s="932">
        <f>SUM(F17+F25+F34+F43+F52)</f>
        <v>6315</v>
      </c>
      <c r="G9" s="394">
        <f>SUM(F9/E9)</f>
        <v>0.059713488723937405</v>
      </c>
      <c r="H9" s="395"/>
    </row>
    <row r="10" spans="1:8" ht="12" customHeight="1">
      <c r="A10" s="396">
        <v>3052</v>
      </c>
      <c r="B10" s="397" t="s">
        <v>21</v>
      </c>
      <c r="C10" s="398"/>
      <c r="D10" s="398"/>
      <c r="E10" s="398"/>
      <c r="F10" s="398"/>
      <c r="G10" s="394"/>
      <c r="H10" s="399"/>
    </row>
    <row r="11" spans="1:8" ht="12" customHeight="1">
      <c r="A11" s="400"/>
      <c r="B11" s="401" t="s">
        <v>106</v>
      </c>
      <c r="C11" s="414"/>
      <c r="D11" s="414"/>
      <c r="E11" s="414"/>
      <c r="F11" s="414"/>
      <c r="G11" s="394"/>
      <c r="H11" s="811" t="s">
        <v>482</v>
      </c>
    </row>
    <row r="12" spans="1:8" ht="12" customHeight="1">
      <c r="A12" s="400"/>
      <c r="B12" s="403" t="s">
        <v>274</v>
      </c>
      <c r="C12" s="414"/>
      <c r="D12" s="414"/>
      <c r="E12" s="414"/>
      <c r="F12" s="414"/>
      <c r="G12" s="394"/>
      <c r="H12" s="624" t="s">
        <v>511</v>
      </c>
    </row>
    <row r="13" spans="1:8" ht="12" customHeight="1">
      <c r="A13" s="400"/>
      <c r="B13" s="404" t="s">
        <v>263</v>
      </c>
      <c r="C13" s="414"/>
      <c r="D13" s="414">
        <v>343</v>
      </c>
      <c r="E13" s="414">
        <v>343</v>
      </c>
      <c r="F13" s="414"/>
      <c r="G13" s="741">
        <f aca="true" t="shared" si="0" ref="G13:G73">SUM(F13/E13)</f>
        <v>0</v>
      </c>
      <c r="H13" s="624"/>
    </row>
    <row r="14" spans="1:8" ht="12" customHeight="1">
      <c r="A14" s="400"/>
      <c r="B14" s="405" t="s">
        <v>111</v>
      </c>
      <c r="C14" s="414"/>
      <c r="D14" s="414"/>
      <c r="E14" s="414"/>
      <c r="F14" s="414"/>
      <c r="G14" s="394"/>
      <c r="H14" s="402"/>
    </row>
    <row r="15" spans="1:8" ht="12" customHeight="1">
      <c r="A15" s="400"/>
      <c r="B15" s="405" t="s">
        <v>270</v>
      </c>
      <c r="C15" s="687"/>
      <c r="D15" s="687"/>
      <c r="E15" s="687"/>
      <c r="F15" s="687"/>
      <c r="G15" s="394"/>
      <c r="H15" s="402"/>
    </row>
    <row r="16" spans="1:8" ht="12" customHeight="1" thickBot="1">
      <c r="A16" s="400"/>
      <c r="B16" s="406" t="s">
        <v>79</v>
      </c>
      <c r="C16" s="688"/>
      <c r="D16" s="688"/>
      <c r="E16" s="688"/>
      <c r="F16" s="688"/>
      <c r="G16" s="742"/>
      <c r="H16" s="407"/>
    </row>
    <row r="17" spans="1:8" ht="13.5" customHeight="1" thickBot="1">
      <c r="A17" s="408"/>
      <c r="B17" s="409" t="s">
        <v>122</v>
      </c>
      <c r="C17" s="677">
        <f aca="true" t="shared" si="1" ref="C17">SUM(C11:C14)</f>
        <v>0</v>
      </c>
      <c r="D17" s="677">
        <f aca="true" t="shared" si="2" ref="D17">SUM(D11:D14)</f>
        <v>343</v>
      </c>
      <c r="E17" s="677">
        <f aca="true" t="shared" si="3" ref="E17:F17">SUM(E11:E14)</f>
        <v>343</v>
      </c>
      <c r="F17" s="677">
        <f t="shared" si="3"/>
        <v>0</v>
      </c>
      <c r="G17" s="743">
        <f t="shared" si="0"/>
        <v>0</v>
      </c>
      <c r="H17" s="410"/>
    </row>
    <row r="18" spans="1:8" ht="13.5" customHeight="1">
      <c r="A18" s="396">
        <v>3054</v>
      </c>
      <c r="B18" s="650" t="s">
        <v>219</v>
      </c>
      <c r="C18" s="687"/>
      <c r="D18" s="687"/>
      <c r="E18" s="687"/>
      <c r="F18" s="687"/>
      <c r="G18" s="394"/>
      <c r="H18" s="399"/>
    </row>
    <row r="19" spans="1:8" ht="12.6" customHeight="1">
      <c r="A19" s="400"/>
      <c r="B19" s="401" t="s">
        <v>106</v>
      </c>
      <c r="C19" s="686"/>
      <c r="D19" s="686"/>
      <c r="E19" s="686"/>
      <c r="F19" s="686"/>
      <c r="G19" s="394"/>
      <c r="H19" s="624"/>
    </row>
    <row r="20" spans="1:8" ht="12.6" customHeight="1">
      <c r="A20" s="400"/>
      <c r="B20" s="403" t="s">
        <v>274</v>
      </c>
      <c r="C20" s="686"/>
      <c r="D20" s="686"/>
      <c r="E20" s="686"/>
      <c r="F20" s="686"/>
      <c r="G20" s="394"/>
      <c r="H20" s="811" t="s">
        <v>482</v>
      </c>
    </row>
    <row r="21" spans="1:8" ht="12.6" customHeight="1">
      <c r="A21" s="400"/>
      <c r="B21" s="404" t="s">
        <v>263</v>
      </c>
      <c r="C21" s="686">
        <v>5000</v>
      </c>
      <c r="D21" s="686">
        <v>5000</v>
      </c>
      <c r="E21" s="686">
        <v>5000</v>
      </c>
      <c r="F21" s="686">
        <v>3903</v>
      </c>
      <c r="G21" s="741">
        <f t="shared" si="0"/>
        <v>0.7806</v>
      </c>
      <c r="H21" s="624" t="s">
        <v>511</v>
      </c>
    </row>
    <row r="22" spans="1:8" ht="12.6" customHeight="1">
      <c r="A22" s="400"/>
      <c r="B22" s="405" t="s">
        <v>111</v>
      </c>
      <c r="C22" s="686"/>
      <c r="D22" s="686"/>
      <c r="E22" s="686"/>
      <c r="F22" s="686"/>
      <c r="G22" s="394"/>
      <c r="H22" s="402"/>
    </row>
    <row r="23" spans="1:8" ht="12.6" customHeight="1">
      <c r="A23" s="400"/>
      <c r="B23" s="405" t="s">
        <v>270</v>
      </c>
      <c r="C23" s="687"/>
      <c r="D23" s="687"/>
      <c r="E23" s="687"/>
      <c r="F23" s="687"/>
      <c r="G23" s="394"/>
      <c r="H23" s="402"/>
    </row>
    <row r="24" spans="1:8" ht="12.6" customHeight="1" thickBot="1">
      <c r="A24" s="400"/>
      <c r="B24" s="406" t="s">
        <v>79</v>
      </c>
      <c r="C24" s="688"/>
      <c r="D24" s="688"/>
      <c r="E24" s="688"/>
      <c r="F24" s="688"/>
      <c r="G24" s="742"/>
      <c r="H24" s="407"/>
    </row>
    <row r="25" spans="1:8" ht="12.6" customHeight="1" thickBot="1">
      <c r="A25" s="408"/>
      <c r="B25" s="409" t="s">
        <v>122</v>
      </c>
      <c r="C25" s="676">
        <f aca="true" t="shared" si="4" ref="C25">SUM(C21:C24)</f>
        <v>5000</v>
      </c>
      <c r="D25" s="676">
        <f aca="true" t="shared" si="5" ref="D25">SUM(D21:D24)</f>
        <v>5000</v>
      </c>
      <c r="E25" s="676">
        <f aca="true" t="shared" si="6" ref="E25:F25">SUM(E21:E24)</f>
        <v>5000</v>
      </c>
      <c r="F25" s="676">
        <f t="shared" si="6"/>
        <v>3903</v>
      </c>
      <c r="G25" s="743">
        <f t="shared" si="0"/>
        <v>0.7806</v>
      </c>
      <c r="H25" s="410"/>
    </row>
    <row r="26" spans="1:8" ht="12.6" customHeight="1">
      <c r="A26" s="396">
        <v>3056</v>
      </c>
      <c r="B26" s="650" t="s">
        <v>464</v>
      </c>
      <c r="C26" s="687"/>
      <c r="D26" s="687"/>
      <c r="E26" s="687"/>
      <c r="F26" s="687"/>
      <c r="G26" s="394"/>
      <c r="H26" s="399"/>
    </row>
    <row r="27" spans="1:9" ht="12.6" customHeight="1">
      <c r="A27" s="400"/>
      <c r="B27" s="401" t="s">
        <v>106</v>
      </c>
      <c r="C27" s="686"/>
      <c r="D27" s="686"/>
      <c r="E27" s="686"/>
      <c r="F27" s="686"/>
      <c r="G27" s="394"/>
      <c r="H27" s="586" t="s">
        <v>485</v>
      </c>
      <c r="I27"/>
    </row>
    <row r="28" spans="1:8" ht="12.6" customHeight="1">
      <c r="A28" s="400"/>
      <c r="B28" s="403" t="s">
        <v>274</v>
      </c>
      <c r="C28" s="686"/>
      <c r="D28" s="686"/>
      <c r="E28" s="686"/>
      <c r="F28" s="686"/>
      <c r="G28" s="394"/>
      <c r="H28" s="587" t="s">
        <v>486</v>
      </c>
    </row>
    <row r="29" spans="1:8" ht="12.6" customHeight="1">
      <c r="A29" s="400"/>
      <c r="B29" s="404" t="s">
        <v>263</v>
      </c>
      <c r="C29" s="686">
        <v>10000</v>
      </c>
      <c r="D29" s="686">
        <v>10000</v>
      </c>
      <c r="E29" s="686">
        <v>10000</v>
      </c>
      <c r="F29" s="686"/>
      <c r="G29" s="741">
        <f t="shared" si="0"/>
        <v>0</v>
      </c>
      <c r="H29" s="624"/>
    </row>
    <row r="30" spans="1:8" ht="12.6" customHeight="1">
      <c r="A30" s="400"/>
      <c r="B30" s="405" t="s">
        <v>111</v>
      </c>
      <c r="C30" s="686"/>
      <c r="D30" s="686"/>
      <c r="E30" s="686"/>
      <c r="F30" s="686"/>
      <c r="G30" s="394"/>
      <c r="H30" s="402"/>
    </row>
    <row r="31" spans="1:8" ht="12.6" customHeight="1">
      <c r="A31" s="400"/>
      <c r="B31" s="405" t="s">
        <v>270</v>
      </c>
      <c r="C31" s="687"/>
      <c r="D31" s="687"/>
      <c r="E31" s="687"/>
      <c r="F31" s="687"/>
      <c r="G31" s="394"/>
      <c r="H31" s="624"/>
    </row>
    <row r="32" spans="1:8" ht="12.6" customHeight="1">
      <c r="A32" s="400"/>
      <c r="B32" s="405" t="s">
        <v>544</v>
      </c>
      <c r="C32" s="821"/>
      <c r="D32" s="821"/>
      <c r="E32" s="821"/>
      <c r="F32" s="821"/>
      <c r="G32" s="394"/>
      <c r="H32" s="625"/>
    </row>
    <row r="33" spans="1:8" ht="12.6" customHeight="1" thickBot="1">
      <c r="A33" s="400"/>
      <c r="B33" s="406" t="s">
        <v>233</v>
      </c>
      <c r="C33" s="689"/>
      <c r="D33" s="689">
        <v>2412</v>
      </c>
      <c r="E33" s="689">
        <v>2412</v>
      </c>
      <c r="F33" s="689">
        <v>2412</v>
      </c>
      <c r="G33" s="742">
        <f t="shared" si="0"/>
        <v>1</v>
      </c>
      <c r="H33" s="407"/>
    </row>
    <row r="34" spans="1:8" ht="12.6" customHeight="1" thickBot="1">
      <c r="A34" s="408"/>
      <c r="B34" s="409" t="s">
        <v>122</v>
      </c>
      <c r="C34" s="676">
        <f aca="true" t="shared" si="7" ref="C34">SUM(C29:C33)</f>
        <v>10000</v>
      </c>
      <c r="D34" s="676">
        <f aca="true" t="shared" si="8" ref="D34">SUM(D29:D33)</f>
        <v>12412</v>
      </c>
      <c r="E34" s="676">
        <f aca="true" t="shared" si="9" ref="E34:F34">SUM(E29:E33)</f>
        <v>12412</v>
      </c>
      <c r="F34" s="676">
        <f t="shared" si="9"/>
        <v>2412</v>
      </c>
      <c r="G34" s="743">
        <f t="shared" si="0"/>
        <v>0.19432806961005478</v>
      </c>
      <c r="H34" s="410"/>
    </row>
    <row r="35" spans="1:8" ht="12.6" customHeight="1">
      <c r="A35" s="396">
        <v>3057</v>
      </c>
      <c r="B35" s="650" t="s">
        <v>585</v>
      </c>
      <c r="C35" s="687"/>
      <c r="D35" s="687"/>
      <c r="E35" s="687"/>
      <c r="F35" s="687"/>
      <c r="G35" s="394"/>
      <c r="H35" s="399"/>
    </row>
    <row r="36" spans="1:8" ht="12.6" customHeight="1">
      <c r="A36" s="400"/>
      <c r="B36" s="401" t="s">
        <v>106</v>
      </c>
      <c r="C36" s="686"/>
      <c r="D36" s="686"/>
      <c r="E36" s="686"/>
      <c r="F36" s="686"/>
      <c r="G36" s="394"/>
      <c r="H36" s="586" t="s">
        <v>485</v>
      </c>
    </row>
    <row r="37" spans="1:8" ht="12.6" customHeight="1">
      <c r="A37" s="400"/>
      <c r="B37" s="403" t="s">
        <v>274</v>
      </c>
      <c r="C37" s="686"/>
      <c r="D37" s="686"/>
      <c r="E37" s="686"/>
      <c r="F37" s="686"/>
      <c r="G37" s="394"/>
      <c r="H37" s="587" t="s">
        <v>486</v>
      </c>
    </row>
    <row r="38" spans="1:8" ht="12.6" customHeight="1">
      <c r="A38" s="400"/>
      <c r="B38" s="404" t="s">
        <v>263</v>
      </c>
      <c r="C38" s="686">
        <v>76000</v>
      </c>
      <c r="D38" s="686">
        <v>76000</v>
      </c>
      <c r="E38" s="686">
        <v>76000</v>
      </c>
      <c r="F38" s="686"/>
      <c r="G38" s="741">
        <f t="shared" si="0"/>
        <v>0</v>
      </c>
      <c r="H38" s="624"/>
    </row>
    <row r="39" spans="1:8" ht="12.6" customHeight="1">
      <c r="A39" s="400"/>
      <c r="B39" s="405" t="s">
        <v>111</v>
      </c>
      <c r="C39" s="686"/>
      <c r="D39" s="686"/>
      <c r="E39" s="686"/>
      <c r="F39" s="686"/>
      <c r="G39" s="394"/>
      <c r="H39" s="402"/>
    </row>
    <row r="40" spans="1:8" ht="12.6" customHeight="1">
      <c r="A40" s="400"/>
      <c r="B40" s="405" t="s">
        <v>270</v>
      </c>
      <c r="C40" s="687"/>
      <c r="D40" s="687"/>
      <c r="E40" s="687"/>
      <c r="F40" s="687"/>
      <c r="G40" s="394"/>
      <c r="H40" s="624"/>
    </row>
    <row r="41" spans="1:8" ht="12.6" customHeight="1">
      <c r="A41" s="400"/>
      <c r="B41" s="405" t="s">
        <v>544</v>
      </c>
      <c r="C41" s="821"/>
      <c r="D41" s="821"/>
      <c r="E41" s="821"/>
      <c r="F41" s="821"/>
      <c r="G41" s="394"/>
      <c r="H41" s="625"/>
    </row>
    <row r="42" spans="1:8" ht="12.6" customHeight="1" thickBot="1">
      <c r="A42" s="400"/>
      <c r="B42" s="406" t="s">
        <v>231</v>
      </c>
      <c r="C42" s="689"/>
      <c r="D42" s="689"/>
      <c r="E42" s="689"/>
      <c r="F42" s="689"/>
      <c r="G42" s="742"/>
      <c r="H42" s="407"/>
    </row>
    <row r="43" spans="1:8" ht="12.6" customHeight="1" thickBot="1">
      <c r="A43" s="408"/>
      <c r="B43" s="409" t="s">
        <v>122</v>
      </c>
      <c r="C43" s="676">
        <f aca="true" t="shared" si="10" ref="C43">SUM(C38:C42)</f>
        <v>76000</v>
      </c>
      <c r="D43" s="676">
        <f aca="true" t="shared" si="11" ref="D43">SUM(D38:D42)</f>
        <v>76000</v>
      </c>
      <c r="E43" s="676">
        <f aca="true" t="shared" si="12" ref="E43:F43">SUM(E38:E42)</f>
        <v>76000</v>
      </c>
      <c r="F43" s="676">
        <f t="shared" si="12"/>
        <v>0</v>
      </c>
      <c r="G43" s="743">
        <f t="shared" si="0"/>
        <v>0</v>
      </c>
      <c r="H43" s="410"/>
    </row>
    <row r="44" spans="1:8" ht="12.6" customHeight="1">
      <c r="A44" s="396">
        <v>3058</v>
      </c>
      <c r="B44" s="650" t="s">
        <v>586</v>
      </c>
      <c r="C44" s="687"/>
      <c r="D44" s="687"/>
      <c r="E44" s="687"/>
      <c r="F44" s="687"/>
      <c r="G44" s="394"/>
      <c r="H44" s="399"/>
    </row>
    <row r="45" spans="1:8" ht="12.6" customHeight="1">
      <c r="A45" s="400"/>
      <c r="B45" s="401" t="s">
        <v>106</v>
      </c>
      <c r="C45" s="686"/>
      <c r="D45" s="686"/>
      <c r="E45" s="686"/>
      <c r="F45" s="686"/>
      <c r="G45" s="394"/>
      <c r="H45" s="586" t="s">
        <v>485</v>
      </c>
    </row>
    <row r="46" spans="1:8" ht="12.6" customHeight="1">
      <c r="A46" s="400"/>
      <c r="B46" s="403" t="s">
        <v>274</v>
      </c>
      <c r="C46" s="686"/>
      <c r="D46" s="686"/>
      <c r="E46" s="686"/>
      <c r="F46" s="686"/>
      <c r="G46" s="394"/>
      <c r="H46" s="587" t="s">
        <v>486</v>
      </c>
    </row>
    <row r="47" spans="1:8" ht="12.6" customHeight="1">
      <c r="A47" s="400"/>
      <c r="B47" s="404" t="s">
        <v>263</v>
      </c>
      <c r="C47" s="686">
        <v>12000</v>
      </c>
      <c r="D47" s="686">
        <v>12000</v>
      </c>
      <c r="E47" s="686">
        <v>12000</v>
      </c>
      <c r="F47" s="686"/>
      <c r="G47" s="741">
        <f t="shared" si="0"/>
        <v>0</v>
      </c>
      <c r="H47" s="624"/>
    </row>
    <row r="48" spans="1:8" ht="12.6" customHeight="1">
      <c r="A48" s="400"/>
      <c r="B48" s="405" t="s">
        <v>111</v>
      </c>
      <c r="C48" s="686"/>
      <c r="D48" s="686"/>
      <c r="E48" s="686"/>
      <c r="F48" s="686"/>
      <c r="G48" s="394"/>
      <c r="H48" s="402"/>
    </row>
    <row r="49" spans="1:8" ht="12.6" customHeight="1">
      <c r="A49" s="400"/>
      <c r="B49" s="405" t="s">
        <v>270</v>
      </c>
      <c r="C49" s="687"/>
      <c r="D49" s="687"/>
      <c r="E49" s="687"/>
      <c r="F49" s="687"/>
      <c r="G49" s="394"/>
      <c r="H49" s="624"/>
    </row>
    <row r="50" spans="1:8" ht="12.6" customHeight="1">
      <c r="A50" s="400"/>
      <c r="B50" s="405" t="s">
        <v>544</v>
      </c>
      <c r="C50" s="821"/>
      <c r="D50" s="821"/>
      <c r="E50" s="821"/>
      <c r="F50" s="821"/>
      <c r="G50" s="394"/>
      <c r="H50" s="625"/>
    </row>
    <row r="51" spans="1:8" ht="12.6" customHeight="1" thickBot="1">
      <c r="A51" s="400"/>
      <c r="B51" s="406" t="s">
        <v>231</v>
      </c>
      <c r="C51" s="689"/>
      <c r="D51" s="689"/>
      <c r="E51" s="689"/>
      <c r="F51" s="689"/>
      <c r="G51" s="742"/>
      <c r="H51" s="407"/>
    </row>
    <row r="52" spans="1:8" ht="12.6" customHeight="1" thickBot="1">
      <c r="A52" s="408"/>
      <c r="B52" s="409" t="s">
        <v>122</v>
      </c>
      <c r="C52" s="676">
        <f aca="true" t="shared" si="13" ref="C52">SUM(C47:C51)</f>
        <v>12000</v>
      </c>
      <c r="D52" s="676">
        <f aca="true" t="shared" si="14" ref="D52">SUM(D47:D51)</f>
        <v>12000</v>
      </c>
      <c r="E52" s="676">
        <f aca="true" t="shared" si="15" ref="E52:F52">SUM(E47:E51)</f>
        <v>12000</v>
      </c>
      <c r="F52" s="676">
        <f t="shared" si="15"/>
        <v>0</v>
      </c>
      <c r="G52" s="743">
        <f t="shared" si="0"/>
        <v>0</v>
      </c>
      <c r="H52" s="410"/>
    </row>
    <row r="53" spans="1:8" ht="12">
      <c r="A53" s="396">
        <v>3060</v>
      </c>
      <c r="B53" s="411" t="s">
        <v>77</v>
      </c>
      <c r="C53" s="887">
        <f aca="true" t="shared" si="16" ref="C53">SUM(C61+C69)</f>
        <v>6500</v>
      </c>
      <c r="D53" s="687">
        <f aca="true" t="shared" si="17" ref="D53">SUM(D61+D69)</f>
        <v>19269</v>
      </c>
      <c r="E53" s="687">
        <f aca="true" t="shared" si="18" ref="E53:F53">SUM(E61+E69)</f>
        <v>19269</v>
      </c>
      <c r="F53" s="687">
        <f t="shared" si="18"/>
        <v>1527</v>
      </c>
      <c r="G53" s="394">
        <f t="shared" si="0"/>
        <v>0.07924645804141367</v>
      </c>
      <c r="H53" s="399"/>
    </row>
    <row r="54" spans="1:8" ht="12" customHeight="1">
      <c r="A54" s="396">
        <v>3061</v>
      </c>
      <c r="B54" s="412" t="s">
        <v>112</v>
      </c>
      <c r="C54" s="687"/>
      <c r="D54" s="687"/>
      <c r="E54" s="687"/>
      <c r="F54" s="687"/>
      <c r="G54" s="394"/>
      <c r="H54" s="626"/>
    </row>
    <row r="55" spans="1:8" ht="12" customHeight="1">
      <c r="A55" s="400"/>
      <c r="B55" s="401" t="s">
        <v>106</v>
      </c>
      <c r="C55" s="686"/>
      <c r="D55" s="686"/>
      <c r="E55" s="686"/>
      <c r="F55" s="686"/>
      <c r="G55" s="394"/>
      <c r="H55" s="413"/>
    </row>
    <row r="56" spans="1:8" ht="12" customHeight="1">
      <c r="A56" s="400"/>
      <c r="B56" s="403" t="s">
        <v>274</v>
      </c>
      <c r="C56" s="686"/>
      <c r="D56" s="686"/>
      <c r="E56" s="686"/>
      <c r="F56" s="686"/>
      <c r="G56" s="394"/>
      <c r="H56" s="811" t="s">
        <v>512</v>
      </c>
    </row>
    <row r="57" spans="1:8" ht="12" customHeight="1">
      <c r="A57" s="415"/>
      <c r="B57" s="404" t="s">
        <v>263</v>
      </c>
      <c r="C57" s="686">
        <v>3000</v>
      </c>
      <c r="D57" s="686">
        <v>3000</v>
      </c>
      <c r="E57" s="686">
        <v>3000</v>
      </c>
      <c r="F57" s="686">
        <v>433</v>
      </c>
      <c r="G57" s="741">
        <f t="shared" si="0"/>
        <v>0.14433333333333334</v>
      </c>
      <c r="H57" s="402"/>
    </row>
    <row r="58" spans="1:8" ht="12" customHeight="1">
      <c r="A58" s="415"/>
      <c r="B58" s="405" t="s">
        <v>111</v>
      </c>
      <c r="C58" s="686"/>
      <c r="D58" s="686"/>
      <c r="E58" s="686"/>
      <c r="F58" s="686"/>
      <c r="G58" s="394"/>
      <c r="H58" s="626" t="s">
        <v>531</v>
      </c>
    </row>
    <row r="59" spans="1:8" ht="12">
      <c r="A59" s="415"/>
      <c r="B59" s="405" t="s">
        <v>270</v>
      </c>
      <c r="C59" s="686"/>
      <c r="D59" s="686"/>
      <c r="E59" s="686"/>
      <c r="F59" s="686"/>
      <c r="G59" s="394"/>
      <c r="H59" s="626"/>
    </row>
    <row r="60" spans="1:8" ht="12.6" thickBot="1">
      <c r="A60" s="415" t="s">
        <v>259</v>
      </c>
      <c r="B60" s="406" t="s">
        <v>79</v>
      </c>
      <c r="C60" s="689"/>
      <c r="D60" s="689"/>
      <c r="E60" s="689"/>
      <c r="F60" s="689"/>
      <c r="G60" s="742"/>
      <c r="H60" s="416"/>
    </row>
    <row r="61" spans="1:8" ht="12.6" thickBot="1">
      <c r="A61" s="417"/>
      <c r="B61" s="409" t="s">
        <v>122</v>
      </c>
      <c r="C61" s="676">
        <f aca="true" t="shared" si="19" ref="C61">SUM(C55:C60)</f>
        <v>3000</v>
      </c>
      <c r="D61" s="676">
        <f aca="true" t="shared" si="20" ref="D61">SUM(D55:D60)</f>
        <v>3000</v>
      </c>
      <c r="E61" s="676">
        <f aca="true" t="shared" si="21" ref="E61:F61">SUM(E55:E60)</f>
        <v>3000</v>
      </c>
      <c r="F61" s="676">
        <f t="shared" si="21"/>
        <v>433</v>
      </c>
      <c r="G61" s="743">
        <f t="shared" si="0"/>
        <v>0.14433333333333334</v>
      </c>
      <c r="H61" s="418"/>
    </row>
    <row r="62" spans="1:8" ht="12">
      <c r="A62" s="419">
        <v>3071</v>
      </c>
      <c r="B62" s="397" t="s">
        <v>125</v>
      </c>
      <c r="C62" s="687"/>
      <c r="D62" s="687"/>
      <c r="E62" s="687"/>
      <c r="F62" s="687"/>
      <c r="G62" s="394"/>
      <c r="H62" s="586" t="s">
        <v>485</v>
      </c>
    </row>
    <row r="63" spans="1:8" ht="12" customHeight="1">
      <c r="A63" s="415"/>
      <c r="B63" s="401" t="s">
        <v>106</v>
      </c>
      <c r="C63" s="686"/>
      <c r="D63" s="686"/>
      <c r="E63" s="686"/>
      <c r="F63" s="686"/>
      <c r="G63" s="394"/>
      <c r="H63" s="587" t="s">
        <v>486</v>
      </c>
    </row>
    <row r="64" spans="1:8" ht="12" customHeight="1">
      <c r="A64" s="400"/>
      <c r="B64" s="403" t="s">
        <v>274</v>
      </c>
      <c r="C64" s="686"/>
      <c r="D64" s="686"/>
      <c r="E64" s="686"/>
      <c r="F64" s="686"/>
      <c r="G64" s="394"/>
      <c r="H64" s="402"/>
    </row>
    <row r="65" spans="1:8" ht="12" customHeight="1">
      <c r="A65" s="400"/>
      <c r="B65" s="404" t="s">
        <v>263</v>
      </c>
      <c r="C65" s="686">
        <v>3500</v>
      </c>
      <c r="D65" s="686">
        <v>16269</v>
      </c>
      <c r="E65" s="686">
        <v>16269</v>
      </c>
      <c r="F65" s="686">
        <v>1094</v>
      </c>
      <c r="G65" s="741">
        <f t="shared" si="0"/>
        <v>0.06724445263999017</v>
      </c>
      <c r="H65" s="588"/>
    </row>
    <row r="66" spans="1:8" ht="12" customHeight="1">
      <c r="A66" s="400"/>
      <c r="B66" s="405" t="s">
        <v>111</v>
      </c>
      <c r="C66" s="686"/>
      <c r="D66" s="686"/>
      <c r="E66" s="686"/>
      <c r="F66" s="686"/>
      <c r="G66" s="394"/>
      <c r="H66" s="588"/>
    </row>
    <row r="67" spans="1:8" ht="12" customHeight="1">
      <c r="A67" s="400"/>
      <c r="B67" s="405" t="s">
        <v>270</v>
      </c>
      <c r="C67" s="686"/>
      <c r="D67" s="686"/>
      <c r="E67" s="686"/>
      <c r="F67" s="686"/>
      <c r="G67" s="394"/>
      <c r="H67" s="402"/>
    </row>
    <row r="68" spans="1:8" ht="12" customHeight="1" thickBot="1">
      <c r="A68" s="400"/>
      <c r="B68" s="406" t="s">
        <v>79</v>
      </c>
      <c r="C68" s="689"/>
      <c r="D68" s="689"/>
      <c r="E68" s="689"/>
      <c r="F68" s="689"/>
      <c r="G68" s="742"/>
      <c r="H68" s="457"/>
    </row>
    <row r="69" spans="1:8" ht="12" customHeight="1" thickBot="1">
      <c r="A69" s="424"/>
      <c r="B69" s="409" t="s">
        <v>122</v>
      </c>
      <c r="C69" s="676">
        <f aca="true" t="shared" si="22" ref="C69">SUM(C65:C68)</f>
        <v>3500</v>
      </c>
      <c r="D69" s="676">
        <f aca="true" t="shared" si="23" ref="D69">SUM(D65:D68)</f>
        <v>16269</v>
      </c>
      <c r="E69" s="676">
        <f aca="true" t="shared" si="24" ref="E69:F69">SUM(E65:E68)</f>
        <v>16269</v>
      </c>
      <c r="F69" s="676">
        <f t="shared" si="24"/>
        <v>1094</v>
      </c>
      <c r="G69" s="743">
        <f t="shared" si="0"/>
        <v>0.06724445263999017</v>
      </c>
      <c r="H69" s="589"/>
    </row>
    <row r="70" spans="1:8" ht="12" hidden="1">
      <c r="A70" s="419">
        <v>3072</v>
      </c>
      <c r="B70" s="397" t="s">
        <v>545</v>
      </c>
      <c r="C70" s="687"/>
      <c r="D70" s="687"/>
      <c r="E70" s="687"/>
      <c r="F70" s="687"/>
      <c r="G70" s="394" t="e">
        <f t="shared" si="0"/>
        <v>#DIV/0!</v>
      </c>
      <c r="H70" s="586" t="s">
        <v>485</v>
      </c>
    </row>
    <row r="71" spans="1:8" ht="12" hidden="1">
      <c r="A71" s="415"/>
      <c r="B71" s="401" t="s">
        <v>106</v>
      </c>
      <c r="C71" s="686"/>
      <c r="D71" s="686"/>
      <c r="E71" s="686"/>
      <c r="F71" s="686"/>
      <c r="G71" s="394" t="e">
        <f t="shared" si="0"/>
        <v>#DIV/0!</v>
      </c>
      <c r="H71" s="587" t="s">
        <v>486</v>
      </c>
    </row>
    <row r="72" spans="1:8" ht="12" hidden="1">
      <c r="A72" s="400"/>
      <c r="B72" s="403" t="s">
        <v>274</v>
      </c>
      <c r="C72" s="686"/>
      <c r="D72" s="686"/>
      <c r="E72" s="686"/>
      <c r="F72" s="686"/>
      <c r="G72" s="394" t="e">
        <f t="shared" si="0"/>
        <v>#DIV/0!</v>
      </c>
      <c r="H72" s="402"/>
    </row>
    <row r="73" spans="1:8" ht="12" hidden="1">
      <c r="A73" s="400"/>
      <c r="B73" s="404" t="s">
        <v>263</v>
      </c>
      <c r="C73" s="686"/>
      <c r="D73" s="686"/>
      <c r="E73" s="686"/>
      <c r="F73" s="686"/>
      <c r="G73" s="394" t="e">
        <f t="shared" si="0"/>
        <v>#DIV/0!</v>
      </c>
      <c r="H73" s="588"/>
    </row>
    <row r="74" spans="1:8" ht="12" hidden="1">
      <c r="A74" s="400"/>
      <c r="B74" s="405" t="s">
        <v>111</v>
      </c>
      <c r="C74" s="686"/>
      <c r="D74" s="686"/>
      <c r="E74" s="686"/>
      <c r="F74" s="686"/>
      <c r="G74" s="394" t="e">
        <f aca="true" t="shared" si="25" ref="G74:G135">SUM(F74/E74)</f>
        <v>#DIV/0!</v>
      </c>
      <c r="H74" s="588"/>
    </row>
    <row r="75" spans="1:8" ht="12" hidden="1">
      <c r="A75" s="400"/>
      <c r="B75" s="405" t="s">
        <v>270</v>
      </c>
      <c r="C75" s="686"/>
      <c r="D75" s="686"/>
      <c r="E75" s="686"/>
      <c r="F75" s="686"/>
      <c r="G75" s="394" t="e">
        <f t="shared" si="25"/>
        <v>#DIV/0!</v>
      </c>
      <c r="H75" s="402"/>
    </row>
    <row r="76" spans="1:8" ht="12.6" hidden="1" thickBot="1">
      <c r="A76" s="400"/>
      <c r="B76" s="406" t="s">
        <v>79</v>
      </c>
      <c r="C76" s="689"/>
      <c r="D76" s="689"/>
      <c r="E76" s="689"/>
      <c r="F76" s="689"/>
      <c r="G76" s="742" t="e">
        <f t="shared" si="25"/>
        <v>#DIV/0!</v>
      </c>
      <c r="H76" s="457"/>
    </row>
    <row r="77" spans="1:8" ht="12.6" hidden="1" thickBot="1">
      <c r="A77" s="424"/>
      <c r="B77" s="409" t="s">
        <v>122</v>
      </c>
      <c r="C77" s="676">
        <f aca="true" t="shared" si="26" ref="C77">SUM(C73:C76)</f>
        <v>0</v>
      </c>
      <c r="D77" s="676">
        <f aca="true" t="shared" si="27" ref="D77">SUM(D73:D76)</f>
        <v>0</v>
      </c>
      <c r="E77" s="676">
        <f aca="true" t="shared" si="28" ref="E77:F77">SUM(E73:E76)</f>
        <v>0</v>
      </c>
      <c r="F77" s="676">
        <f t="shared" si="28"/>
        <v>0</v>
      </c>
      <c r="G77" s="743" t="e">
        <f t="shared" si="25"/>
        <v>#DIV/0!</v>
      </c>
      <c r="H77" s="589"/>
    </row>
    <row r="78" spans="1:8" ht="12">
      <c r="A78" s="419">
        <v>3080</v>
      </c>
      <c r="B78" s="426" t="s">
        <v>80</v>
      </c>
      <c r="C78" s="687">
        <f aca="true" t="shared" si="29" ref="C78">SUM(C86)</f>
        <v>27500</v>
      </c>
      <c r="D78" s="687">
        <f aca="true" t="shared" si="30" ref="D78">SUM(D86)</f>
        <v>30001</v>
      </c>
      <c r="E78" s="687">
        <f aca="true" t="shared" si="31" ref="E78:F78">SUM(E86)</f>
        <v>30001</v>
      </c>
      <c r="F78" s="687">
        <f t="shared" si="31"/>
        <v>12166</v>
      </c>
      <c r="G78" s="394">
        <f t="shared" si="25"/>
        <v>0.4055198160061331</v>
      </c>
      <c r="H78" s="586"/>
    </row>
    <row r="79" spans="1:8" ht="12" customHeight="1">
      <c r="A79" s="419">
        <v>3081</v>
      </c>
      <c r="B79" s="412" t="s">
        <v>129</v>
      </c>
      <c r="C79" s="687"/>
      <c r="D79" s="687"/>
      <c r="E79" s="687"/>
      <c r="F79" s="687"/>
      <c r="G79" s="394"/>
      <c r="H79" s="627"/>
    </row>
    <row r="80" spans="1:8" ht="12" customHeight="1">
      <c r="A80" s="415"/>
      <c r="B80" s="401" t="s">
        <v>106</v>
      </c>
      <c r="C80" s="686"/>
      <c r="D80" s="686"/>
      <c r="E80" s="686"/>
      <c r="F80" s="686"/>
      <c r="G80" s="394"/>
      <c r="H80" s="624"/>
    </row>
    <row r="81" spans="1:8" ht="12" customHeight="1">
      <c r="A81" s="415"/>
      <c r="B81" s="403" t="s">
        <v>274</v>
      </c>
      <c r="C81" s="686"/>
      <c r="D81" s="686"/>
      <c r="E81" s="686"/>
      <c r="F81" s="686"/>
      <c r="G81" s="394"/>
      <c r="H81" s="625"/>
    </row>
    <row r="82" spans="1:8" ht="12" customHeight="1">
      <c r="A82" s="415"/>
      <c r="B82" s="404" t="s">
        <v>263</v>
      </c>
      <c r="C82" s="686">
        <v>21000</v>
      </c>
      <c r="D82" s="686">
        <f>21000+1286</f>
        <v>22286</v>
      </c>
      <c r="E82" s="686">
        <f>22286-5000</f>
        <v>17286</v>
      </c>
      <c r="F82" s="686">
        <v>5486</v>
      </c>
      <c r="G82" s="741">
        <f t="shared" si="25"/>
        <v>0.31736665509661</v>
      </c>
      <c r="H82" s="624"/>
    </row>
    <row r="83" spans="1:8" ht="12" customHeight="1">
      <c r="A83" s="415"/>
      <c r="B83" s="404" t="s">
        <v>78</v>
      </c>
      <c r="C83" s="686">
        <v>6500</v>
      </c>
      <c r="D83" s="686">
        <f>6500+1215</f>
        <v>7715</v>
      </c>
      <c r="E83" s="686">
        <f>7715+5000</f>
        <v>12715</v>
      </c>
      <c r="F83" s="686">
        <v>6680</v>
      </c>
      <c r="G83" s="741">
        <f t="shared" si="25"/>
        <v>0.5253637436099096</v>
      </c>
      <c r="H83" s="625"/>
    </row>
    <row r="84" spans="1:8" ht="12" customHeight="1">
      <c r="A84" s="415"/>
      <c r="B84" s="405" t="s">
        <v>270</v>
      </c>
      <c r="C84" s="686"/>
      <c r="D84" s="686"/>
      <c r="E84" s="686"/>
      <c r="F84" s="686"/>
      <c r="G84" s="394"/>
      <c r="H84" s="587"/>
    </row>
    <row r="85" spans="1:8" ht="12" customHeight="1" thickBot="1">
      <c r="A85" s="400"/>
      <c r="B85" s="406" t="s">
        <v>79</v>
      </c>
      <c r="C85" s="689"/>
      <c r="D85" s="689"/>
      <c r="E85" s="689"/>
      <c r="F85" s="689"/>
      <c r="G85" s="742"/>
      <c r="H85" s="457"/>
    </row>
    <row r="86" spans="1:8" ht="12" customHeight="1" thickBot="1">
      <c r="A86" s="424"/>
      <c r="B86" s="409" t="s">
        <v>122</v>
      </c>
      <c r="C86" s="676">
        <f aca="true" t="shared" si="32" ref="C86">SUM(C80:C85)</f>
        <v>27500</v>
      </c>
      <c r="D86" s="676">
        <f aca="true" t="shared" si="33" ref="D86">SUM(D80:D85)</f>
        <v>30001</v>
      </c>
      <c r="E86" s="676">
        <f aca="true" t="shared" si="34" ref="E86:F86">SUM(E80:E85)</f>
        <v>30001</v>
      </c>
      <c r="F86" s="676">
        <f t="shared" si="34"/>
        <v>12166</v>
      </c>
      <c r="G86" s="743">
        <f t="shared" si="25"/>
        <v>0.4055198160061331</v>
      </c>
      <c r="H86" s="425"/>
    </row>
    <row r="87" spans="1:8" ht="12" customHeight="1" thickBot="1">
      <c r="A87" s="428">
        <v>3130</v>
      </c>
      <c r="B87" s="429" t="s">
        <v>338</v>
      </c>
      <c r="C87" s="676">
        <f aca="true" t="shared" si="35" ref="C87">SUM(C88+C131)</f>
        <v>217401</v>
      </c>
      <c r="D87" s="676">
        <f>SUM(D88+D131)</f>
        <v>1070609</v>
      </c>
      <c r="E87" s="676">
        <f>SUM(E88+E131)</f>
        <v>1065807</v>
      </c>
      <c r="F87" s="676">
        <f>SUM(F88+F131)</f>
        <v>376089</v>
      </c>
      <c r="G87" s="743">
        <f t="shared" si="25"/>
        <v>0.3528678269142537</v>
      </c>
      <c r="H87" s="425"/>
    </row>
    <row r="88" spans="1:8" ht="12" customHeight="1" thickBot="1">
      <c r="A88" s="419">
        <v>3110</v>
      </c>
      <c r="B88" s="429" t="s">
        <v>336</v>
      </c>
      <c r="C88" s="676">
        <f aca="true" t="shared" si="36" ref="C88">SUM(C96+C114+C122+C104+C130)</f>
        <v>195401</v>
      </c>
      <c r="D88" s="676">
        <f aca="true" t="shared" si="37" ref="D88">SUM(D96+D114+D122+D104+D130)</f>
        <v>1028246</v>
      </c>
      <c r="E88" s="676">
        <f aca="true" t="shared" si="38" ref="E88:F88">SUM(E96+E114+E122+E104+E130)</f>
        <v>1023444</v>
      </c>
      <c r="F88" s="676">
        <f t="shared" si="38"/>
        <v>359114</v>
      </c>
      <c r="G88" s="743">
        <f t="shared" si="25"/>
        <v>0.35088778672794996</v>
      </c>
      <c r="H88" s="425"/>
    </row>
    <row r="89" spans="1:8" ht="12" customHeight="1">
      <c r="A89" s="430">
        <v>3111</v>
      </c>
      <c r="B89" s="431" t="s">
        <v>145</v>
      </c>
      <c r="C89" s="687"/>
      <c r="D89" s="687"/>
      <c r="E89" s="687"/>
      <c r="F89" s="687"/>
      <c r="G89" s="394"/>
      <c r="H89" s="345" t="s">
        <v>487</v>
      </c>
    </row>
    <row r="90" spans="1:8" ht="12" customHeight="1">
      <c r="A90" s="400"/>
      <c r="B90" s="401" t="s">
        <v>106</v>
      </c>
      <c r="C90" s="686"/>
      <c r="D90" s="686"/>
      <c r="E90" s="686"/>
      <c r="F90" s="686"/>
      <c r="G90" s="394"/>
      <c r="H90" s="421"/>
    </row>
    <row r="91" spans="1:8" ht="12" customHeight="1">
      <c r="A91" s="400"/>
      <c r="B91" s="403" t="s">
        <v>274</v>
      </c>
      <c r="C91" s="686"/>
      <c r="D91" s="686"/>
      <c r="E91" s="686"/>
      <c r="F91" s="686"/>
      <c r="G91" s="394"/>
      <c r="H91" s="421"/>
    </row>
    <row r="92" spans="1:8" ht="12" customHeight="1">
      <c r="A92" s="400"/>
      <c r="B92" s="404" t="s">
        <v>263</v>
      </c>
      <c r="C92" s="686"/>
      <c r="D92" s="686"/>
      <c r="E92" s="686"/>
      <c r="F92" s="686"/>
      <c r="G92" s="394"/>
      <c r="H92" s="421"/>
    </row>
    <row r="93" spans="1:8" ht="12" customHeight="1">
      <c r="A93" s="400"/>
      <c r="B93" s="405" t="s">
        <v>111</v>
      </c>
      <c r="C93" s="686"/>
      <c r="D93" s="686"/>
      <c r="E93" s="686"/>
      <c r="F93" s="686"/>
      <c r="G93" s="394"/>
      <c r="H93" s="533"/>
    </row>
    <row r="94" spans="1:8" ht="12" customHeight="1">
      <c r="A94" s="400"/>
      <c r="B94" s="405" t="s">
        <v>270</v>
      </c>
      <c r="C94" s="686"/>
      <c r="D94" s="686"/>
      <c r="E94" s="686"/>
      <c r="F94" s="686"/>
      <c r="G94" s="394"/>
      <c r="H94" s="421"/>
    </row>
    <row r="95" spans="1:8" ht="12" customHeight="1" thickBot="1">
      <c r="A95" s="400"/>
      <c r="B95" s="406" t="s">
        <v>251</v>
      </c>
      <c r="C95" s="689">
        <v>74000</v>
      </c>
      <c r="D95" s="689">
        <v>843312</v>
      </c>
      <c r="E95" s="689">
        <v>843312</v>
      </c>
      <c r="F95" s="689">
        <v>272054</v>
      </c>
      <c r="G95" s="745">
        <f t="shared" si="25"/>
        <v>0.3226018365681978</v>
      </c>
      <c r="H95" s="421"/>
    </row>
    <row r="96" spans="1:8" ht="12" customHeight="1" thickBot="1">
      <c r="A96" s="424"/>
      <c r="B96" s="409" t="s">
        <v>122</v>
      </c>
      <c r="C96" s="676">
        <f aca="true" t="shared" si="39" ref="C96">SUM(C90:C95)</f>
        <v>74000</v>
      </c>
      <c r="D96" s="676">
        <f aca="true" t="shared" si="40" ref="D96">SUM(D90:D95)</f>
        <v>843312</v>
      </c>
      <c r="E96" s="676">
        <f aca="true" t="shared" si="41" ref="E96:F96">SUM(E90:E95)</f>
        <v>843312</v>
      </c>
      <c r="F96" s="676">
        <f t="shared" si="41"/>
        <v>272054</v>
      </c>
      <c r="G96" s="743">
        <f t="shared" si="25"/>
        <v>0.3226018365681978</v>
      </c>
      <c r="H96" s="425"/>
    </row>
    <row r="97" spans="1:8" ht="12" customHeight="1">
      <c r="A97" s="430">
        <v>3112</v>
      </c>
      <c r="B97" s="431" t="s">
        <v>384</v>
      </c>
      <c r="C97" s="687"/>
      <c r="D97" s="687"/>
      <c r="E97" s="687"/>
      <c r="F97" s="687"/>
      <c r="G97" s="394"/>
      <c r="H97" s="345"/>
    </row>
    <row r="98" spans="1:8" ht="12" customHeight="1">
      <c r="A98" s="400"/>
      <c r="B98" s="401" t="s">
        <v>106</v>
      </c>
      <c r="C98" s="686"/>
      <c r="D98" s="686"/>
      <c r="E98" s="686"/>
      <c r="F98" s="686"/>
      <c r="G98" s="394"/>
      <c r="H98" s="421"/>
    </row>
    <row r="99" spans="1:8" ht="12" customHeight="1">
      <c r="A99" s="400"/>
      <c r="B99" s="403" t="s">
        <v>274</v>
      </c>
      <c r="C99" s="686"/>
      <c r="D99" s="686"/>
      <c r="E99" s="686"/>
      <c r="F99" s="686"/>
      <c r="G99" s="394"/>
      <c r="H99" s="421"/>
    </row>
    <row r="100" spans="1:8" ht="12" customHeight="1">
      <c r="A100" s="400"/>
      <c r="B100" s="404" t="s">
        <v>263</v>
      </c>
      <c r="C100" s="686">
        <v>40000</v>
      </c>
      <c r="D100" s="686">
        <f>40000+23170</f>
        <v>63170</v>
      </c>
      <c r="E100" s="686">
        <f>40000+23170-4802</f>
        <v>58368</v>
      </c>
      <c r="F100" s="686">
        <v>21986</v>
      </c>
      <c r="G100" s="741">
        <f t="shared" si="25"/>
        <v>0.37667900219298245</v>
      </c>
      <c r="H100" s="759" t="s">
        <v>517</v>
      </c>
    </row>
    <row r="101" spans="1:8" ht="12" customHeight="1">
      <c r="A101" s="400"/>
      <c r="B101" s="405" t="s">
        <v>111</v>
      </c>
      <c r="C101" s="686"/>
      <c r="D101" s="686"/>
      <c r="E101" s="686"/>
      <c r="F101" s="686"/>
      <c r="G101" s="394"/>
      <c r="H101" s="759" t="s">
        <v>528</v>
      </c>
    </row>
    <row r="102" spans="1:8" ht="12" customHeight="1">
      <c r="A102" s="400"/>
      <c r="B102" s="405" t="s">
        <v>270</v>
      </c>
      <c r="C102" s="686"/>
      <c r="D102" s="686"/>
      <c r="E102" s="686"/>
      <c r="F102" s="686"/>
      <c r="G102" s="394"/>
      <c r="H102" s="421"/>
    </row>
    <row r="103" spans="1:8" ht="12" customHeight="1" thickBot="1">
      <c r="A103" s="400"/>
      <c r="B103" s="406" t="s">
        <v>79</v>
      </c>
      <c r="C103" s="689"/>
      <c r="D103" s="689"/>
      <c r="E103" s="689"/>
      <c r="F103" s="689"/>
      <c r="G103" s="742"/>
      <c r="H103" s="421"/>
    </row>
    <row r="104" spans="1:8" ht="12" customHeight="1" thickBot="1">
      <c r="A104" s="424"/>
      <c r="B104" s="409" t="s">
        <v>122</v>
      </c>
      <c r="C104" s="676">
        <f aca="true" t="shared" si="42" ref="C104">SUM(C98:C103)</f>
        <v>40000</v>
      </c>
      <c r="D104" s="676">
        <f aca="true" t="shared" si="43" ref="D104">SUM(D98:D103)</f>
        <v>63170</v>
      </c>
      <c r="E104" s="676">
        <f aca="true" t="shared" si="44" ref="E104:F104">SUM(E98:E103)</f>
        <v>58368</v>
      </c>
      <c r="F104" s="676">
        <f t="shared" si="44"/>
        <v>21986</v>
      </c>
      <c r="G104" s="743">
        <f t="shared" si="25"/>
        <v>0.37667900219298245</v>
      </c>
      <c r="H104" s="425"/>
    </row>
    <row r="105" spans="1:8" ht="12" customHeight="1">
      <c r="A105" s="339">
        <v>3114</v>
      </c>
      <c r="B105" s="432" t="s">
        <v>114</v>
      </c>
      <c r="C105" s="690"/>
      <c r="D105" s="690"/>
      <c r="E105" s="690"/>
      <c r="F105" s="690"/>
      <c r="G105" s="394"/>
      <c r="H105" s="433"/>
    </row>
    <row r="106" spans="1:8" ht="12" customHeight="1">
      <c r="A106" s="282"/>
      <c r="B106" s="351" t="s">
        <v>106</v>
      </c>
      <c r="C106" s="691"/>
      <c r="D106" s="691"/>
      <c r="E106" s="691"/>
      <c r="F106" s="691"/>
      <c r="G106" s="394"/>
      <c r="H106" s="421"/>
    </row>
    <row r="107" spans="1:8" ht="12" customHeight="1">
      <c r="A107" s="282"/>
      <c r="B107" s="176" t="s">
        <v>274</v>
      </c>
      <c r="C107" s="691"/>
      <c r="D107" s="691"/>
      <c r="E107" s="691"/>
      <c r="F107" s="691"/>
      <c r="G107" s="394"/>
      <c r="H107" s="540"/>
    </row>
    <row r="108" spans="1:8" ht="12" customHeight="1">
      <c r="A108" s="282"/>
      <c r="B108" s="352" t="s">
        <v>263</v>
      </c>
      <c r="C108" s="691">
        <v>60000</v>
      </c>
      <c r="D108" s="691">
        <v>68229</v>
      </c>
      <c r="E108" s="691">
        <v>68229</v>
      </c>
      <c r="F108" s="691">
        <v>40464</v>
      </c>
      <c r="G108" s="741">
        <f t="shared" si="25"/>
        <v>0.5930616013718507</v>
      </c>
      <c r="H108" s="815" t="s">
        <v>525</v>
      </c>
    </row>
    <row r="109" spans="1:8" ht="12" customHeight="1">
      <c r="A109" s="282"/>
      <c r="B109" s="289" t="s">
        <v>111</v>
      </c>
      <c r="C109" s="691"/>
      <c r="D109" s="691"/>
      <c r="E109" s="691"/>
      <c r="F109" s="691"/>
      <c r="G109" s="394"/>
      <c r="H109" s="413"/>
    </row>
    <row r="110" spans="1:8" ht="12" customHeight="1">
      <c r="A110" s="282"/>
      <c r="B110" s="289" t="s">
        <v>270</v>
      </c>
      <c r="C110" s="691"/>
      <c r="D110" s="691"/>
      <c r="E110" s="691"/>
      <c r="F110" s="691"/>
      <c r="G110" s="394"/>
      <c r="H110" s="540"/>
    </row>
    <row r="111" spans="1:8" ht="12" customHeight="1">
      <c r="A111" s="282"/>
      <c r="B111" s="406" t="s">
        <v>233</v>
      </c>
      <c r="C111" s="691"/>
      <c r="D111" s="691">
        <v>20011</v>
      </c>
      <c r="E111" s="691">
        <v>20011</v>
      </c>
      <c r="F111" s="691"/>
      <c r="G111" s="394">
        <f t="shared" si="25"/>
        <v>0</v>
      </c>
      <c r="H111" s="422"/>
    </row>
    <row r="112" spans="1:8" ht="12" customHeight="1">
      <c r="A112" s="282"/>
      <c r="B112" s="735" t="s">
        <v>469</v>
      </c>
      <c r="C112" s="692"/>
      <c r="D112" s="691">
        <v>1264</v>
      </c>
      <c r="E112" s="691">
        <v>1264</v>
      </c>
      <c r="F112" s="691"/>
      <c r="G112" s="394">
        <f t="shared" si="25"/>
        <v>0</v>
      </c>
      <c r="H112" s="402"/>
    </row>
    <row r="113" spans="1:8" ht="12" customHeight="1" thickBot="1">
      <c r="A113" s="282"/>
      <c r="B113" s="652" t="s">
        <v>19</v>
      </c>
      <c r="C113" s="693"/>
      <c r="D113" s="693"/>
      <c r="E113" s="693"/>
      <c r="F113" s="693"/>
      <c r="G113" s="742"/>
      <c r="H113" s="653"/>
    </row>
    <row r="114" spans="1:8" ht="12" customHeight="1" thickBot="1">
      <c r="A114" s="359"/>
      <c r="B114" s="409" t="s">
        <v>122</v>
      </c>
      <c r="C114" s="675">
        <f aca="true" t="shared" si="45" ref="C114">SUM(C106:C113)</f>
        <v>60000</v>
      </c>
      <c r="D114" s="675">
        <f aca="true" t="shared" si="46" ref="D114">SUM(D106:D113)</f>
        <v>89504</v>
      </c>
      <c r="E114" s="675">
        <f aca="true" t="shared" si="47" ref="E114:F114">SUM(E106:E113)</f>
        <v>89504</v>
      </c>
      <c r="F114" s="675">
        <f t="shared" si="47"/>
        <v>40464</v>
      </c>
      <c r="G114" s="743">
        <f t="shared" si="25"/>
        <v>0.4520915266356811</v>
      </c>
      <c r="H114" s="425"/>
    </row>
    <row r="115" spans="1:8" ht="12" customHeight="1">
      <c r="A115" s="339">
        <v>3115</v>
      </c>
      <c r="B115" s="432" t="s">
        <v>502</v>
      </c>
      <c r="C115" s="690"/>
      <c r="D115" s="690"/>
      <c r="E115" s="690"/>
      <c r="F115" s="690"/>
      <c r="G115" s="394"/>
      <c r="H115" s="433"/>
    </row>
    <row r="116" spans="1:8" ht="12" customHeight="1">
      <c r="A116" s="282"/>
      <c r="B116" s="351" t="s">
        <v>106</v>
      </c>
      <c r="C116" s="691"/>
      <c r="D116" s="691"/>
      <c r="E116" s="691"/>
      <c r="F116" s="691"/>
      <c r="G116" s="394"/>
      <c r="H116" s="421"/>
    </row>
    <row r="117" spans="1:8" ht="12" customHeight="1">
      <c r="A117" s="282"/>
      <c r="B117" s="176" t="s">
        <v>274</v>
      </c>
      <c r="C117" s="691"/>
      <c r="D117" s="691"/>
      <c r="E117" s="691"/>
      <c r="F117" s="691"/>
      <c r="G117" s="744"/>
      <c r="H117" s="811" t="s">
        <v>482</v>
      </c>
    </row>
    <row r="118" spans="1:8" ht="12" customHeight="1">
      <c r="A118" s="282"/>
      <c r="B118" s="352" t="s">
        <v>263</v>
      </c>
      <c r="C118" s="691">
        <v>15000</v>
      </c>
      <c r="D118" s="691">
        <f>15000+9792</f>
        <v>24792</v>
      </c>
      <c r="E118" s="691">
        <f>15000+9792</f>
        <v>24792</v>
      </c>
      <c r="F118" s="691">
        <v>19972</v>
      </c>
      <c r="G118" s="741">
        <f t="shared" si="25"/>
        <v>0.8055824459503066</v>
      </c>
      <c r="H118" s="624" t="s">
        <v>511</v>
      </c>
    </row>
    <row r="119" spans="1:8" ht="12" customHeight="1">
      <c r="A119" s="282"/>
      <c r="B119" s="289" t="s">
        <v>111</v>
      </c>
      <c r="C119" s="691"/>
      <c r="D119" s="691"/>
      <c r="E119" s="691"/>
      <c r="F119" s="691"/>
      <c r="G119" s="741"/>
      <c r="H119" s="413"/>
    </row>
    <row r="120" spans="1:8" ht="12" customHeight="1">
      <c r="A120" s="282"/>
      <c r="B120" s="289" t="s">
        <v>270</v>
      </c>
      <c r="C120" s="691"/>
      <c r="D120" s="691"/>
      <c r="E120" s="691"/>
      <c r="F120" s="691"/>
      <c r="G120" s="741"/>
      <c r="H120" s="402"/>
    </row>
    <row r="121" spans="1:8" ht="12" customHeight="1" thickBot="1">
      <c r="A121" s="350"/>
      <c r="B121" s="448" t="s">
        <v>79</v>
      </c>
      <c r="C121" s="663"/>
      <c r="D121" s="663"/>
      <c r="E121" s="663"/>
      <c r="F121" s="663"/>
      <c r="G121" s="746"/>
      <c r="H121" s="422"/>
    </row>
    <row r="122" spans="1:8" ht="12" customHeight="1" thickBot="1">
      <c r="A122" s="359"/>
      <c r="B122" s="409" t="s">
        <v>122</v>
      </c>
      <c r="C122" s="675">
        <f aca="true" t="shared" si="48" ref="C122">SUM(C117:C121)</f>
        <v>15000</v>
      </c>
      <c r="D122" s="675">
        <f aca="true" t="shared" si="49" ref="D122">SUM(D117:D121)</f>
        <v>24792</v>
      </c>
      <c r="E122" s="675">
        <f aca="true" t="shared" si="50" ref="E122:F122">SUM(E117:E121)</f>
        <v>24792</v>
      </c>
      <c r="F122" s="675">
        <f t="shared" si="50"/>
        <v>19972</v>
      </c>
      <c r="G122" s="743">
        <f t="shared" si="25"/>
        <v>0.8055824459503066</v>
      </c>
      <c r="H122" s="425"/>
    </row>
    <row r="123" spans="1:8" ht="12" customHeight="1">
      <c r="A123" s="339">
        <v>3116</v>
      </c>
      <c r="B123" s="432" t="s">
        <v>462</v>
      </c>
      <c r="C123" s="690"/>
      <c r="D123" s="690"/>
      <c r="E123" s="690"/>
      <c r="F123" s="690"/>
      <c r="G123" s="394"/>
      <c r="H123" s="433"/>
    </row>
    <row r="124" spans="1:8" ht="12" customHeight="1">
      <c r="A124" s="282"/>
      <c r="B124" s="351" t="s">
        <v>106</v>
      </c>
      <c r="C124" s="691"/>
      <c r="D124" s="691"/>
      <c r="E124" s="691"/>
      <c r="F124" s="691"/>
      <c r="G124" s="394"/>
      <c r="H124" s="421"/>
    </row>
    <row r="125" spans="1:8" ht="12" customHeight="1">
      <c r="A125" s="282"/>
      <c r="B125" s="176" t="s">
        <v>274</v>
      </c>
      <c r="C125" s="691"/>
      <c r="D125" s="691"/>
      <c r="E125" s="691"/>
      <c r="F125" s="691"/>
      <c r="G125" s="394"/>
      <c r="H125" s="759" t="s">
        <v>518</v>
      </c>
    </row>
    <row r="126" spans="1:8" ht="12" customHeight="1">
      <c r="A126" s="282"/>
      <c r="B126" s="352" t="s">
        <v>263</v>
      </c>
      <c r="C126" s="691">
        <v>6401</v>
      </c>
      <c r="D126" s="691">
        <f>6401+1067</f>
        <v>7468</v>
      </c>
      <c r="E126" s="691">
        <f>6401+1067</f>
        <v>7468</v>
      </c>
      <c r="F126" s="691">
        <v>4638</v>
      </c>
      <c r="G126" s="744">
        <f t="shared" si="25"/>
        <v>0.6210498125334761</v>
      </c>
      <c r="H126" s="815" t="s">
        <v>525</v>
      </c>
    </row>
    <row r="127" spans="1:8" ht="12" customHeight="1">
      <c r="A127" s="282"/>
      <c r="B127" s="289" t="s">
        <v>111</v>
      </c>
      <c r="C127" s="691"/>
      <c r="D127" s="691"/>
      <c r="E127" s="691"/>
      <c r="F127" s="691"/>
      <c r="G127" s="741"/>
      <c r="H127" s="413"/>
    </row>
    <row r="128" spans="1:8" ht="12" customHeight="1">
      <c r="A128" s="282"/>
      <c r="B128" s="289" t="s">
        <v>270</v>
      </c>
      <c r="C128" s="691"/>
      <c r="D128" s="691"/>
      <c r="E128" s="691"/>
      <c r="F128" s="691"/>
      <c r="G128" s="741"/>
      <c r="H128" s="421"/>
    </row>
    <row r="129" spans="1:8" ht="12" customHeight="1" thickBot="1">
      <c r="A129" s="350"/>
      <c r="B129" s="448" t="s">
        <v>79</v>
      </c>
      <c r="C129" s="663"/>
      <c r="D129" s="663"/>
      <c r="E129" s="663"/>
      <c r="F129" s="663"/>
      <c r="G129" s="746"/>
      <c r="H129" s="422"/>
    </row>
    <row r="130" spans="1:8" ht="12" customHeight="1" thickBot="1">
      <c r="A130" s="359"/>
      <c r="B130" s="409" t="s">
        <v>122</v>
      </c>
      <c r="C130" s="675">
        <f aca="true" t="shared" si="51" ref="C130">SUM(C125:C129)</f>
        <v>6401</v>
      </c>
      <c r="D130" s="675">
        <f aca="true" t="shared" si="52" ref="D130">SUM(D125:D129)</f>
        <v>7468</v>
      </c>
      <c r="E130" s="675">
        <f aca="true" t="shared" si="53" ref="E130:F130">SUM(E125:E129)</f>
        <v>7468</v>
      </c>
      <c r="F130" s="675">
        <f t="shared" si="53"/>
        <v>4638</v>
      </c>
      <c r="G130" s="743">
        <f t="shared" si="25"/>
        <v>0.6210498125334761</v>
      </c>
      <c r="H130" s="425"/>
    </row>
    <row r="131" spans="1:8" ht="12" customHeight="1" thickBot="1">
      <c r="A131" s="434">
        <v>3120</v>
      </c>
      <c r="B131" s="429" t="s">
        <v>339</v>
      </c>
      <c r="C131" s="675">
        <f aca="true" t="shared" si="54" ref="C131">SUM(C139+C147+C155+C163)</f>
        <v>22000</v>
      </c>
      <c r="D131" s="675">
        <f aca="true" t="shared" si="55" ref="D131">SUM(D139+D147+D155+D163)</f>
        <v>42363</v>
      </c>
      <c r="E131" s="675">
        <f aca="true" t="shared" si="56" ref="E131:F131">SUM(E139+E147+E155+E163)</f>
        <v>42363</v>
      </c>
      <c r="F131" s="675">
        <f t="shared" si="56"/>
        <v>16975</v>
      </c>
      <c r="G131" s="743">
        <f t="shared" si="25"/>
        <v>0.40070344404315084</v>
      </c>
      <c r="H131" s="425"/>
    </row>
    <row r="132" spans="1:8" ht="12" customHeight="1">
      <c r="A132" s="72">
        <v>3121</v>
      </c>
      <c r="B132" s="435" t="s">
        <v>168</v>
      </c>
      <c r="C132" s="690"/>
      <c r="D132" s="690"/>
      <c r="E132" s="690"/>
      <c r="F132" s="690"/>
      <c r="G132" s="394"/>
      <c r="H132" s="420"/>
    </row>
    <row r="133" spans="1:8" ht="12" customHeight="1">
      <c r="A133" s="72"/>
      <c r="B133" s="351" t="s">
        <v>106</v>
      </c>
      <c r="C133" s="690"/>
      <c r="D133" s="690"/>
      <c r="E133" s="690"/>
      <c r="F133" s="690"/>
      <c r="G133" s="394"/>
      <c r="H133" s="395"/>
    </row>
    <row r="134" spans="1:8" ht="12" customHeight="1">
      <c r="A134" s="72"/>
      <c r="B134" s="176" t="s">
        <v>274</v>
      </c>
      <c r="C134" s="690"/>
      <c r="D134" s="690"/>
      <c r="E134" s="690"/>
      <c r="F134" s="690"/>
      <c r="G134" s="394"/>
      <c r="H134" s="534" t="s">
        <v>514</v>
      </c>
    </row>
    <row r="135" spans="1:8" ht="12" customHeight="1">
      <c r="A135" s="339"/>
      <c r="B135" s="352" t="s">
        <v>263</v>
      </c>
      <c r="C135" s="667">
        <v>4000</v>
      </c>
      <c r="D135" s="667">
        <f>4000+4814</f>
        <v>8814</v>
      </c>
      <c r="E135" s="667">
        <f>4000+4814</f>
        <v>8814</v>
      </c>
      <c r="F135" s="667">
        <v>119</v>
      </c>
      <c r="G135" s="744">
        <f t="shared" si="25"/>
        <v>0.01350124801452235</v>
      </c>
      <c r="H135" s="534" t="s">
        <v>515</v>
      </c>
    </row>
    <row r="136" spans="1:8" ht="12" customHeight="1">
      <c r="A136" s="339"/>
      <c r="B136" s="289" t="s">
        <v>270</v>
      </c>
      <c r="C136" s="667"/>
      <c r="D136" s="667"/>
      <c r="E136" s="667"/>
      <c r="F136" s="667"/>
      <c r="G136" s="741"/>
      <c r="H136" s="436"/>
    </row>
    <row r="137" spans="1:8" ht="12" customHeight="1">
      <c r="A137" s="72"/>
      <c r="B137" s="289" t="s">
        <v>270</v>
      </c>
      <c r="C137" s="690"/>
      <c r="D137" s="690"/>
      <c r="E137" s="690"/>
      <c r="F137" s="690"/>
      <c r="G137" s="741"/>
      <c r="H137" s="402"/>
    </row>
    <row r="138" spans="1:8" ht="12" customHeight="1" thickBot="1">
      <c r="A138" s="72"/>
      <c r="B138" s="406" t="s">
        <v>79</v>
      </c>
      <c r="C138" s="694"/>
      <c r="D138" s="678"/>
      <c r="E138" s="678"/>
      <c r="F138" s="678"/>
      <c r="G138" s="746"/>
      <c r="H138" s="390"/>
    </row>
    <row r="139" spans="1:8" ht="12.6" customHeight="1" thickBot="1">
      <c r="A139" s="359"/>
      <c r="B139" s="409" t="s">
        <v>122</v>
      </c>
      <c r="C139" s="675">
        <f aca="true" t="shared" si="57" ref="C139">SUM(C135:C138)</f>
        <v>4000</v>
      </c>
      <c r="D139" s="675">
        <f aca="true" t="shared" si="58" ref="D139">SUM(D135:D138)</f>
        <v>8814</v>
      </c>
      <c r="E139" s="675">
        <f aca="true" t="shared" si="59" ref="E139:F139">SUM(E135:E138)</f>
        <v>8814</v>
      </c>
      <c r="F139" s="675">
        <f t="shared" si="59"/>
        <v>119</v>
      </c>
      <c r="G139" s="743">
        <f aca="true" t="shared" si="60" ref="G139:G201">SUM(F139/E139)</f>
        <v>0.01350124801452235</v>
      </c>
      <c r="H139" s="425"/>
    </row>
    <row r="140" spans="1:8" ht="12" customHeight="1">
      <c r="A140" s="339">
        <v>3122</v>
      </c>
      <c r="B140" s="432" t="s">
        <v>162</v>
      </c>
      <c r="C140" s="690"/>
      <c r="D140" s="690"/>
      <c r="E140" s="690"/>
      <c r="F140" s="690"/>
      <c r="G140" s="394"/>
      <c r="H140" s="437"/>
    </row>
    <row r="141" spans="1:8" ht="12" customHeight="1">
      <c r="A141" s="282"/>
      <c r="B141" s="351" t="s">
        <v>106</v>
      </c>
      <c r="C141" s="691"/>
      <c r="D141" s="691"/>
      <c r="E141" s="691"/>
      <c r="F141" s="691"/>
      <c r="G141" s="394"/>
      <c r="H141" s="421"/>
    </row>
    <row r="142" spans="1:8" ht="12" customHeight="1">
      <c r="A142" s="282"/>
      <c r="B142" s="176" t="s">
        <v>274</v>
      </c>
      <c r="C142" s="691"/>
      <c r="D142" s="691"/>
      <c r="E142" s="691"/>
      <c r="F142" s="691"/>
      <c r="G142" s="394"/>
      <c r="H142" s="421"/>
    </row>
    <row r="143" spans="1:8" ht="12" customHeight="1">
      <c r="A143" s="282"/>
      <c r="B143" s="352" t="s">
        <v>263</v>
      </c>
      <c r="C143" s="691">
        <v>3000</v>
      </c>
      <c r="D143" s="691">
        <f>3000+9074</f>
        <v>12074</v>
      </c>
      <c r="E143" s="691">
        <f>3000+9074</f>
        <v>12074</v>
      </c>
      <c r="F143" s="691">
        <v>3159</v>
      </c>
      <c r="G143" s="744">
        <f t="shared" si="60"/>
        <v>0.261636574457512</v>
      </c>
      <c r="H143" s="413"/>
    </row>
    <row r="144" spans="1:8" ht="12" customHeight="1">
      <c r="A144" s="282"/>
      <c r="B144" s="289" t="s">
        <v>111</v>
      </c>
      <c r="C144" s="691"/>
      <c r="D144" s="691"/>
      <c r="E144" s="691"/>
      <c r="F144" s="691"/>
      <c r="G144" s="741"/>
      <c r="H144" s="421"/>
    </row>
    <row r="145" spans="1:8" ht="12" customHeight="1">
      <c r="A145" s="282"/>
      <c r="B145" s="289" t="s">
        <v>270</v>
      </c>
      <c r="C145" s="691"/>
      <c r="D145" s="691"/>
      <c r="E145" s="691"/>
      <c r="F145" s="691"/>
      <c r="G145" s="741"/>
      <c r="H145" s="402"/>
    </row>
    <row r="146" spans="1:8" ht="12" customHeight="1" thickBot="1">
      <c r="A146" s="282"/>
      <c r="B146" s="406" t="s">
        <v>79</v>
      </c>
      <c r="C146" s="695"/>
      <c r="D146" s="693"/>
      <c r="E146" s="693"/>
      <c r="F146" s="693"/>
      <c r="G146" s="746"/>
      <c r="H146" s="421"/>
    </row>
    <row r="147" spans="1:8" ht="12" customHeight="1" thickBot="1">
      <c r="A147" s="341"/>
      <c r="B147" s="409" t="s">
        <v>122</v>
      </c>
      <c r="C147" s="675">
        <f aca="true" t="shared" si="61" ref="C147">SUM(C141:C146)</f>
        <v>3000</v>
      </c>
      <c r="D147" s="675">
        <f aca="true" t="shared" si="62" ref="D147">SUM(D141:D146)</f>
        <v>12074</v>
      </c>
      <c r="E147" s="675">
        <f aca="true" t="shared" si="63" ref="E147:F147">SUM(E141:E146)</f>
        <v>12074</v>
      </c>
      <c r="F147" s="675">
        <f t="shared" si="63"/>
        <v>3159</v>
      </c>
      <c r="G147" s="743">
        <f t="shared" si="60"/>
        <v>0.261636574457512</v>
      </c>
      <c r="H147" s="425"/>
    </row>
    <row r="148" spans="1:8" ht="12" customHeight="1">
      <c r="A148" s="339">
        <v>3123</v>
      </c>
      <c r="B148" s="204" t="s">
        <v>113</v>
      </c>
      <c r="C148" s="690"/>
      <c r="D148" s="690"/>
      <c r="E148" s="690"/>
      <c r="F148" s="690"/>
      <c r="G148" s="394"/>
      <c r="H148" s="345"/>
    </row>
    <row r="149" spans="1:8" ht="12" customHeight="1">
      <c r="A149" s="282"/>
      <c r="B149" s="351" t="s">
        <v>106</v>
      </c>
      <c r="C149" s="691"/>
      <c r="D149" s="691"/>
      <c r="E149" s="691"/>
      <c r="F149" s="691"/>
      <c r="G149" s="394"/>
      <c r="H149" s="421"/>
    </row>
    <row r="150" spans="1:8" ht="12" customHeight="1">
      <c r="A150" s="282"/>
      <c r="B150" s="176" t="s">
        <v>274</v>
      </c>
      <c r="C150" s="691"/>
      <c r="D150" s="691"/>
      <c r="E150" s="691"/>
      <c r="F150" s="691"/>
      <c r="G150" s="394"/>
      <c r="H150" s="533"/>
    </row>
    <row r="151" spans="1:8" ht="12" customHeight="1">
      <c r="A151" s="282"/>
      <c r="B151" s="352" t="s">
        <v>263</v>
      </c>
      <c r="C151" s="691">
        <v>5000</v>
      </c>
      <c r="D151" s="691">
        <f>5000+6475</f>
        <v>11475</v>
      </c>
      <c r="E151" s="691">
        <f>5000+6475</f>
        <v>11475</v>
      </c>
      <c r="F151" s="691">
        <v>5517</v>
      </c>
      <c r="G151" s="744">
        <f t="shared" si="60"/>
        <v>0.4807843137254902</v>
      </c>
      <c r="H151" s="413"/>
    </row>
    <row r="152" spans="1:8" ht="12" customHeight="1">
      <c r="A152" s="282"/>
      <c r="B152" s="289" t="s">
        <v>111</v>
      </c>
      <c r="C152" s="691"/>
      <c r="D152" s="691"/>
      <c r="E152" s="691"/>
      <c r="F152" s="691"/>
      <c r="G152" s="741"/>
      <c r="H152" s="421"/>
    </row>
    <row r="153" spans="1:8" ht="12" customHeight="1">
      <c r="A153" s="282"/>
      <c r="B153" s="289" t="s">
        <v>270</v>
      </c>
      <c r="C153" s="691"/>
      <c r="D153" s="691"/>
      <c r="E153" s="691"/>
      <c r="F153" s="691"/>
      <c r="G153" s="741"/>
      <c r="H153" s="402"/>
    </row>
    <row r="154" spans="1:8" ht="12" customHeight="1" thickBot="1">
      <c r="A154" s="282"/>
      <c r="B154" s="406" t="s">
        <v>79</v>
      </c>
      <c r="C154" s="695"/>
      <c r="D154" s="693"/>
      <c r="E154" s="693"/>
      <c r="F154" s="693"/>
      <c r="G154" s="746"/>
      <c r="H154" s="421"/>
    </row>
    <row r="155" spans="1:8" ht="12" customHeight="1" thickBot="1">
      <c r="A155" s="341"/>
      <c r="B155" s="409" t="s">
        <v>122</v>
      </c>
      <c r="C155" s="675">
        <f aca="true" t="shared" si="64" ref="C155">SUM(C149:C154)</f>
        <v>5000</v>
      </c>
      <c r="D155" s="675">
        <f aca="true" t="shared" si="65" ref="D155">SUM(D149:D154)</f>
        <v>11475</v>
      </c>
      <c r="E155" s="675">
        <f aca="true" t="shared" si="66" ref="E155:F155">SUM(E149:E154)</f>
        <v>11475</v>
      </c>
      <c r="F155" s="675">
        <f t="shared" si="66"/>
        <v>5517</v>
      </c>
      <c r="G155" s="743">
        <f t="shared" si="60"/>
        <v>0.4807843137254902</v>
      </c>
      <c r="H155" s="425"/>
    </row>
    <row r="156" spans="1:8" ht="12" customHeight="1">
      <c r="A156" s="339">
        <v>3124</v>
      </c>
      <c r="B156" s="204" t="s">
        <v>116</v>
      </c>
      <c r="C156" s="690"/>
      <c r="D156" s="690"/>
      <c r="E156" s="690"/>
      <c r="F156" s="690"/>
      <c r="G156" s="394"/>
      <c r="H156" s="345" t="s">
        <v>487</v>
      </c>
    </row>
    <row r="157" spans="1:8" ht="12" customHeight="1">
      <c r="A157" s="282"/>
      <c r="B157" s="351" t="s">
        <v>106</v>
      </c>
      <c r="C157" s="691"/>
      <c r="D157" s="691"/>
      <c r="E157" s="691"/>
      <c r="F157" s="691"/>
      <c r="G157" s="394"/>
      <c r="H157" s="421"/>
    </row>
    <row r="158" spans="1:8" ht="12" customHeight="1">
      <c r="A158" s="282"/>
      <c r="B158" s="176" t="s">
        <v>274</v>
      </c>
      <c r="C158" s="691"/>
      <c r="D158" s="691"/>
      <c r="E158" s="691"/>
      <c r="F158" s="691"/>
      <c r="G158" s="394"/>
      <c r="H158" s="421"/>
    </row>
    <row r="159" spans="1:8" ht="12" customHeight="1">
      <c r="A159" s="282"/>
      <c r="B159" s="352" t="s">
        <v>263</v>
      </c>
      <c r="C159" s="691">
        <v>10000</v>
      </c>
      <c r="D159" s="691">
        <v>10000</v>
      </c>
      <c r="E159" s="691">
        <v>10000</v>
      </c>
      <c r="F159" s="691">
        <v>8180</v>
      </c>
      <c r="G159" s="744">
        <f t="shared" si="60"/>
        <v>0.818</v>
      </c>
      <c r="H159" s="413"/>
    </row>
    <row r="160" spans="1:8" ht="12" customHeight="1">
      <c r="A160" s="282"/>
      <c r="B160" s="289" t="s">
        <v>270</v>
      </c>
      <c r="C160" s="691"/>
      <c r="D160" s="691"/>
      <c r="E160" s="691"/>
      <c r="F160" s="691"/>
      <c r="G160" s="741"/>
      <c r="H160" s="421"/>
    </row>
    <row r="161" spans="1:8" ht="12" customHeight="1">
      <c r="A161" s="282"/>
      <c r="B161" s="289" t="s">
        <v>270</v>
      </c>
      <c r="C161" s="691"/>
      <c r="D161" s="691"/>
      <c r="E161" s="691"/>
      <c r="F161" s="691"/>
      <c r="G161" s="741"/>
      <c r="H161" s="402"/>
    </row>
    <row r="162" spans="1:8" ht="12" customHeight="1" thickBot="1">
      <c r="A162" s="282"/>
      <c r="B162" s="406" t="s">
        <v>79</v>
      </c>
      <c r="C162" s="695"/>
      <c r="D162" s="693"/>
      <c r="E162" s="693"/>
      <c r="F162" s="693"/>
      <c r="G162" s="746"/>
      <c r="H162" s="421"/>
    </row>
    <row r="163" spans="1:8" ht="12" customHeight="1" thickBot="1">
      <c r="A163" s="341"/>
      <c r="B163" s="409" t="s">
        <v>122</v>
      </c>
      <c r="C163" s="675">
        <f aca="true" t="shared" si="67" ref="C163">SUM(C157:C162)</f>
        <v>10000</v>
      </c>
      <c r="D163" s="675">
        <f aca="true" t="shared" si="68" ref="D163">SUM(D157:D162)</f>
        <v>10000</v>
      </c>
      <c r="E163" s="675">
        <f aca="true" t="shared" si="69" ref="E163:F163">SUM(E157:E162)</f>
        <v>10000</v>
      </c>
      <c r="F163" s="675">
        <f t="shared" si="69"/>
        <v>8180</v>
      </c>
      <c r="G163" s="743">
        <f t="shared" si="60"/>
        <v>0.818</v>
      </c>
      <c r="H163" s="425"/>
    </row>
    <row r="164" spans="1:8" ht="12" customHeight="1" thickBot="1">
      <c r="A164" s="434">
        <v>3140</v>
      </c>
      <c r="B164" s="438" t="s">
        <v>117</v>
      </c>
      <c r="C164" s="675">
        <f aca="true" t="shared" si="70" ref="C164">SUM(C173+C182+C191+C199+C207+C216+C225)</f>
        <v>43320</v>
      </c>
      <c r="D164" s="675">
        <f aca="true" t="shared" si="71" ref="D164">SUM(D173+D182+D191+D199+D207+D216+D225)</f>
        <v>49045</v>
      </c>
      <c r="E164" s="675">
        <f aca="true" t="shared" si="72" ref="E164:F164">SUM(E173+E182+E191+E199+E207+E216+E225)</f>
        <v>49045</v>
      </c>
      <c r="F164" s="675">
        <f t="shared" si="72"/>
        <v>9053</v>
      </c>
      <c r="G164" s="743">
        <f t="shared" si="60"/>
        <v>0.18458558466714242</v>
      </c>
      <c r="H164" s="425"/>
    </row>
    <row r="165" spans="1:8" ht="12" customHeight="1">
      <c r="A165" s="339">
        <v>3141</v>
      </c>
      <c r="B165" s="204" t="s">
        <v>587</v>
      </c>
      <c r="C165" s="690"/>
      <c r="D165" s="690"/>
      <c r="E165" s="690"/>
      <c r="F165" s="690"/>
      <c r="G165" s="394"/>
      <c r="H165" s="421"/>
    </row>
    <row r="166" spans="1:8" ht="12" customHeight="1">
      <c r="A166" s="339"/>
      <c r="B166" s="916" t="s">
        <v>588</v>
      </c>
      <c r="C166" s="690"/>
      <c r="D166" s="690"/>
      <c r="E166" s="690"/>
      <c r="F166" s="690"/>
      <c r="G166" s="394"/>
      <c r="H166" s="421"/>
    </row>
    <row r="167" spans="1:8" ht="12" customHeight="1">
      <c r="A167" s="282"/>
      <c r="B167" s="351" t="s">
        <v>106</v>
      </c>
      <c r="C167" s="691"/>
      <c r="D167" s="691"/>
      <c r="E167" s="691"/>
      <c r="F167" s="691"/>
      <c r="G167" s="394"/>
      <c r="H167" s="534"/>
    </row>
    <row r="168" spans="1:8" ht="12" customHeight="1">
      <c r="A168" s="282"/>
      <c r="B168" s="176" t="s">
        <v>274</v>
      </c>
      <c r="C168" s="691"/>
      <c r="D168" s="691"/>
      <c r="E168" s="691"/>
      <c r="F168" s="691"/>
      <c r="G168" s="394"/>
      <c r="H168" s="533"/>
    </row>
    <row r="169" spans="1:8" ht="12" customHeight="1">
      <c r="A169" s="282"/>
      <c r="B169" s="352" t="s">
        <v>263</v>
      </c>
      <c r="C169" s="691">
        <v>7500</v>
      </c>
      <c r="D169" s="691">
        <v>7500</v>
      </c>
      <c r="E169" s="691">
        <v>7500</v>
      </c>
      <c r="F169" s="691">
        <v>4</v>
      </c>
      <c r="G169" s="744">
        <f t="shared" si="60"/>
        <v>0.0005333333333333334</v>
      </c>
      <c r="H169" s="533"/>
    </row>
    <row r="170" spans="1:8" ht="12" customHeight="1">
      <c r="A170" s="282"/>
      <c r="B170" s="289" t="s">
        <v>111</v>
      </c>
      <c r="C170" s="691">
        <v>7500</v>
      </c>
      <c r="D170" s="691">
        <v>7500</v>
      </c>
      <c r="E170" s="691">
        <v>7500</v>
      </c>
      <c r="F170" s="691">
        <v>923</v>
      </c>
      <c r="G170" s="741">
        <f t="shared" si="60"/>
        <v>0.12306666666666667</v>
      </c>
      <c r="H170" s="533"/>
    </row>
    <row r="171" spans="1:8" ht="12" customHeight="1">
      <c r="A171" s="282"/>
      <c r="B171" s="289" t="s">
        <v>270</v>
      </c>
      <c r="C171" s="667"/>
      <c r="D171" s="667"/>
      <c r="E171" s="667"/>
      <c r="F171" s="667"/>
      <c r="G171" s="741"/>
      <c r="H171" s="533"/>
    </row>
    <row r="172" spans="1:8" ht="12" customHeight="1" thickBot="1">
      <c r="A172" s="282"/>
      <c r="B172" s="406" t="s">
        <v>79</v>
      </c>
      <c r="C172" s="693"/>
      <c r="D172" s="693"/>
      <c r="E172" s="693"/>
      <c r="F172" s="693"/>
      <c r="G172" s="746"/>
      <c r="H172" s="535"/>
    </row>
    <row r="173" spans="1:8" ht="12" customHeight="1" thickBot="1">
      <c r="A173" s="341"/>
      <c r="B173" s="409" t="s">
        <v>122</v>
      </c>
      <c r="C173" s="675">
        <f aca="true" t="shared" si="73" ref="C173">SUM(C167:C172)</f>
        <v>15000</v>
      </c>
      <c r="D173" s="675">
        <f aca="true" t="shared" si="74" ref="D173">SUM(D167:D172)</f>
        <v>15000</v>
      </c>
      <c r="E173" s="675">
        <f aca="true" t="shared" si="75" ref="E173:F173">SUM(E167:E172)</f>
        <v>15000</v>
      </c>
      <c r="F173" s="675">
        <f t="shared" si="75"/>
        <v>927</v>
      </c>
      <c r="G173" s="743">
        <f t="shared" si="60"/>
        <v>0.0618</v>
      </c>
      <c r="H173" s="425"/>
    </row>
    <row r="174" spans="1:8" ht="12" customHeight="1">
      <c r="A174" s="339">
        <v>3142</v>
      </c>
      <c r="B174" s="358" t="s">
        <v>25</v>
      </c>
      <c r="C174" s="690"/>
      <c r="D174" s="690"/>
      <c r="E174" s="690"/>
      <c r="F174" s="690"/>
      <c r="G174" s="394"/>
      <c r="H174" s="420"/>
    </row>
    <row r="175" spans="1:8" ht="12" customHeight="1">
      <c r="A175" s="339"/>
      <c r="B175" s="351" t="s">
        <v>106</v>
      </c>
      <c r="C175" s="691">
        <v>2000</v>
      </c>
      <c r="D175" s="691">
        <f>2000+96</f>
        <v>2096</v>
      </c>
      <c r="E175" s="691">
        <f>2000+96</f>
        <v>2096</v>
      </c>
      <c r="F175" s="691">
        <v>467</v>
      </c>
      <c r="G175" s="744">
        <f t="shared" si="60"/>
        <v>0.22280534351145037</v>
      </c>
      <c r="H175" s="534"/>
    </row>
    <row r="176" spans="1:8" ht="12" customHeight="1">
      <c r="A176" s="339"/>
      <c r="B176" s="176" t="s">
        <v>274</v>
      </c>
      <c r="C176" s="691">
        <v>500</v>
      </c>
      <c r="D176" s="691">
        <f>500+261</f>
        <v>761</v>
      </c>
      <c r="E176" s="691">
        <f>500+261</f>
        <v>761</v>
      </c>
      <c r="F176" s="691">
        <v>313</v>
      </c>
      <c r="G176" s="741">
        <f t="shared" si="60"/>
        <v>0.41130091984231276</v>
      </c>
      <c r="H176" s="436"/>
    </row>
    <row r="177" spans="1:8" ht="12" customHeight="1">
      <c r="A177" s="339"/>
      <c r="B177" s="352" t="s">
        <v>263</v>
      </c>
      <c r="C177" s="667">
        <v>2000</v>
      </c>
      <c r="D177" s="667">
        <f>2000+535</f>
        <v>2535</v>
      </c>
      <c r="E177" s="667">
        <f>2000+535</f>
        <v>2535</v>
      </c>
      <c r="F177" s="667">
        <v>1439</v>
      </c>
      <c r="G177" s="741">
        <f t="shared" si="60"/>
        <v>0.5676528599605523</v>
      </c>
      <c r="H177" s="533"/>
    </row>
    <row r="178" spans="1:8" ht="12" customHeight="1">
      <c r="A178" s="339"/>
      <c r="B178" s="289" t="s">
        <v>111</v>
      </c>
      <c r="C178" s="667"/>
      <c r="D178" s="667"/>
      <c r="E178" s="667"/>
      <c r="F178" s="667"/>
      <c r="G178" s="741"/>
      <c r="H178" s="421"/>
    </row>
    <row r="179" spans="1:8" ht="12" customHeight="1">
      <c r="A179" s="339"/>
      <c r="B179" s="289" t="s">
        <v>270</v>
      </c>
      <c r="C179" s="667">
        <v>500</v>
      </c>
      <c r="D179" s="667">
        <v>500</v>
      </c>
      <c r="E179" s="667">
        <v>500</v>
      </c>
      <c r="F179" s="667">
        <v>20</v>
      </c>
      <c r="G179" s="741">
        <f t="shared" si="60"/>
        <v>0.04</v>
      </c>
      <c r="H179" s="436"/>
    </row>
    <row r="180" spans="1:8" ht="12" customHeight="1">
      <c r="A180" s="339"/>
      <c r="B180" s="289" t="s">
        <v>233</v>
      </c>
      <c r="C180" s="698"/>
      <c r="D180" s="667"/>
      <c r="E180" s="667"/>
      <c r="F180" s="667"/>
      <c r="G180" s="741"/>
      <c r="H180" s="436"/>
    </row>
    <row r="181" spans="1:8" ht="12.6" thickBot="1">
      <c r="A181" s="339"/>
      <c r="B181" s="406" t="s">
        <v>251</v>
      </c>
      <c r="C181" s="697"/>
      <c r="D181" s="697"/>
      <c r="E181" s="697"/>
      <c r="F181" s="697"/>
      <c r="G181" s="746"/>
      <c r="H181" s="439"/>
    </row>
    <row r="182" spans="1:8" ht="12" customHeight="1" thickBot="1">
      <c r="A182" s="341"/>
      <c r="B182" s="409" t="s">
        <v>122</v>
      </c>
      <c r="C182" s="675">
        <f aca="true" t="shared" si="76" ref="C182">SUM(C175:C181)</f>
        <v>5000</v>
      </c>
      <c r="D182" s="675">
        <f aca="true" t="shared" si="77" ref="D182">SUM(D175:D181)</f>
        <v>5892</v>
      </c>
      <c r="E182" s="675">
        <f aca="true" t="shared" si="78" ref="E182:F182">SUM(E175:E181)</f>
        <v>5892</v>
      </c>
      <c r="F182" s="675">
        <f t="shared" si="78"/>
        <v>2239</v>
      </c>
      <c r="G182" s="743">
        <f t="shared" si="60"/>
        <v>0.3800067888662593</v>
      </c>
      <c r="H182" s="425"/>
    </row>
    <row r="183" spans="1:8" ht="12" customHeight="1">
      <c r="A183" s="356">
        <v>3143</v>
      </c>
      <c r="B183" s="432" t="s">
        <v>646</v>
      </c>
      <c r="C183" s="690"/>
      <c r="D183" s="690"/>
      <c r="E183" s="690"/>
      <c r="F183" s="690"/>
      <c r="G183" s="394"/>
      <c r="H183" s="391" t="s">
        <v>488</v>
      </c>
    </row>
    <row r="184" spans="1:8" ht="12" customHeight="1">
      <c r="A184" s="339"/>
      <c r="B184" s="916" t="s">
        <v>589</v>
      </c>
      <c r="C184" s="690"/>
      <c r="D184" s="690"/>
      <c r="E184" s="690"/>
      <c r="F184" s="690"/>
      <c r="G184" s="394"/>
      <c r="H184" s="759" t="s">
        <v>489</v>
      </c>
    </row>
    <row r="185" spans="1:9" ht="12" customHeight="1">
      <c r="A185" s="282"/>
      <c r="B185" s="351" t="s">
        <v>106</v>
      </c>
      <c r="C185" s="691"/>
      <c r="D185" s="691"/>
      <c r="E185" s="691">
        <v>270</v>
      </c>
      <c r="F185" s="691">
        <v>270</v>
      </c>
      <c r="G185" s="394">
        <f t="shared" si="60"/>
        <v>1</v>
      </c>
      <c r="H185" s="759"/>
      <c r="I185"/>
    </row>
    <row r="186" spans="1:8" ht="12" customHeight="1">
      <c r="A186" s="282"/>
      <c r="B186" s="176" t="s">
        <v>274</v>
      </c>
      <c r="C186" s="691"/>
      <c r="D186" s="691"/>
      <c r="E186" s="691">
        <v>124</v>
      </c>
      <c r="F186" s="691">
        <v>61</v>
      </c>
      <c r="G186" s="394">
        <f t="shared" si="60"/>
        <v>0.49193548387096775</v>
      </c>
      <c r="H186" s="534"/>
    </row>
    <row r="187" spans="1:8" ht="12" customHeight="1">
      <c r="A187" s="282"/>
      <c r="B187" s="352" t="s">
        <v>263</v>
      </c>
      <c r="C187" s="667"/>
      <c r="D187" s="667"/>
      <c r="E187" s="667">
        <v>73</v>
      </c>
      <c r="F187" s="667">
        <v>73</v>
      </c>
      <c r="G187" s="744">
        <f t="shared" si="60"/>
        <v>1</v>
      </c>
      <c r="H187" s="534"/>
    </row>
    <row r="188" spans="1:8" ht="12" customHeight="1">
      <c r="A188" s="282"/>
      <c r="B188" s="289" t="s">
        <v>111</v>
      </c>
      <c r="C188" s="667"/>
      <c r="D188" s="667"/>
      <c r="E188" s="667"/>
      <c r="F188" s="667"/>
      <c r="G188" s="741"/>
      <c r="H188" s="533"/>
    </row>
    <row r="189" spans="1:8" ht="12" customHeight="1">
      <c r="A189" s="282"/>
      <c r="B189" s="289" t="s">
        <v>270</v>
      </c>
      <c r="C189" s="691">
        <v>6000</v>
      </c>
      <c r="D189" s="691">
        <v>6000</v>
      </c>
      <c r="E189" s="691">
        <f>6000-467</f>
        <v>5533</v>
      </c>
      <c r="F189" s="691"/>
      <c r="G189" s="741">
        <f t="shared" si="60"/>
        <v>0</v>
      </c>
      <c r="H189" s="421"/>
    </row>
    <row r="190" spans="1:8" ht="12" customHeight="1" thickBot="1">
      <c r="A190" s="282"/>
      <c r="B190" s="406" t="s">
        <v>251</v>
      </c>
      <c r="C190" s="693"/>
      <c r="D190" s="693">
        <v>1200</v>
      </c>
      <c r="E190" s="693">
        <v>1200</v>
      </c>
      <c r="F190" s="693">
        <v>1200</v>
      </c>
      <c r="G190" s="746">
        <f t="shared" si="60"/>
        <v>1</v>
      </c>
      <c r="H190" s="395"/>
    </row>
    <row r="191" spans="1:8" ht="12" customHeight="1" thickBot="1">
      <c r="A191" s="341"/>
      <c r="B191" s="409" t="s">
        <v>122</v>
      </c>
      <c r="C191" s="675">
        <f aca="true" t="shared" si="79" ref="C191">SUM(C185:C190)</f>
        <v>6000</v>
      </c>
      <c r="D191" s="675">
        <f aca="true" t="shared" si="80" ref="D191">SUM(D185:D190)</f>
        <v>7200</v>
      </c>
      <c r="E191" s="675">
        <f aca="true" t="shared" si="81" ref="E191:F191">SUM(E185:E190)</f>
        <v>7200</v>
      </c>
      <c r="F191" s="675">
        <f t="shared" si="81"/>
        <v>1604</v>
      </c>
      <c r="G191" s="743">
        <f t="shared" si="60"/>
        <v>0.22277777777777777</v>
      </c>
      <c r="H191" s="425"/>
    </row>
    <row r="192" spans="1:8" ht="12" customHeight="1">
      <c r="A192" s="339">
        <v>3144</v>
      </c>
      <c r="B192" s="204" t="s">
        <v>356</v>
      </c>
      <c r="C192" s="690"/>
      <c r="D192" s="690"/>
      <c r="E192" s="690"/>
      <c r="F192" s="690"/>
      <c r="G192" s="394"/>
      <c r="H192" s="421"/>
    </row>
    <row r="193" spans="1:8" ht="12" customHeight="1">
      <c r="A193" s="282"/>
      <c r="B193" s="351" t="s">
        <v>106</v>
      </c>
      <c r="C193" s="691"/>
      <c r="D193" s="691"/>
      <c r="E193" s="691"/>
      <c r="F193" s="691"/>
      <c r="G193" s="394"/>
      <c r="H193" s="421"/>
    </row>
    <row r="194" spans="1:8" ht="12" customHeight="1">
      <c r="A194" s="282"/>
      <c r="B194" s="176" t="s">
        <v>274</v>
      </c>
      <c r="C194" s="691"/>
      <c r="D194" s="691"/>
      <c r="E194" s="691"/>
      <c r="F194" s="691"/>
      <c r="G194" s="394"/>
      <c r="H194" s="436"/>
    </row>
    <row r="195" spans="1:8" ht="12" customHeight="1">
      <c r="A195" s="282"/>
      <c r="B195" s="352" t="s">
        <v>263</v>
      </c>
      <c r="C195" s="691"/>
      <c r="D195" s="691"/>
      <c r="E195" s="691"/>
      <c r="F195" s="691"/>
      <c r="G195" s="394"/>
      <c r="H195" s="534"/>
    </row>
    <row r="196" spans="1:8" ht="12" customHeight="1">
      <c r="A196" s="282"/>
      <c r="B196" s="289" t="s">
        <v>111</v>
      </c>
      <c r="C196" s="691">
        <v>150</v>
      </c>
      <c r="D196" s="691">
        <v>350</v>
      </c>
      <c r="E196" s="691">
        <v>350</v>
      </c>
      <c r="F196" s="691">
        <v>350</v>
      </c>
      <c r="G196" s="744">
        <f t="shared" si="60"/>
        <v>1</v>
      </c>
      <c r="H196" s="533"/>
    </row>
    <row r="197" spans="1:8" ht="12" customHeight="1">
      <c r="A197" s="282"/>
      <c r="B197" s="289" t="s">
        <v>270</v>
      </c>
      <c r="C197" s="691"/>
      <c r="D197" s="691"/>
      <c r="E197" s="691"/>
      <c r="F197" s="691"/>
      <c r="G197" s="741"/>
      <c r="H197" s="421"/>
    </row>
    <row r="198" spans="1:8" ht="12" customHeight="1" thickBot="1">
      <c r="A198" s="282"/>
      <c r="B198" s="406" t="s">
        <v>79</v>
      </c>
      <c r="C198" s="693"/>
      <c r="D198" s="693"/>
      <c r="E198" s="693"/>
      <c r="F198" s="693"/>
      <c r="G198" s="746"/>
      <c r="H198" s="439"/>
    </row>
    <row r="199" spans="1:8" ht="12" customHeight="1" thickBot="1">
      <c r="A199" s="341"/>
      <c r="B199" s="409" t="s">
        <v>122</v>
      </c>
      <c r="C199" s="675">
        <f aca="true" t="shared" si="82" ref="C199">SUM(C193:C198)</f>
        <v>150</v>
      </c>
      <c r="D199" s="675">
        <f aca="true" t="shared" si="83" ref="D199">SUM(D193:D198)</f>
        <v>350</v>
      </c>
      <c r="E199" s="675">
        <f aca="true" t="shared" si="84" ref="E199:F199">SUM(E193:E198)</f>
        <v>350</v>
      </c>
      <c r="F199" s="675">
        <f t="shared" si="84"/>
        <v>350</v>
      </c>
      <c r="G199" s="743">
        <f t="shared" si="60"/>
        <v>1</v>
      </c>
      <c r="H199" s="425"/>
    </row>
    <row r="200" spans="1:8" ht="12" customHeight="1">
      <c r="A200" s="419">
        <v>3145</v>
      </c>
      <c r="B200" s="397" t="s">
        <v>357</v>
      </c>
      <c r="C200" s="687"/>
      <c r="D200" s="687"/>
      <c r="E200" s="687"/>
      <c r="F200" s="687"/>
      <c r="G200" s="394"/>
      <c r="H200" s="441"/>
    </row>
    <row r="201" spans="1:8" ht="12" customHeight="1">
      <c r="A201" s="415"/>
      <c r="B201" s="401" t="s">
        <v>106</v>
      </c>
      <c r="C201" s="686">
        <v>560</v>
      </c>
      <c r="D201" s="686">
        <v>560</v>
      </c>
      <c r="E201" s="686">
        <v>560</v>
      </c>
      <c r="F201" s="686"/>
      <c r="G201" s="744">
        <f t="shared" si="60"/>
        <v>0</v>
      </c>
      <c r="H201" s="441"/>
    </row>
    <row r="202" spans="1:8" ht="12" customHeight="1">
      <c r="A202" s="415"/>
      <c r="B202" s="403" t="s">
        <v>274</v>
      </c>
      <c r="C202" s="686">
        <v>340</v>
      </c>
      <c r="D202" s="686">
        <v>340</v>
      </c>
      <c r="E202" s="686">
        <v>340</v>
      </c>
      <c r="F202" s="686"/>
      <c r="G202" s="741">
        <f aca="true" t="shared" si="85" ref="G202:G264">SUM(F202/E202)</f>
        <v>0</v>
      </c>
      <c r="H202" s="813" t="s">
        <v>520</v>
      </c>
    </row>
    <row r="203" spans="1:8" ht="12" customHeight="1">
      <c r="A203" s="415"/>
      <c r="B203" s="404" t="s">
        <v>263</v>
      </c>
      <c r="C203" s="686">
        <v>2100</v>
      </c>
      <c r="D203" s="686">
        <f>2100+277</f>
        <v>2377</v>
      </c>
      <c r="E203" s="686">
        <f>2100+277</f>
        <v>2377</v>
      </c>
      <c r="F203" s="686">
        <v>277</v>
      </c>
      <c r="G203" s="741">
        <f t="shared" si="85"/>
        <v>0.11653344551956248</v>
      </c>
      <c r="H203" s="441"/>
    </row>
    <row r="204" spans="1:8" ht="12" customHeight="1">
      <c r="A204" s="415"/>
      <c r="B204" s="405" t="s">
        <v>111</v>
      </c>
      <c r="C204" s="686"/>
      <c r="D204" s="686"/>
      <c r="E204" s="686"/>
      <c r="F204" s="686"/>
      <c r="G204" s="741"/>
      <c r="H204" s="442"/>
    </row>
    <row r="205" spans="1:8" ht="12" customHeight="1">
      <c r="A205" s="415"/>
      <c r="B205" s="405" t="s">
        <v>270</v>
      </c>
      <c r="C205" s="686"/>
      <c r="D205" s="686">
        <v>611</v>
      </c>
      <c r="E205" s="686">
        <v>611</v>
      </c>
      <c r="F205" s="686">
        <v>611</v>
      </c>
      <c r="G205" s="741">
        <f t="shared" si="85"/>
        <v>1</v>
      </c>
      <c r="H205" s="441"/>
    </row>
    <row r="206" spans="1:8" ht="12" customHeight="1" thickBot="1">
      <c r="A206" s="415"/>
      <c r="B206" s="406" t="s">
        <v>79</v>
      </c>
      <c r="C206" s="696"/>
      <c r="D206" s="696">
        <v>659</v>
      </c>
      <c r="E206" s="696">
        <v>659</v>
      </c>
      <c r="F206" s="696">
        <v>659</v>
      </c>
      <c r="G206" s="746">
        <f t="shared" si="85"/>
        <v>1</v>
      </c>
      <c r="H206" s="443"/>
    </row>
    <row r="207" spans="1:8" ht="12" customHeight="1" thickBot="1">
      <c r="A207" s="417"/>
      <c r="B207" s="409" t="s">
        <v>122</v>
      </c>
      <c r="C207" s="676">
        <f aca="true" t="shared" si="86" ref="C207">SUM(C201:C206)</f>
        <v>3000</v>
      </c>
      <c r="D207" s="676">
        <f>SUM(D201:D206)</f>
        <v>4547</v>
      </c>
      <c r="E207" s="676">
        <f>SUM(E201:E206)</f>
        <v>4547</v>
      </c>
      <c r="F207" s="676">
        <f>SUM(F201:F206)</f>
        <v>1547</v>
      </c>
      <c r="G207" s="743">
        <f t="shared" si="85"/>
        <v>0.34022432372993183</v>
      </c>
      <c r="H207" s="444"/>
    </row>
    <row r="208" spans="1:8" ht="12" customHeight="1">
      <c r="A208" s="419">
        <v>3146</v>
      </c>
      <c r="B208" s="397" t="s">
        <v>647</v>
      </c>
      <c r="C208" s="687"/>
      <c r="D208" s="687"/>
      <c r="E208" s="687"/>
      <c r="F208" s="687"/>
      <c r="G208" s="394"/>
      <c r="H208" s="531" t="s">
        <v>490</v>
      </c>
    </row>
    <row r="209" spans="1:8" ht="12" customHeight="1">
      <c r="A209" s="415"/>
      <c r="B209" s="401" t="s">
        <v>106</v>
      </c>
      <c r="C209" s="686">
        <v>1400</v>
      </c>
      <c r="D209" s="686">
        <v>1400</v>
      </c>
      <c r="E209" s="686">
        <v>1400</v>
      </c>
      <c r="F209" s="686"/>
      <c r="G209" s="744">
        <f t="shared" si="85"/>
        <v>0</v>
      </c>
      <c r="H209" s="531" t="s">
        <v>491</v>
      </c>
    </row>
    <row r="210" spans="1:8" ht="12" customHeight="1">
      <c r="A210" s="415"/>
      <c r="B210" s="403" t="s">
        <v>274</v>
      </c>
      <c r="C210" s="686">
        <v>500</v>
      </c>
      <c r="D210" s="686">
        <v>500</v>
      </c>
      <c r="E210" s="686">
        <v>500</v>
      </c>
      <c r="F210" s="686"/>
      <c r="G210" s="741">
        <f t="shared" si="85"/>
        <v>0</v>
      </c>
      <c r="H210" s="441"/>
    </row>
    <row r="211" spans="1:8" ht="12" customHeight="1">
      <c r="A211" s="415"/>
      <c r="B211" s="404" t="s">
        <v>263</v>
      </c>
      <c r="C211" s="686">
        <v>1400</v>
      </c>
      <c r="D211" s="686">
        <v>1400</v>
      </c>
      <c r="E211" s="686">
        <v>1400</v>
      </c>
      <c r="F211" s="686"/>
      <c r="G211" s="741">
        <f t="shared" si="85"/>
        <v>0</v>
      </c>
      <c r="H211" s="534"/>
    </row>
    <row r="212" spans="1:8" ht="12" customHeight="1">
      <c r="A212" s="415"/>
      <c r="B212" s="405" t="s">
        <v>111</v>
      </c>
      <c r="C212" s="686"/>
      <c r="D212" s="686"/>
      <c r="E212" s="686"/>
      <c r="F212" s="686"/>
      <c r="G212" s="741"/>
      <c r="H212" s="441"/>
    </row>
    <row r="213" spans="1:8" ht="12" customHeight="1">
      <c r="A213" s="415"/>
      <c r="B213" s="405" t="s">
        <v>270</v>
      </c>
      <c r="C213" s="686">
        <v>1700</v>
      </c>
      <c r="D213" s="686">
        <f>1700+100</f>
        <v>1800</v>
      </c>
      <c r="E213" s="686">
        <f>1700+100</f>
        <v>1800</v>
      </c>
      <c r="F213" s="686">
        <v>600</v>
      </c>
      <c r="G213" s="741">
        <f t="shared" si="85"/>
        <v>0.3333333333333333</v>
      </c>
      <c r="H213" s="441"/>
    </row>
    <row r="214" spans="1:8" ht="12" customHeight="1">
      <c r="A214" s="415"/>
      <c r="B214" s="406" t="s">
        <v>233</v>
      </c>
      <c r="C214" s="686"/>
      <c r="D214" s="686">
        <v>260</v>
      </c>
      <c r="E214" s="686">
        <v>260</v>
      </c>
      <c r="F214" s="686">
        <v>260</v>
      </c>
      <c r="G214" s="741">
        <f t="shared" si="85"/>
        <v>1</v>
      </c>
      <c r="H214" s="451"/>
    </row>
    <row r="215" spans="1:8" ht="12" customHeight="1" thickBot="1">
      <c r="A215" s="415"/>
      <c r="B215" s="406" t="s">
        <v>251</v>
      </c>
      <c r="C215" s="696"/>
      <c r="D215" s="696"/>
      <c r="E215" s="696"/>
      <c r="F215" s="696"/>
      <c r="G215" s="746"/>
      <c r="H215" s="443"/>
    </row>
    <row r="216" spans="1:8" ht="12" customHeight="1" thickBot="1">
      <c r="A216" s="417"/>
      <c r="B216" s="409" t="s">
        <v>122</v>
      </c>
      <c r="C216" s="676">
        <f aca="true" t="shared" si="87" ref="C216">SUM(C209:C215)</f>
        <v>5000</v>
      </c>
      <c r="D216" s="676">
        <f aca="true" t="shared" si="88" ref="D216">SUM(D209:D215)</f>
        <v>5360</v>
      </c>
      <c r="E216" s="676">
        <f aca="true" t="shared" si="89" ref="E216:F216">SUM(E209:E215)</f>
        <v>5360</v>
      </c>
      <c r="F216" s="676">
        <f t="shared" si="89"/>
        <v>860</v>
      </c>
      <c r="G216" s="743">
        <f t="shared" si="85"/>
        <v>0.16044776119402984</v>
      </c>
      <c r="H216" s="444"/>
    </row>
    <row r="217" spans="1:8" ht="12" customHeight="1">
      <c r="A217" s="419">
        <v>3147</v>
      </c>
      <c r="B217" s="397" t="s">
        <v>463</v>
      </c>
      <c r="C217" s="687"/>
      <c r="D217" s="687"/>
      <c r="E217" s="687"/>
      <c r="F217" s="687"/>
      <c r="G217" s="394"/>
      <c r="H217" s="531"/>
    </row>
    <row r="218" spans="1:8" ht="12" customHeight="1">
      <c r="A218" s="415"/>
      <c r="B218" s="401" t="s">
        <v>106</v>
      </c>
      <c r="C218" s="686"/>
      <c r="D218" s="686"/>
      <c r="E218" s="686"/>
      <c r="F218" s="686"/>
      <c r="G218" s="394"/>
      <c r="H218" s="441"/>
    </row>
    <row r="219" spans="1:8" ht="12" customHeight="1">
      <c r="A219" s="415"/>
      <c r="B219" s="403" t="s">
        <v>274</v>
      </c>
      <c r="C219" s="686"/>
      <c r="D219" s="686"/>
      <c r="E219" s="686"/>
      <c r="F219" s="686"/>
      <c r="G219" s="394"/>
      <c r="H219" s="441"/>
    </row>
    <row r="220" spans="1:8" ht="12" customHeight="1">
      <c r="A220" s="415"/>
      <c r="B220" s="404" t="s">
        <v>263</v>
      </c>
      <c r="C220" s="686">
        <v>9170</v>
      </c>
      <c r="D220" s="686">
        <f>9170+1526</f>
        <v>10696</v>
      </c>
      <c r="E220" s="686">
        <f>9170+1526</f>
        <v>10696</v>
      </c>
      <c r="F220" s="686">
        <v>1526</v>
      </c>
      <c r="G220" s="744">
        <f t="shared" si="85"/>
        <v>0.14267015706806283</v>
      </c>
      <c r="H220" s="534"/>
    </row>
    <row r="221" spans="1:8" ht="12" customHeight="1">
      <c r="A221" s="415"/>
      <c r="B221" s="405" t="s">
        <v>111</v>
      </c>
      <c r="C221" s="686"/>
      <c r="D221" s="686"/>
      <c r="E221" s="686"/>
      <c r="F221" s="686"/>
      <c r="G221" s="741"/>
      <c r="H221" s="531" t="s">
        <v>521</v>
      </c>
    </row>
    <row r="222" spans="1:8" ht="12" customHeight="1">
      <c r="A222" s="415"/>
      <c r="B222" s="405" t="s">
        <v>270</v>
      </c>
      <c r="C222" s="686"/>
      <c r="D222" s="686"/>
      <c r="E222" s="686"/>
      <c r="F222" s="686"/>
      <c r="G222" s="741"/>
      <c r="H222" s="441"/>
    </row>
    <row r="223" spans="1:8" ht="12" customHeight="1">
      <c r="A223" s="415"/>
      <c r="B223" s="406" t="s">
        <v>233</v>
      </c>
      <c r="C223" s="686"/>
      <c r="D223" s="686"/>
      <c r="E223" s="686"/>
      <c r="F223" s="686"/>
      <c r="G223" s="741"/>
      <c r="H223" s="451"/>
    </row>
    <row r="224" spans="1:8" ht="12" customHeight="1" thickBot="1">
      <c r="A224" s="415"/>
      <c r="B224" s="406" t="s">
        <v>251</v>
      </c>
      <c r="C224" s="696"/>
      <c r="D224" s="696"/>
      <c r="E224" s="696"/>
      <c r="F224" s="696"/>
      <c r="G224" s="746"/>
      <c r="H224" s="443"/>
    </row>
    <row r="225" spans="1:8" ht="12" customHeight="1" thickBot="1">
      <c r="A225" s="417"/>
      <c r="B225" s="409" t="s">
        <v>122</v>
      </c>
      <c r="C225" s="676">
        <f aca="true" t="shared" si="90" ref="C225">SUM(C218:C224)</f>
        <v>9170</v>
      </c>
      <c r="D225" s="676">
        <f aca="true" t="shared" si="91" ref="D225">SUM(D218:D224)</f>
        <v>10696</v>
      </c>
      <c r="E225" s="676">
        <f aca="true" t="shared" si="92" ref="E225:F225">SUM(E218:E224)</f>
        <v>10696</v>
      </c>
      <c r="F225" s="676">
        <f t="shared" si="92"/>
        <v>1526</v>
      </c>
      <c r="G225" s="743">
        <f t="shared" si="85"/>
        <v>0.14267015706806283</v>
      </c>
      <c r="H225" s="444"/>
    </row>
    <row r="226" spans="1:8" ht="12.6" thickBot="1">
      <c r="A226" s="434"/>
      <c r="B226" s="445" t="s">
        <v>44</v>
      </c>
      <c r="C226" s="675">
        <f>SUM(C250+C268+C286+C312+C294+C303+C322+C242+C332+C234+C258+C340)</f>
        <v>2801958</v>
      </c>
      <c r="D226" s="675">
        <f>SUM(D250+D268+D286+D312+D294+D303+D322+D242+D332+D234+D258+D340)</f>
        <v>3208170</v>
      </c>
      <c r="E226" s="675">
        <f>SUM(E250+E268+E286+E312+E294+E303+E322+E242+E332+E234+E258+E340)</f>
        <v>3233180</v>
      </c>
      <c r="F226" s="675">
        <f>SUM(F250+F268+F286+F312+F294+F303+F322+F242+F332+F234+F258+F340)</f>
        <v>2021288</v>
      </c>
      <c r="G226" s="743">
        <f t="shared" si="85"/>
        <v>0.6251702658064197</v>
      </c>
      <c r="H226" s="425"/>
    </row>
    <row r="227" spans="1:8" ht="12">
      <c r="A227" s="339">
        <v>3200</v>
      </c>
      <c r="B227" s="446" t="s">
        <v>385</v>
      </c>
      <c r="C227" s="690"/>
      <c r="D227" s="690"/>
      <c r="E227" s="690"/>
      <c r="F227" s="690"/>
      <c r="G227" s="394"/>
      <c r="H227" s="391"/>
    </row>
    <row r="228" spans="1:8" ht="12.75">
      <c r="A228" s="350"/>
      <c r="B228" s="351" t="s">
        <v>106</v>
      </c>
      <c r="C228" s="691">
        <v>129500</v>
      </c>
      <c r="D228" s="691">
        <v>132538</v>
      </c>
      <c r="E228" s="691">
        <v>132538</v>
      </c>
      <c r="F228" s="691">
        <v>98043</v>
      </c>
      <c r="G228" s="744">
        <f t="shared" si="85"/>
        <v>0.7397350193906653</v>
      </c>
      <c r="H228" s="71"/>
    </row>
    <row r="229" spans="1:8" ht="12.75">
      <c r="A229" s="350"/>
      <c r="B229" s="176" t="s">
        <v>274</v>
      </c>
      <c r="C229" s="691">
        <v>16500</v>
      </c>
      <c r="D229" s="691">
        <v>17100</v>
      </c>
      <c r="E229" s="691">
        <v>17100</v>
      </c>
      <c r="F229" s="691">
        <v>12095</v>
      </c>
      <c r="G229" s="741">
        <f t="shared" si="85"/>
        <v>0.7073099415204679</v>
      </c>
      <c r="H229" s="534"/>
    </row>
    <row r="230" spans="1:8" ht="12.75">
      <c r="A230" s="282"/>
      <c r="B230" s="352" t="s">
        <v>263</v>
      </c>
      <c r="C230" s="691">
        <v>170</v>
      </c>
      <c r="D230" s="691">
        <f>170+2</f>
        <v>172</v>
      </c>
      <c r="E230" s="691">
        <f>170+2</f>
        <v>172</v>
      </c>
      <c r="F230" s="691">
        <v>68</v>
      </c>
      <c r="G230" s="741">
        <f t="shared" si="85"/>
        <v>0.3953488372093023</v>
      </c>
      <c r="H230" s="534"/>
    </row>
    <row r="231" spans="1:8" ht="12.75">
      <c r="A231" s="282"/>
      <c r="B231" s="289" t="s">
        <v>111</v>
      </c>
      <c r="C231" s="691"/>
      <c r="D231" s="691"/>
      <c r="E231" s="691"/>
      <c r="F231" s="691"/>
      <c r="G231" s="741"/>
      <c r="H231" s="534"/>
    </row>
    <row r="232" spans="1:8" ht="12.75">
      <c r="A232" s="350"/>
      <c r="B232" s="289" t="s">
        <v>270</v>
      </c>
      <c r="C232" s="691"/>
      <c r="D232" s="691"/>
      <c r="E232" s="691"/>
      <c r="F232" s="691"/>
      <c r="G232" s="741"/>
      <c r="H232" s="536"/>
    </row>
    <row r="233" spans="1:8" ht="12.6" thickBot="1">
      <c r="A233" s="282"/>
      <c r="B233" s="406" t="s">
        <v>79</v>
      </c>
      <c r="C233" s="693"/>
      <c r="D233" s="693"/>
      <c r="E233" s="693"/>
      <c r="F233" s="693"/>
      <c r="G233" s="746"/>
      <c r="H233" s="423"/>
    </row>
    <row r="234" spans="1:8" ht="12.6" thickBot="1">
      <c r="A234" s="341"/>
      <c r="B234" s="409" t="s">
        <v>122</v>
      </c>
      <c r="C234" s="675">
        <f aca="true" t="shared" si="93" ref="C234">SUM(C228:C233)</f>
        <v>146170</v>
      </c>
      <c r="D234" s="675">
        <f aca="true" t="shared" si="94" ref="D234">SUM(D228:D233)</f>
        <v>149810</v>
      </c>
      <c r="E234" s="675">
        <f>SUM(E228:E233)</f>
        <v>149810</v>
      </c>
      <c r="F234" s="675">
        <f>SUM(F228:F233)</f>
        <v>110206</v>
      </c>
      <c r="G234" s="743">
        <f t="shared" si="85"/>
        <v>0.7356384754021761</v>
      </c>
      <c r="H234" s="425"/>
    </row>
    <row r="235" spans="1:8" ht="12">
      <c r="A235" s="339">
        <v>3201</v>
      </c>
      <c r="B235" s="429" t="s">
        <v>331</v>
      </c>
      <c r="C235" s="690"/>
      <c r="D235" s="690"/>
      <c r="E235" s="690"/>
      <c r="F235" s="690"/>
      <c r="G235" s="394"/>
      <c r="H235" s="391"/>
    </row>
    <row r="236" spans="1:8" ht="12">
      <c r="A236" s="339"/>
      <c r="B236" s="352" t="s">
        <v>106</v>
      </c>
      <c r="C236" s="667">
        <v>12500</v>
      </c>
      <c r="D236" s="667">
        <v>13532</v>
      </c>
      <c r="E236" s="667">
        <f>13532+4007</f>
        <v>17539</v>
      </c>
      <c r="F236" s="667">
        <v>12192</v>
      </c>
      <c r="G236" s="744">
        <f t="shared" si="85"/>
        <v>0.6951365528251325</v>
      </c>
      <c r="H236" s="534"/>
    </row>
    <row r="237" spans="1:8" ht="12">
      <c r="A237" s="339"/>
      <c r="B237" s="176" t="s">
        <v>274</v>
      </c>
      <c r="C237" s="667">
        <v>2000</v>
      </c>
      <c r="D237" s="667">
        <v>2233</v>
      </c>
      <c r="E237" s="667">
        <v>2233</v>
      </c>
      <c r="F237" s="667">
        <v>782</v>
      </c>
      <c r="G237" s="741">
        <f t="shared" si="85"/>
        <v>0.35020152261531573</v>
      </c>
      <c r="H237" s="534"/>
    </row>
    <row r="238" spans="1:8" ht="12">
      <c r="A238" s="339"/>
      <c r="B238" s="352" t="s">
        <v>263</v>
      </c>
      <c r="C238" s="667">
        <v>65500</v>
      </c>
      <c r="D238" s="667">
        <v>82013</v>
      </c>
      <c r="E238" s="667">
        <f>82013-4467</f>
        <v>77546</v>
      </c>
      <c r="F238" s="667">
        <v>37493</v>
      </c>
      <c r="G238" s="741">
        <f t="shared" si="85"/>
        <v>0.4834936682743146</v>
      </c>
      <c r="H238" s="534"/>
    </row>
    <row r="239" spans="1:8" ht="12">
      <c r="A239" s="339"/>
      <c r="B239" s="447" t="s">
        <v>111</v>
      </c>
      <c r="C239" s="667"/>
      <c r="D239" s="667"/>
      <c r="E239" s="667"/>
      <c r="F239" s="667"/>
      <c r="G239" s="741"/>
      <c r="H239" s="436"/>
    </row>
    <row r="240" spans="1:8" ht="12">
      <c r="A240" s="339"/>
      <c r="B240" s="447" t="s">
        <v>270</v>
      </c>
      <c r="C240" s="667"/>
      <c r="D240" s="667"/>
      <c r="E240" s="667"/>
      <c r="F240" s="667"/>
      <c r="G240" s="741"/>
      <c r="H240" s="395"/>
    </row>
    <row r="241" spans="1:8" ht="12.6" thickBot="1">
      <c r="A241" s="339"/>
      <c r="B241" s="406" t="s">
        <v>233</v>
      </c>
      <c r="C241" s="697"/>
      <c r="D241" s="697">
        <v>2066</v>
      </c>
      <c r="E241" s="697">
        <f>2066+460</f>
        <v>2526</v>
      </c>
      <c r="F241" s="697">
        <v>2526</v>
      </c>
      <c r="G241" s="746">
        <f t="shared" si="85"/>
        <v>1</v>
      </c>
      <c r="H241" s="395"/>
    </row>
    <row r="242" spans="1:8" ht="12.6" thickBot="1">
      <c r="A242" s="359"/>
      <c r="B242" s="409" t="s">
        <v>122</v>
      </c>
      <c r="C242" s="675">
        <f aca="true" t="shared" si="95" ref="C242">SUM(C236:C241)</f>
        <v>80000</v>
      </c>
      <c r="D242" s="675">
        <f aca="true" t="shared" si="96" ref="D242">SUM(D236:D241)</f>
        <v>99844</v>
      </c>
      <c r="E242" s="675">
        <f>SUM(E236:E241)</f>
        <v>99844</v>
      </c>
      <c r="F242" s="675">
        <f>SUM(F236:F241)</f>
        <v>52993</v>
      </c>
      <c r="G242" s="743">
        <f t="shared" si="85"/>
        <v>0.5307579824526261</v>
      </c>
      <c r="H242" s="425"/>
    </row>
    <row r="243" spans="1:8" ht="12">
      <c r="A243" s="72">
        <v>3202</v>
      </c>
      <c r="B243" s="358" t="s">
        <v>653</v>
      </c>
      <c r="C243" s="690"/>
      <c r="D243" s="690"/>
      <c r="E243" s="690"/>
      <c r="F243" s="690"/>
      <c r="G243" s="394"/>
      <c r="H243" s="531" t="s">
        <v>483</v>
      </c>
    </row>
    <row r="244" spans="1:8" ht="12">
      <c r="A244" s="72"/>
      <c r="B244" s="351" t="s">
        <v>106</v>
      </c>
      <c r="C244" s="667">
        <v>2000</v>
      </c>
      <c r="D244" s="667">
        <v>2000</v>
      </c>
      <c r="E244" s="667">
        <v>2000</v>
      </c>
      <c r="F244" s="667"/>
      <c r="G244" s="744">
        <f t="shared" si="85"/>
        <v>0</v>
      </c>
      <c r="H244" s="395" t="s">
        <v>484</v>
      </c>
    </row>
    <row r="245" spans="1:8" ht="12">
      <c r="A245" s="72"/>
      <c r="B245" s="176" t="s">
        <v>274</v>
      </c>
      <c r="C245" s="667">
        <v>1000</v>
      </c>
      <c r="D245" s="667">
        <f>1000+24</f>
        <v>1024</v>
      </c>
      <c r="E245" s="667">
        <f>1000+24</f>
        <v>1024</v>
      </c>
      <c r="F245" s="667">
        <v>24</v>
      </c>
      <c r="G245" s="741">
        <f t="shared" si="85"/>
        <v>0.0234375</v>
      </c>
      <c r="H245" s="436"/>
    </row>
    <row r="246" spans="1:8" ht="12">
      <c r="A246" s="72"/>
      <c r="B246" s="352" t="s">
        <v>263</v>
      </c>
      <c r="C246" s="667">
        <v>2000</v>
      </c>
      <c r="D246" s="667">
        <v>2000</v>
      </c>
      <c r="E246" s="667">
        <v>2000</v>
      </c>
      <c r="F246" s="667">
        <v>687</v>
      </c>
      <c r="G246" s="741">
        <f t="shared" si="85"/>
        <v>0.3435</v>
      </c>
      <c r="H246" s="534"/>
    </row>
    <row r="247" spans="1:8" ht="12">
      <c r="A247" s="72"/>
      <c r="B247" s="289" t="s">
        <v>111</v>
      </c>
      <c r="C247" s="667"/>
      <c r="D247" s="667"/>
      <c r="E247" s="667"/>
      <c r="F247" s="667"/>
      <c r="G247" s="741"/>
      <c r="H247" s="436"/>
    </row>
    <row r="248" spans="1:8" ht="12">
      <c r="A248" s="72"/>
      <c r="B248" s="289" t="s">
        <v>270</v>
      </c>
      <c r="C248" s="667">
        <v>1000</v>
      </c>
      <c r="D248" s="667">
        <v>1000</v>
      </c>
      <c r="E248" s="667">
        <v>1000</v>
      </c>
      <c r="F248" s="667">
        <v>120</v>
      </c>
      <c r="G248" s="741">
        <f t="shared" si="85"/>
        <v>0.12</v>
      </c>
      <c r="H248" s="436"/>
    </row>
    <row r="249" spans="1:8" ht="12.6" thickBot="1">
      <c r="A249" s="72"/>
      <c r="B249" s="406" t="s">
        <v>251</v>
      </c>
      <c r="C249" s="697"/>
      <c r="D249" s="697"/>
      <c r="E249" s="697"/>
      <c r="F249" s="697"/>
      <c r="G249" s="746"/>
      <c r="H249" s="423"/>
    </row>
    <row r="250" spans="1:8" ht="12.6" thickBot="1">
      <c r="A250" s="359"/>
      <c r="B250" s="409" t="s">
        <v>122</v>
      </c>
      <c r="C250" s="675">
        <f aca="true" t="shared" si="97" ref="C250">SUM(C244:C249)</f>
        <v>6000</v>
      </c>
      <c r="D250" s="675">
        <f aca="true" t="shared" si="98" ref="D250">SUM(D244:D249)</f>
        <v>6024</v>
      </c>
      <c r="E250" s="675">
        <f aca="true" t="shared" si="99" ref="E250:F250">SUM(E244:E249)</f>
        <v>6024</v>
      </c>
      <c r="F250" s="675">
        <f t="shared" si="99"/>
        <v>831</v>
      </c>
      <c r="G250" s="743">
        <f t="shared" si="85"/>
        <v>0.13794820717131473</v>
      </c>
      <c r="H250" s="425"/>
    </row>
    <row r="251" spans="1:8" ht="12" customHeight="1">
      <c r="A251" s="72">
        <v>3204</v>
      </c>
      <c r="B251" s="432" t="s">
        <v>360</v>
      </c>
      <c r="C251" s="690"/>
      <c r="D251" s="690"/>
      <c r="E251" s="690"/>
      <c r="F251" s="690"/>
      <c r="G251" s="394"/>
      <c r="H251" s="420"/>
    </row>
    <row r="252" spans="1:8" ht="12" customHeight="1">
      <c r="A252" s="350"/>
      <c r="B252" s="351" t="s">
        <v>106</v>
      </c>
      <c r="C252" s="691"/>
      <c r="D252" s="691"/>
      <c r="E252" s="691"/>
      <c r="F252" s="691"/>
      <c r="G252" s="394"/>
      <c r="H252" s="395"/>
    </row>
    <row r="253" spans="1:8" ht="12" customHeight="1">
      <c r="A253" s="350"/>
      <c r="B253" s="176" t="s">
        <v>274</v>
      </c>
      <c r="C253" s="691"/>
      <c r="D253" s="691"/>
      <c r="E253" s="691"/>
      <c r="F253" s="691"/>
      <c r="G253" s="394"/>
      <c r="H253" s="811" t="s">
        <v>482</v>
      </c>
    </row>
    <row r="254" spans="1:8" ht="12" customHeight="1">
      <c r="A254" s="350"/>
      <c r="B254" s="352" t="s">
        <v>263</v>
      </c>
      <c r="C254" s="691">
        <v>15000</v>
      </c>
      <c r="D254" s="691">
        <f>15000+2560</f>
        <v>17560</v>
      </c>
      <c r="E254" s="691">
        <f>15000+2560</f>
        <v>17560</v>
      </c>
      <c r="F254" s="691">
        <v>8898</v>
      </c>
      <c r="G254" s="744">
        <f t="shared" si="85"/>
        <v>0.5067198177676537</v>
      </c>
      <c r="H254" s="624" t="s">
        <v>511</v>
      </c>
    </row>
    <row r="255" spans="1:8" ht="12" customHeight="1">
      <c r="A255" s="350"/>
      <c r="B255" s="289" t="s">
        <v>270</v>
      </c>
      <c r="C255" s="691"/>
      <c r="D255" s="691"/>
      <c r="E255" s="691"/>
      <c r="F255" s="691"/>
      <c r="G255" s="741"/>
      <c r="H255" s="440"/>
    </row>
    <row r="256" spans="1:8" ht="12" customHeight="1">
      <c r="A256" s="350"/>
      <c r="B256" s="289" t="s">
        <v>111</v>
      </c>
      <c r="C256" s="691"/>
      <c r="D256" s="691"/>
      <c r="E256" s="691"/>
      <c r="F256" s="691"/>
      <c r="G256" s="741"/>
      <c r="H256" s="395"/>
    </row>
    <row r="257" spans="1:8" ht="12" customHeight="1" thickBot="1">
      <c r="A257" s="350"/>
      <c r="B257" s="406" t="s">
        <v>79</v>
      </c>
      <c r="C257" s="695"/>
      <c r="D257" s="693"/>
      <c r="E257" s="693"/>
      <c r="F257" s="693"/>
      <c r="G257" s="746"/>
      <c r="H257" s="390"/>
    </row>
    <row r="258" spans="1:8" ht="12" customHeight="1" thickBot="1">
      <c r="A258" s="359"/>
      <c r="B258" s="409" t="s">
        <v>122</v>
      </c>
      <c r="C258" s="675">
        <f aca="true" t="shared" si="100" ref="C258">SUM(C252:C257)</f>
        <v>15000</v>
      </c>
      <c r="D258" s="675">
        <f aca="true" t="shared" si="101" ref="D258">SUM(D252:D257)</f>
        <v>17560</v>
      </c>
      <c r="E258" s="675">
        <f aca="true" t="shared" si="102" ref="E258:F258">SUM(E252:E257)</f>
        <v>17560</v>
      </c>
      <c r="F258" s="675">
        <f t="shared" si="102"/>
        <v>8898</v>
      </c>
      <c r="G258" s="743">
        <f t="shared" si="85"/>
        <v>0.5067198177676537</v>
      </c>
      <c r="H258" s="425"/>
    </row>
    <row r="259" spans="1:8" ht="12" customHeight="1">
      <c r="A259" s="72">
        <v>3205</v>
      </c>
      <c r="B259" s="432" t="s">
        <v>332</v>
      </c>
      <c r="C259" s="690"/>
      <c r="D259" s="690"/>
      <c r="E259" s="690"/>
      <c r="F259" s="690"/>
      <c r="G259" s="394"/>
      <c r="H259" s="420" t="s">
        <v>481</v>
      </c>
    </row>
    <row r="260" spans="1:8" ht="12" customHeight="1">
      <c r="A260" s="350"/>
      <c r="B260" s="351" t="s">
        <v>106</v>
      </c>
      <c r="C260" s="691">
        <v>4000</v>
      </c>
      <c r="D260" s="691">
        <f>4000+651</f>
        <v>4651</v>
      </c>
      <c r="E260" s="691">
        <f>4000+651</f>
        <v>4651</v>
      </c>
      <c r="F260" s="691">
        <v>1165</v>
      </c>
      <c r="G260" s="744">
        <f t="shared" si="85"/>
        <v>0.2504837669318426</v>
      </c>
      <c r="H260" s="395" t="s">
        <v>146</v>
      </c>
    </row>
    <row r="261" spans="1:8" ht="12" customHeight="1">
      <c r="A261" s="350"/>
      <c r="B261" s="176" t="s">
        <v>274</v>
      </c>
      <c r="C261" s="691">
        <v>1000</v>
      </c>
      <c r="D261" s="691">
        <f>1000+144</f>
        <v>1144</v>
      </c>
      <c r="E261" s="691">
        <f>1000+144</f>
        <v>1144</v>
      </c>
      <c r="F261" s="691">
        <v>78</v>
      </c>
      <c r="G261" s="741">
        <f t="shared" si="85"/>
        <v>0.06818181818181818</v>
      </c>
      <c r="H261" s="421"/>
    </row>
    <row r="262" spans="1:8" ht="12" customHeight="1">
      <c r="A262" s="282"/>
      <c r="B262" s="352" t="s">
        <v>263</v>
      </c>
      <c r="C262" s="691">
        <v>9500</v>
      </c>
      <c r="D262" s="691">
        <f>9500+8681+647</f>
        <v>18828</v>
      </c>
      <c r="E262" s="691">
        <f>18828+3100+15000</f>
        <v>36928</v>
      </c>
      <c r="F262" s="691">
        <v>11622</v>
      </c>
      <c r="G262" s="741">
        <f t="shared" si="85"/>
        <v>0.31472053726169846</v>
      </c>
      <c r="H262" s="533"/>
    </row>
    <row r="263" spans="1:8" ht="12" customHeight="1">
      <c r="A263" s="282"/>
      <c r="B263" s="289" t="s">
        <v>111</v>
      </c>
      <c r="C263" s="691"/>
      <c r="D263" s="691"/>
      <c r="E263" s="691"/>
      <c r="F263" s="691"/>
      <c r="G263" s="741"/>
      <c r="H263" s="533"/>
    </row>
    <row r="264" spans="1:8" ht="12" customHeight="1">
      <c r="A264" s="282"/>
      <c r="B264" s="289" t="s">
        <v>270</v>
      </c>
      <c r="C264" s="691">
        <v>10000</v>
      </c>
      <c r="D264" s="691">
        <f>10000+5816</f>
        <v>15816</v>
      </c>
      <c r="E264" s="691">
        <f>15816-3100</f>
        <v>12716</v>
      </c>
      <c r="F264" s="691">
        <v>4450</v>
      </c>
      <c r="G264" s="741">
        <f t="shared" si="85"/>
        <v>0.34995281535073924</v>
      </c>
      <c r="H264" s="422"/>
    </row>
    <row r="265" spans="1:8" ht="12" customHeight="1">
      <c r="A265" s="282"/>
      <c r="B265" s="289" t="s">
        <v>111</v>
      </c>
      <c r="C265" s="691"/>
      <c r="D265" s="691"/>
      <c r="E265" s="691"/>
      <c r="F265" s="691"/>
      <c r="G265" s="741"/>
      <c r="H265" s="422"/>
    </row>
    <row r="266" spans="1:8" ht="12" customHeight="1">
      <c r="A266" s="282"/>
      <c r="B266" s="289" t="s">
        <v>19</v>
      </c>
      <c r="C266" s="692"/>
      <c r="D266" s="691"/>
      <c r="E266" s="691">
        <v>823</v>
      </c>
      <c r="F266" s="691">
        <v>822</v>
      </c>
      <c r="G266" s="741">
        <f aca="true" t="shared" si="103" ref="G266:G328">SUM(F266/E266)</f>
        <v>0.9987849331713244</v>
      </c>
      <c r="H266" s="422"/>
    </row>
    <row r="267" spans="1:8" ht="12" customHeight="1" thickBot="1">
      <c r="A267" s="282"/>
      <c r="B267" s="406" t="s">
        <v>251</v>
      </c>
      <c r="C267" s="693">
        <v>20000</v>
      </c>
      <c r="D267" s="693">
        <f>20000+2387</f>
        <v>22387</v>
      </c>
      <c r="E267" s="693">
        <f>22387-823</f>
        <v>21564</v>
      </c>
      <c r="F267" s="693">
        <v>2103</v>
      </c>
      <c r="G267" s="746">
        <f t="shared" si="103"/>
        <v>0.09752365052865887</v>
      </c>
      <c r="H267" s="758"/>
    </row>
    <row r="268" spans="1:8" ht="12" customHeight="1" thickBot="1">
      <c r="A268" s="359"/>
      <c r="B268" s="409" t="s">
        <v>122</v>
      </c>
      <c r="C268" s="675">
        <f aca="true" t="shared" si="104" ref="C268">SUM(C260:C267)</f>
        <v>44500</v>
      </c>
      <c r="D268" s="675">
        <f aca="true" t="shared" si="105" ref="D268">SUM(D260:D267)</f>
        <v>62826</v>
      </c>
      <c r="E268" s="675">
        <f>SUM(E260:E267)</f>
        <v>77826</v>
      </c>
      <c r="F268" s="675">
        <f>SUM(F260:F267)</f>
        <v>20240</v>
      </c>
      <c r="G268" s="743">
        <f t="shared" si="103"/>
        <v>0.26006732968416724</v>
      </c>
      <c r="H268" s="449"/>
    </row>
    <row r="269" spans="1:8" ht="12" customHeight="1">
      <c r="A269" s="72">
        <v>3206</v>
      </c>
      <c r="B269" s="432" t="s">
        <v>501</v>
      </c>
      <c r="C269" s="690"/>
      <c r="D269" s="690"/>
      <c r="E269" s="690"/>
      <c r="F269" s="690"/>
      <c r="G269" s="394"/>
      <c r="H269" s="420"/>
    </row>
    <row r="270" spans="1:8" ht="12" customHeight="1">
      <c r="A270" s="350"/>
      <c r="B270" s="351" t="s">
        <v>106</v>
      </c>
      <c r="C270" s="691"/>
      <c r="D270" s="691"/>
      <c r="E270" s="691"/>
      <c r="F270" s="691"/>
      <c r="G270" s="394"/>
      <c r="H270" s="395"/>
    </row>
    <row r="271" spans="1:8" ht="12" customHeight="1">
      <c r="A271" s="350"/>
      <c r="B271" s="176" t="s">
        <v>274</v>
      </c>
      <c r="C271" s="691"/>
      <c r="D271" s="691"/>
      <c r="E271" s="691"/>
      <c r="F271" s="691"/>
      <c r="G271" s="394"/>
      <c r="H271" s="421"/>
    </row>
    <row r="272" spans="1:8" ht="12" customHeight="1">
      <c r="A272" s="282"/>
      <c r="B272" s="352" t="s">
        <v>263</v>
      </c>
      <c r="C272" s="691">
        <v>10000</v>
      </c>
      <c r="D272" s="691">
        <v>10000</v>
      </c>
      <c r="E272" s="691">
        <v>10000</v>
      </c>
      <c r="F272" s="691">
        <v>0</v>
      </c>
      <c r="G272" s="835">
        <f t="shared" si="103"/>
        <v>0</v>
      </c>
      <c r="H272" s="533"/>
    </row>
    <row r="273" spans="1:8" ht="12" customHeight="1">
      <c r="A273" s="282"/>
      <c r="B273" s="289" t="s">
        <v>111</v>
      </c>
      <c r="C273" s="691"/>
      <c r="D273" s="691"/>
      <c r="E273" s="691"/>
      <c r="F273" s="691"/>
      <c r="G273" s="394"/>
      <c r="H273" s="533"/>
    </row>
    <row r="274" spans="1:8" ht="12" customHeight="1">
      <c r="A274" s="282"/>
      <c r="B274" s="289" t="s">
        <v>270</v>
      </c>
      <c r="C274" s="691"/>
      <c r="D274" s="691"/>
      <c r="E274" s="691"/>
      <c r="F274" s="691"/>
      <c r="G274" s="394"/>
      <c r="H274" s="422"/>
    </row>
    <row r="275" spans="1:8" ht="12" customHeight="1">
      <c r="A275" s="282"/>
      <c r="B275" s="289" t="s">
        <v>111</v>
      </c>
      <c r="C275" s="691"/>
      <c r="D275" s="691"/>
      <c r="E275" s="691"/>
      <c r="F275" s="691"/>
      <c r="G275" s="394"/>
      <c r="H275" s="422"/>
    </row>
    <row r="276" spans="1:8" ht="12" customHeight="1">
      <c r="A276" s="282"/>
      <c r="B276" s="289" t="s">
        <v>19</v>
      </c>
      <c r="C276" s="692"/>
      <c r="D276" s="691"/>
      <c r="E276" s="691"/>
      <c r="F276" s="691"/>
      <c r="G276" s="394"/>
      <c r="H276" s="422"/>
    </row>
    <row r="277" spans="1:8" ht="12" customHeight="1" thickBot="1">
      <c r="A277" s="282"/>
      <c r="B277" s="406" t="s">
        <v>251</v>
      </c>
      <c r="C277" s="693"/>
      <c r="D277" s="693"/>
      <c r="E277" s="693"/>
      <c r="F277" s="693"/>
      <c r="G277" s="836"/>
      <c r="H277" s="758"/>
    </row>
    <row r="278" spans="1:8" ht="12" customHeight="1" thickBot="1">
      <c r="A278" s="359"/>
      <c r="B278" s="409" t="s">
        <v>122</v>
      </c>
      <c r="C278" s="675">
        <f aca="true" t="shared" si="106" ref="C278">SUM(C270:C277)</f>
        <v>10000</v>
      </c>
      <c r="D278" s="675">
        <f aca="true" t="shared" si="107" ref="D278">SUM(D270:D277)</f>
        <v>10000</v>
      </c>
      <c r="E278" s="675">
        <f aca="true" t="shared" si="108" ref="E278:F278">SUM(E270:E277)</f>
        <v>10000</v>
      </c>
      <c r="F278" s="675">
        <f t="shared" si="108"/>
        <v>0</v>
      </c>
      <c r="G278" s="743">
        <f t="shared" si="103"/>
        <v>0</v>
      </c>
      <c r="H278" s="449"/>
    </row>
    <row r="279" spans="1:8" ht="12" customHeight="1">
      <c r="A279" s="339">
        <v>3207</v>
      </c>
      <c r="B279" s="432" t="s">
        <v>267</v>
      </c>
      <c r="C279" s="690"/>
      <c r="D279" s="690"/>
      <c r="E279" s="690"/>
      <c r="F279" s="690"/>
      <c r="G279" s="394"/>
      <c r="H279" s="421"/>
    </row>
    <row r="280" spans="1:8" ht="12" customHeight="1">
      <c r="A280" s="282"/>
      <c r="B280" s="351" t="s">
        <v>106</v>
      </c>
      <c r="C280" s="691"/>
      <c r="D280" s="691"/>
      <c r="E280" s="691"/>
      <c r="F280" s="691"/>
      <c r="G280" s="394"/>
      <c r="H280" s="421"/>
    </row>
    <row r="281" spans="1:8" ht="12" customHeight="1">
      <c r="A281" s="282"/>
      <c r="B281" s="176" t="s">
        <v>274</v>
      </c>
      <c r="C281" s="691"/>
      <c r="D281" s="691"/>
      <c r="E281" s="691"/>
      <c r="F281" s="691"/>
      <c r="G281" s="394"/>
      <c r="H281" s="413"/>
    </row>
    <row r="282" spans="1:8" ht="12" customHeight="1">
      <c r="A282" s="282"/>
      <c r="B282" s="352" t="s">
        <v>263</v>
      </c>
      <c r="C282" s="691">
        <v>30500</v>
      </c>
      <c r="D282" s="691">
        <f>30500+4052</f>
        <v>34552</v>
      </c>
      <c r="E282" s="691">
        <f>30500+4052</f>
        <v>34552</v>
      </c>
      <c r="F282" s="691">
        <v>23349</v>
      </c>
      <c r="G282" s="744">
        <f t="shared" si="103"/>
        <v>0.675764065755962</v>
      </c>
      <c r="H282" s="533"/>
    </row>
    <row r="283" spans="1:8" ht="12" customHeight="1">
      <c r="A283" s="282"/>
      <c r="B283" s="289" t="s">
        <v>111</v>
      </c>
      <c r="C283" s="691"/>
      <c r="D283" s="691"/>
      <c r="E283" s="691"/>
      <c r="F283" s="691"/>
      <c r="G283" s="741"/>
      <c r="H283" s="533"/>
    </row>
    <row r="284" spans="1:8" ht="12" customHeight="1">
      <c r="A284" s="282"/>
      <c r="B284" s="289" t="s">
        <v>270</v>
      </c>
      <c r="C284" s="691"/>
      <c r="D284" s="691"/>
      <c r="E284" s="691"/>
      <c r="F284" s="691"/>
      <c r="G284" s="741"/>
      <c r="H284" s="421"/>
    </row>
    <row r="285" spans="1:8" ht="12" customHeight="1" thickBot="1">
      <c r="A285" s="282"/>
      <c r="B285" s="406" t="s">
        <v>79</v>
      </c>
      <c r="C285" s="695"/>
      <c r="D285" s="693"/>
      <c r="E285" s="693"/>
      <c r="F285" s="693"/>
      <c r="G285" s="746"/>
      <c r="H285" s="390"/>
    </row>
    <row r="286" spans="1:8" ht="12.6" thickBot="1">
      <c r="A286" s="341"/>
      <c r="B286" s="409" t="s">
        <v>122</v>
      </c>
      <c r="C286" s="675">
        <f aca="true" t="shared" si="109" ref="C286">SUM(C280:C285)</f>
        <v>30500</v>
      </c>
      <c r="D286" s="675">
        <f aca="true" t="shared" si="110" ref="D286">SUM(D280:D285)</f>
        <v>34552</v>
      </c>
      <c r="E286" s="675">
        <f aca="true" t="shared" si="111" ref="E286:F286">SUM(E280:E285)</f>
        <v>34552</v>
      </c>
      <c r="F286" s="675">
        <f t="shared" si="111"/>
        <v>23349</v>
      </c>
      <c r="G286" s="743">
        <f t="shared" si="103"/>
        <v>0.675764065755962</v>
      </c>
      <c r="H286" s="425"/>
    </row>
    <row r="287" spans="1:8" ht="12">
      <c r="A287" s="339">
        <v>3208</v>
      </c>
      <c r="B287" s="432" t="s">
        <v>172</v>
      </c>
      <c r="C287" s="690"/>
      <c r="D287" s="690"/>
      <c r="E287" s="690"/>
      <c r="F287" s="690"/>
      <c r="G287" s="394"/>
      <c r="H287" s="421"/>
    </row>
    <row r="288" spans="1:8" ht="12">
      <c r="A288" s="282"/>
      <c r="B288" s="351" t="s">
        <v>106</v>
      </c>
      <c r="C288" s="691"/>
      <c r="D288" s="691"/>
      <c r="E288" s="691"/>
      <c r="F288" s="691"/>
      <c r="G288" s="394"/>
      <c r="H288" s="421"/>
    </row>
    <row r="289" spans="1:8" ht="12">
      <c r="A289" s="282"/>
      <c r="B289" s="176" t="s">
        <v>274</v>
      </c>
      <c r="C289" s="691"/>
      <c r="D289" s="691"/>
      <c r="E289" s="691"/>
      <c r="F289" s="691"/>
      <c r="G289" s="394"/>
      <c r="H289" s="533"/>
    </row>
    <row r="290" spans="1:8" ht="12.75">
      <c r="A290" s="282"/>
      <c r="B290" s="352" t="s">
        <v>263</v>
      </c>
      <c r="C290" s="691">
        <v>30000</v>
      </c>
      <c r="D290" s="691">
        <f>30000+2462</f>
        <v>32462</v>
      </c>
      <c r="E290" s="691">
        <f>30000+2462</f>
        <v>32462</v>
      </c>
      <c r="F290" s="691">
        <v>12537</v>
      </c>
      <c r="G290" s="744">
        <f t="shared" si="103"/>
        <v>0.38620540940176207</v>
      </c>
      <c r="H290" s="533"/>
    </row>
    <row r="291" spans="1:8" ht="12.75">
      <c r="A291" s="282"/>
      <c r="B291" s="289" t="s">
        <v>111</v>
      </c>
      <c r="C291" s="691"/>
      <c r="D291" s="691"/>
      <c r="E291" s="691"/>
      <c r="F291" s="691"/>
      <c r="G291" s="741"/>
      <c r="H291" s="421"/>
    </row>
    <row r="292" spans="1:8" ht="12.75">
      <c r="A292" s="282"/>
      <c r="B292" s="289" t="s">
        <v>270</v>
      </c>
      <c r="C292" s="691"/>
      <c r="D292" s="691"/>
      <c r="E292" s="691"/>
      <c r="F292" s="691"/>
      <c r="G292" s="741"/>
      <c r="H292" s="421"/>
    </row>
    <row r="293" spans="1:8" ht="12.6" thickBot="1">
      <c r="A293" s="282"/>
      <c r="B293" s="406" t="s">
        <v>79</v>
      </c>
      <c r="C293" s="693"/>
      <c r="D293" s="693"/>
      <c r="E293" s="693"/>
      <c r="F293" s="693"/>
      <c r="G293" s="746"/>
      <c r="H293" s="390"/>
    </row>
    <row r="294" spans="1:8" ht="12.6" thickBot="1">
      <c r="A294" s="341"/>
      <c r="B294" s="409" t="s">
        <v>122</v>
      </c>
      <c r="C294" s="675">
        <f aca="true" t="shared" si="112" ref="C294">SUM(C288:C293)</f>
        <v>30000</v>
      </c>
      <c r="D294" s="675">
        <f aca="true" t="shared" si="113" ref="D294">SUM(D288:D293)</f>
        <v>32462</v>
      </c>
      <c r="E294" s="675">
        <f aca="true" t="shared" si="114" ref="E294:F294">SUM(E288:E293)</f>
        <v>32462</v>
      </c>
      <c r="F294" s="675">
        <f t="shared" si="114"/>
        <v>12537</v>
      </c>
      <c r="G294" s="743">
        <f t="shared" si="103"/>
        <v>0.38620540940176207</v>
      </c>
      <c r="H294" s="425"/>
    </row>
    <row r="295" spans="1:8" ht="12">
      <c r="A295" s="72">
        <v>3209</v>
      </c>
      <c r="B295" s="361" t="s">
        <v>69</v>
      </c>
      <c r="C295" s="347"/>
      <c r="D295" s="347"/>
      <c r="E295" s="347"/>
      <c r="F295" s="347"/>
      <c r="G295" s="394"/>
      <c r="H295" s="420"/>
    </row>
    <row r="296" spans="1:8" ht="12">
      <c r="A296" s="72"/>
      <c r="B296" s="352" t="s">
        <v>106</v>
      </c>
      <c r="C296" s="971">
        <v>1000</v>
      </c>
      <c r="D296" s="971">
        <f>1000+200</f>
        <v>1200</v>
      </c>
      <c r="E296" s="971">
        <v>0</v>
      </c>
      <c r="F296" s="971">
        <v>0</v>
      </c>
      <c r="G296" s="744"/>
      <c r="H296" s="395"/>
    </row>
    <row r="297" spans="1:8" ht="12">
      <c r="A297" s="72"/>
      <c r="B297" s="176" t="s">
        <v>274</v>
      </c>
      <c r="C297" s="971">
        <v>500</v>
      </c>
      <c r="D297" s="971">
        <f>500+35</f>
        <v>535</v>
      </c>
      <c r="E297" s="971">
        <v>0</v>
      </c>
      <c r="F297" s="971">
        <v>0</v>
      </c>
      <c r="G297" s="741"/>
      <c r="H297" s="533"/>
    </row>
    <row r="298" spans="1:8" ht="12">
      <c r="A298" s="72"/>
      <c r="B298" s="352" t="s">
        <v>263</v>
      </c>
      <c r="C298" s="971">
        <v>2000</v>
      </c>
      <c r="D298" s="971">
        <f>2000+400</f>
        <v>2400</v>
      </c>
      <c r="E298" s="971">
        <v>5135</v>
      </c>
      <c r="F298" s="971">
        <v>4983</v>
      </c>
      <c r="G298" s="741">
        <f t="shared" si="103"/>
        <v>0.9703992210321324</v>
      </c>
      <c r="H298" s="533"/>
    </row>
    <row r="299" spans="1:8" ht="12">
      <c r="A299" s="72"/>
      <c r="B299" s="447" t="s">
        <v>111</v>
      </c>
      <c r="C299" s="971"/>
      <c r="D299" s="971"/>
      <c r="E299" s="971"/>
      <c r="F299" s="971"/>
      <c r="G299" s="741"/>
      <c r="H299" s="436"/>
    </row>
    <row r="300" spans="1:8" ht="12">
      <c r="A300" s="72"/>
      <c r="B300" s="447" t="s">
        <v>270</v>
      </c>
      <c r="C300" s="971">
        <v>1500</v>
      </c>
      <c r="D300" s="971">
        <f>1500+100</f>
        <v>1600</v>
      </c>
      <c r="E300" s="971">
        <v>600</v>
      </c>
      <c r="F300" s="971"/>
      <c r="G300" s="741">
        <f t="shared" si="103"/>
        <v>0</v>
      </c>
      <c r="H300" s="395"/>
    </row>
    <row r="301" spans="1:8" ht="12">
      <c r="A301" s="72"/>
      <c r="B301" s="406" t="s">
        <v>233</v>
      </c>
      <c r="C301" s="971"/>
      <c r="D301" s="971">
        <v>312</v>
      </c>
      <c r="E301" s="971">
        <v>312</v>
      </c>
      <c r="F301" s="971">
        <v>312</v>
      </c>
      <c r="G301" s="741">
        <f t="shared" si="103"/>
        <v>1</v>
      </c>
      <c r="H301" s="395"/>
    </row>
    <row r="302" spans="1:8" ht="12.6" thickBot="1">
      <c r="A302" s="72"/>
      <c r="B302" s="652" t="s">
        <v>251</v>
      </c>
      <c r="C302" s="975"/>
      <c r="D302" s="975"/>
      <c r="E302" s="975"/>
      <c r="F302" s="975"/>
      <c r="G302" s="746"/>
      <c r="H302" s="439"/>
    </row>
    <row r="303" spans="1:8" ht="12.6" thickBot="1">
      <c r="A303" s="359"/>
      <c r="B303" s="409" t="s">
        <v>122</v>
      </c>
      <c r="C303" s="973">
        <f aca="true" t="shared" si="115" ref="C303">SUM(C296:C302)</f>
        <v>5000</v>
      </c>
      <c r="D303" s="973">
        <f aca="true" t="shared" si="116" ref="D303">SUM(D296:D302)</f>
        <v>6047</v>
      </c>
      <c r="E303" s="973">
        <f aca="true" t="shared" si="117" ref="E303:F303">SUM(E296:E302)</f>
        <v>6047</v>
      </c>
      <c r="F303" s="973">
        <f t="shared" si="117"/>
        <v>5295</v>
      </c>
      <c r="G303" s="743">
        <f t="shared" si="103"/>
        <v>0.8756408136265917</v>
      </c>
      <c r="H303" s="425"/>
    </row>
    <row r="304" spans="1:8" ht="12">
      <c r="A304" s="339"/>
      <c r="B304" s="358" t="s">
        <v>83</v>
      </c>
      <c r="C304" s="699">
        <f>SUM(C312+C322+C332+C340+C348)</f>
        <v>2537471</v>
      </c>
      <c r="D304" s="690">
        <f>SUM(D312+D322+D332+D340+D348)</f>
        <v>2891728</v>
      </c>
      <c r="E304" s="690">
        <f>SUM(E312+E322+E332+E340+E348)</f>
        <v>2901738</v>
      </c>
      <c r="F304" s="690">
        <f>SUM(F312+F322+F332+F340+F348)</f>
        <v>1833281</v>
      </c>
      <c r="G304" s="394">
        <f t="shared" si="103"/>
        <v>0.631787225449024</v>
      </c>
      <c r="H304" s="391"/>
    </row>
    <row r="305" spans="1:8" ht="12">
      <c r="A305" s="339">
        <v>3211</v>
      </c>
      <c r="B305" s="433" t="s">
        <v>559</v>
      </c>
      <c r="C305" s="347"/>
      <c r="D305" s="347"/>
      <c r="E305" s="347"/>
      <c r="F305" s="347"/>
      <c r="G305" s="394"/>
      <c r="H305" s="420"/>
    </row>
    <row r="306" spans="1:8" ht="12">
      <c r="A306" s="339"/>
      <c r="B306" s="352" t="s">
        <v>106</v>
      </c>
      <c r="C306" s="347"/>
      <c r="D306" s="347"/>
      <c r="E306" s="347"/>
      <c r="F306" s="347"/>
      <c r="G306" s="394"/>
      <c r="H306" s="395"/>
    </row>
    <row r="307" spans="1:8" ht="12">
      <c r="A307" s="339"/>
      <c r="B307" s="176" t="s">
        <v>274</v>
      </c>
      <c r="C307" s="347"/>
      <c r="D307" s="347"/>
      <c r="E307" s="347"/>
      <c r="F307" s="347"/>
      <c r="G307" s="394"/>
      <c r="H307" s="750"/>
    </row>
    <row r="308" spans="1:8" ht="12">
      <c r="A308" s="339"/>
      <c r="B308" s="352" t="s">
        <v>263</v>
      </c>
      <c r="C308" s="971">
        <v>786765</v>
      </c>
      <c r="D308" s="971">
        <v>936631</v>
      </c>
      <c r="E308" s="971">
        <f>936631+10</f>
        <v>936641</v>
      </c>
      <c r="F308" s="971">
        <v>584673</v>
      </c>
      <c r="G308" s="741">
        <f t="shared" si="103"/>
        <v>0.6242231548693683</v>
      </c>
      <c r="H308" s="750" t="s">
        <v>560</v>
      </c>
    </row>
    <row r="309" spans="1:8" ht="12">
      <c r="A309" s="339"/>
      <c r="B309" s="447" t="s">
        <v>111</v>
      </c>
      <c r="C309" s="971"/>
      <c r="D309" s="971"/>
      <c r="E309" s="971"/>
      <c r="F309" s="971"/>
      <c r="G309" s="394"/>
      <c r="H309" s="815"/>
    </row>
    <row r="310" spans="1:8" ht="12">
      <c r="A310" s="339"/>
      <c r="B310" s="447" t="s">
        <v>270</v>
      </c>
      <c r="C310" s="347"/>
      <c r="D310" s="347"/>
      <c r="E310" s="347"/>
      <c r="F310" s="347"/>
      <c r="G310" s="394"/>
      <c r="H310" s="534"/>
    </row>
    <row r="311" spans="1:8" ht="12.6" thickBot="1">
      <c r="A311" s="72"/>
      <c r="B311" s="406" t="s">
        <v>79</v>
      </c>
      <c r="C311" s="972"/>
      <c r="D311" s="972"/>
      <c r="E311" s="972"/>
      <c r="F311" s="972"/>
      <c r="G311" s="742"/>
      <c r="H311" s="534"/>
    </row>
    <row r="312" spans="1:8" ht="12.6" thickBot="1">
      <c r="A312" s="72"/>
      <c r="B312" s="409" t="s">
        <v>122</v>
      </c>
      <c r="C312" s="973">
        <f aca="true" t="shared" si="118" ref="C312">SUM(C308:C311)</f>
        <v>786765</v>
      </c>
      <c r="D312" s="973">
        <f aca="true" t="shared" si="119" ref="D312">SUM(D308:D311)</f>
        <v>936631</v>
      </c>
      <c r="E312" s="973">
        <f aca="true" t="shared" si="120" ref="E312:F312">SUM(E308:E311)</f>
        <v>936641</v>
      </c>
      <c r="F312" s="973">
        <f t="shared" si="120"/>
        <v>584673</v>
      </c>
      <c r="G312" s="743">
        <f t="shared" si="103"/>
        <v>0.6242231548693683</v>
      </c>
      <c r="H312" s="425"/>
    </row>
    <row r="313" spans="1:8" ht="12.6" thickBot="1">
      <c r="A313" s="72"/>
      <c r="B313" s="918" t="s">
        <v>603</v>
      </c>
      <c r="C313" s="974" t="s">
        <v>601</v>
      </c>
      <c r="D313" s="974" t="s">
        <v>601</v>
      </c>
      <c r="E313" s="974" t="s">
        <v>601</v>
      </c>
      <c r="F313" s="974" t="s">
        <v>601</v>
      </c>
      <c r="G313" s="919"/>
      <c r="H313" s="425"/>
    </row>
    <row r="314" spans="1:8" ht="12.6" thickBot="1">
      <c r="A314" s="359"/>
      <c r="B314" s="409" t="s">
        <v>600</v>
      </c>
      <c r="C314" s="675">
        <f>SUM(C312:C313)</f>
        <v>786765</v>
      </c>
      <c r="D314" s="675">
        <f>SUM(D312:D313)</f>
        <v>936631</v>
      </c>
      <c r="E314" s="675">
        <f>SUM(E312:E313)</f>
        <v>936641</v>
      </c>
      <c r="F314" s="675">
        <f>SUM(F312:F313)</f>
        <v>584673</v>
      </c>
      <c r="G314" s="743">
        <f t="shared" si="103"/>
        <v>0.6242231548693683</v>
      </c>
      <c r="H314" s="425"/>
    </row>
    <row r="315" spans="1:8" ht="12">
      <c r="A315" s="339">
        <v>3212</v>
      </c>
      <c r="B315" s="433" t="s">
        <v>386</v>
      </c>
      <c r="C315" s="347"/>
      <c r="D315" s="347"/>
      <c r="E315" s="347"/>
      <c r="F315" s="347"/>
      <c r="G315" s="394"/>
      <c r="H315" s="420"/>
    </row>
    <row r="316" spans="1:8" ht="12">
      <c r="A316" s="339"/>
      <c r="B316" s="352" t="s">
        <v>106</v>
      </c>
      <c r="C316" s="971"/>
      <c r="D316" s="971"/>
      <c r="E316" s="971"/>
      <c r="F316" s="971"/>
      <c r="G316" s="394"/>
      <c r="H316" s="395"/>
    </row>
    <row r="317" spans="1:8" ht="12">
      <c r="A317" s="339"/>
      <c r="B317" s="176" t="s">
        <v>274</v>
      </c>
      <c r="C317" s="971"/>
      <c r="D317" s="971"/>
      <c r="E317" s="971"/>
      <c r="F317" s="971"/>
      <c r="G317" s="394"/>
      <c r="H317" s="534" t="s">
        <v>514</v>
      </c>
    </row>
    <row r="318" spans="1:8" ht="12">
      <c r="A318" s="339"/>
      <c r="B318" s="352" t="s">
        <v>263</v>
      </c>
      <c r="C318" s="971">
        <v>967863</v>
      </c>
      <c r="D318" s="971">
        <v>1064279</v>
      </c>
      <c r="E318" s="971">
        <v>1064279</v>
      </c>
      <c r="F318" s="971">
        <v>618201</v>
      </c>
      <c r="G318" s="744">
        <f t="shared" si="103"/>
        <v>0.5808636645090244</v>
      </c>
      <c r="H318" s="534" t="s">
        <v>515</v>
      </c>
    </row>
    <row r="319" spans="1:8" ht="12">
      <c r="A319" s="339"/>
      <c r="B319" s="447" t="s">
        <v>111</v>
      </c>
      <c r="C319" s="971"/>
      <c r="D319" s="971"/>
      <c r="E319" s="971"/>
      <c r="F319" s="971"/>
      <c r="G319" s="741"/>
      <c r="H319" s="815" t="s">
        <v>525</v>
      </c>
    </row>
    <row r="320" spans="1:8" ht="12">
      <c r="A320" s="339"/>
      <c r="B320" s="447" t="s">
        <v>270</v>
      </c>
      <c r="C320" s="347"/>
      <c r="D320" s="347"/>
      <c r="E320" s="347"/>
      <c r="F320" s="347"/>
      <c r="G320" s="741"/>
      <c r="H320" s="436"/>
    </row>
    <row r="321" spans="1:8" ht="12.6" thickBot="1">
      <c r="A321" s="339"/>
      <c r="B321" s="406" t="s">
        <v>79</v>
      </c>
      <c r="C321" s="972"/>
      <c r="D321" s="972"/>
      <c r="E321" s="972"/>
      <c r="F321" s="972"/>
      <c r="G321" s="746"/>
      <c r="H321" s="423"/>
    </row>
    <row r="322" spans="1:8" ht="12.6" thickBot="1">
      <c r="A322" s="72"/>
      <c r="B322" s="409" t="s">
        <v>122</v>
      </c>
      <c r="C322" s="973">
        <f aca="true" t="shared" si="121" ref="C322">SUM(C316:C321)</f>
        <v>967863</v>
      </c>
      <c r="D322" s="973">
        <f aca="true" t="shared" si="122" ref="D322">SUM(D316:D321)</f>
        <v>1064279</v>
      </c>
      <c r="E322" s="973">
        <f aca="true" t="shared" si="123" ref="E322:F322">SUM(E316:E321)</f>
        <v>1064279</v>
      </c>
      <c r="F322" s="973">
        <f t="shared" si="123"/>
        <v>618201</v>
      </c>
      <c r="G322" s="743">
        <f t="shared" si="103"/>
        <v>0.5808636645090244</v>
      </c>
      <c r="H322" s="425"/>
    </row>
    <row r="323" spans="1:8" ht="12.6" thickBot="1">
      <c r="A323" s="72"/>
      <c r="B323" s="918" t="s">
        <v>602</v>
      </c>
      <c r="C323" s="974" t="s">
        <v>601</v>
      </c>
      <c r="D323" s="974" t="s">
        <v>601</v>
      </c>
      <c r="E323" s="974" t="s">
        <v>601</v>
      </c>
      <c r="F323" s="974" t="s">
        <v>601</v>
      </c>
      <c r="G323" s="743"/>
      <c r="H323" s="425"/>
    </row>
    <row r="324" spans="1:8" ht="12.6" thickBot="1">
      <c r="A324" s="359"/>
      <c r="B324" s="409" t="s">
        <v>599</v>
      </c>
      <c r="C324" s="675">
        <f>SUM(C322:C323)</f>
        <v>967863</v>
      </c>
      <c r="D324" s="675">
        <f>SUM(D322:D323)</f>
        <v>1064279</v>
      </c>
      <c r="E324" s="675">
        <f>SUM(E322:E323)</f>
        <v>1064279</v>
      </c>
      <c r="F324" s="675">
        <f>SUM(F322:F323)</f>
        <v>618201</v>
      </c>
      <c r="G324" s="743">
        <f t="shared" si="103"/>
        <v>0.5808636645090244</v>
      </c>
      <c r="H324" s="425"/>
    </row>
    <row r="325" spans="1:8" ht="12">
      <c r="A325" s="339">
        <v>3213</v>
      </c>
      <c r="B325" s="362" t="s">
        <v>566</v>
      </c>
      <c r="C325" s="690"/>
      <c r="D325" s="690"/>
      <c r="E325" s="690"/>
      <c r="F325" s="690"/>
      <c r="G325" s="394"/>
      <c r="H325" s="420"/>
    </row>
    <row r="326" spans="1:8" ht="12">
      <c r="A326" s="339"/>
      <c r="B326" s="352" t="s">
        <v>106</v>
      </c>
      <c r="C326" s="690"/>
      <c r="D326" s="690"/>
      <c r="E326" s="690"/>
      <c r="F326" s="690"/>
      <c r="G326" s="394"/>
      <c r="H326" s="395"/>
    </row>
    <row r="327" spans="1:8" ht="12">
      <c r="A327" s="339"/>
      <c r="B327" s="176" t="s">
        <v>274</v>
      </c>
      <c r="C327" s="690"/>
      <c r="D327" s="690"/>
      <c r="E327" s="690"/>
      <c r="F327" s="690"/>
      <c r="G327" s="744"/>
      <c r="H327" s="534"/>
    </row>
    <row r="328" spans="1:8" ht="12">
      <c r="A328" s="339"/>
      <c r="B328" s="352" t="s">
        <v>263</v>
      </c>
      <c r="C328" s="667">
        <v>490000</v>
      </c>
      <c r="D328" s="667">
        <f>490000+4170</f>
        <v>494170</v>
      </c>
      <c r="E328" s="667">
        <f>490000+4170</f>
        <v>494170</v>
      </c>
      <c r="F328" s="667">
        <v>361755</v>
      </c>
      <c r="G328" s="741">
        <f t="shared" si="103"/>
        <v>0.7320456523058866</v>
      </c>
      <c r="H328" s="436"/>
    </row>
    <row r="329" spans="1:8" ht="12">
      <c r="A329" s="339"/>
      <c r="B329" s="447" t="s">
        <v>111</v>
      </c>
      <c r="C329" s="667"/>
      <c r="D329" s="667"/>
      <c r="E329" s="667"/>
      <c r="F329" s="667"/>
      <c r="G329" s="741"/>
      <c r="H329" s="436"/>
    </row>
    <row r="330" spans="1:8" ht="12">
      <c r="A330" s="339"/>
      <c r="B330" s="447" t="s">
        <v>270</v>
      </c>
      <c r="C330" s="690"/>
      <c r="D330" s="690"/>
      <c r="E330" s="690"/>
      <c r="F330" s="690"/>
      <c r="G330" s="741"/>
      <c r="H330" s="395"/>
    </row>
    <row r="331" spans="1:8" ht="12.6" thickBot="1">
      <c r="A331" s="339"/>
      <c r="B331" s="406" t="s">
        <v>79</v>
      </c>
      <c r="C331" s="678"/>
      <c r="D331" s="678"/>
      <c r="E331" s="678"/>
      <c r="F331" s="678"/>
      <c r="G331" s="746"/>
      <c r="H331" s="423"/>
    </row>
    <row r="332" spans="1:8" ht="12.6" thickBot="1">
      <c r="A332" s="359"/>
      <c r="B332" s="409" t="s">
        <v>122</v>
      </c>
      <c r="C332" s="675">
        <f aca="true" t="shared" si="124" ref="C332">SUM(C328:C331)</f>
        <v>490000</v>
      </c>
      <c r="D332" s="675">
        <f aca="true" t="shared" si="125" ref="D332">SUM(D328:D331)</f>
        <v>494170</v>
      </c>
      <c r="E332" s="675">
        <f aca="true" t="shared" si="126" ref="E332:F332">SUM(E328:E331)</f>
        <v>494170</v>
      </c>
      <c r="F332" s="675">
        <f t="shared" si="126"/>
        <v>361755</v>
      </c>
      <c r="G332" s="743">
        <f aca="true" t="shared" si="127" ref="G332:G393">SUM(F332/E332)</f>
        <v>0.7320456523058866</v>
      </c>
      <c r="H332" s="439"/>
    </row>
    <row r="333" spans="1:8" ht="12">
      <c r="A333" s="396">
        <v>3216</v>
      </c>
      <c r="B333" s="429" t="s">
        <v>32</v>
      </c>
      <c r="C333" s="687"/>
      <c r="D333" s="687"/>
      <c r="E333" s="687"/>
      <c r="F333" s="687"/>
      <c r="G333" s="394"/>
      <c r="H333" s="450"/>
    </row>
    <row r="334" spans="1:8" ht="12">
      <c r="A334" s="396"/>
      <c r="B334" s="404" t="s">
        <v>106</v>
      </c>
      <c r="C334" s="687"/>
      <c r="D334" s="687"/>
      <c r="E334" s="687"/>
      <c r="F334" s="687"/>
      <c r="G334" s="394"/>
      <c r="H334" s="451"/>
    </row>
    <row r="335" spans="1:8" ht="12">
      <c r="A335" s="396"/>
      <c r="B335" s="403" t="s">
        <v>274</v>
      </c>
      <c r="C335" s="687"/>
      <c r="D335" s="687"/>
      <c r="E335" s="687"/>
      <c r="F335" s="687"/>
      <c r="G335" s="394"/>
      <c r="H335" s="811" t="s">
        <v>482</v>
      </c>
    </row>
    <row r="336" spans="1:8" ht="12">
      <c r="A336" s="396"/>
      <c r="B336" s="404" t="s">
        <v>263</v>
      </c>
      <c r="C336" s="686">
        <v>200160</v>
      </c>
      <c r="D336" s="686">
        <f>200160+88126+15679</f>
        <v>303965</v>
      </c>
      <c r="E336" s="686">
        <f>200160+88126+15679+10000</f>
        <v>313965</v>
      </c>
      <c r="F336" s="686">
        <v>222310</v>
      </c>
      <c r="G336" s="744">
        <f t="shared" si="127"/>
        <v>0.708072555858137</v>
      </c>
      <c r="H336" s="624" t="s">
        <v>511</v>
      </c>
    </row>
    <row r="337" spans="1:8" ht="12">
      <c r="A337" s="396"/>
      <c r="B337" s="453" t="s">
        <v>111</v>
      </c>
      <c r="C337" s="686"/>
      <c r="D337" s="686"/>
      <c r="E337" s="686"/>
      <c r="F337" s="686"/>
      <c r="G337" s="741"/>
      <c r="H337" s="537"/>
    </row>
    <row r="338" spans="1:8" ht="12">
      <c r="A338" s="396"/>
      <c r="B338" s="447" t="s">
        <v>270</v>
      </c>
      <c r="C338" s="686"/>
      <c r="D338" s="686"/>
      <c r="E338" s="686"/>
      <c r="F338" s="686"/>
      <c r="G338" s="741"/>
      <c r="H338" s="815" t="s">
        <v>525</v>
      </c>
    </row>
    <row r="339" spans="1:8" ht="12.6" thickBot="1">
      <c r="A339" s="396"/>
      <c r="B339" s="406" t="s">
        <v>233</v>
      </c>
      <c r="C339" s="696"/>
      <c r="D339" s="696"/>
      <c r="E339" s="696"/>
      <c r="F339" s="696"/>
      <c r="G339" s="746"/>
      <c r="H339" s="454"/>
    </row>
    <row r="340" spans="1:8" ht="12.6" thickBot="1">
      <c r="A340" s="417"/>
      <c r="B340" s="409" t="s">
        <v>122</v>
      </c>
      <c r="C340" s="677">
        <f aca="true" t="shared" si="128" ref="C340">SUM(C336:C339)</f>
        <v>200160</v>
      </c>
      <c r="D340" s="677">
        <f aca="true" t="shared" si="129" ref="D340">SUM(D336:D339)</f>
        <v>303965</v>
      </c>
      <c r="E340" s="677">
        <f aca="true" t="shared" si="130" ref="E340:F340">SUM(E336:E339)</f>
        <v>313965</v>
      </c>
      <c r="F340" s="677">
        <f t="shared" si="130"/>
        <v>222310</v>
      </c>
      <c r="G340" s="743">
        <f t="shared" si="127"/>
        <v>0.708072555858137</v>
      </c>
      <c r="H340" s="455"/>
    </row>
    <row r="341" spans="1:8" ht="12">
      <c r="A341" s="396">
        <v>3217</v>
      </c>
      <c r="B341" s="429" t="s">
        <v>597</v>
      </c>
      <c r="C341" s="687"/>
      <c r="D341" s="687"/>
      <c r="E341" s="687"/>
      <c r="F341" s="687"/>
      <c r="G341" s="394"/>
      <c r="H341" s="450"/>
    </row>
    <row r="342" spans="1:8" ht="12">
      <c r="A342" s="396"/>
      <c r="B342" s="404" t="s">
        <v>106</v>
      </c>
      <c r="C342" s="687"/>
      <c r="D342" s="687"/>
      <c r="E342" s="687"/>
      <c r="F342" s="687"/>
      <c r="G342" s="394"/>
      <c r="H342" s="451"/>
    </row>
    <row r="343" spans="1:8" ht="12">
      <c r="A343" s="396"/>
      <c r="B343" s="403" t="s">
        <v>274</v>
      </c>
      <c r="C343" s="687"/>
      <c r="D343" s="687"/>
      <c r="E343" s="687"/>
      <c r="F343" s="687"/>
      <c r="G343" s="394"/>
      <c r="H343" s="811" t="s">
        <v>482</v>
      </c>
    </row>
    <row r="344" spans="1:8" ht="12">
      <c r="A344" s="396"/>
      <c r="B344" s="404" t="s">
        <v>263</v>
      </c>
      <c r="C344" s="686">
        <v>92683</v>
      </c>
      <c r="D344" s="686">
        <v>92683</v>
      </c>
      <c r="E344" s="686">
        <v>92683</v>
      </c>
      <c r="F344" s="686">
        <v>46342</v>
      </c>
      <c r="G344" s="744">
        <f t="shared" si="127"/>
        <v>0.5000053947325831</v>
      </c>
      <c r="H344" s="624" t="s">
        <v>511</v>
      </c>
    </row>
    <row r="345" spans="1:8" ht="12">
      <c r="A345" s="396"/>
      <c r="B345" s="453" t="s">
        <v>111</v>
      </c>
      <c r="C345" s="686"/>
      <c r="D345" s="686"/>
      <c r="E345" s="686"/>
      <c r="F345" s="686"/>
      <c r="G345" s="741"/>
      <c r="H345" s="537"/>
    </row>
    <row r="346" spans="1:8" ht="12">
      <c r="A346" s="396"/>
      <c r="B346" s="447" t="s">
        <v>270</v>
      </c>
      <c r="C346" s="686"/>
      <c r="D346" s="686"/>
      <c r="E346" s="686"/>
      <c r="F346" s="686"/>
      <c r="G346" s="741"/>
      <c r="H346" s="815" t="s">
        <v>525</v>
      </c>
    </row>
    <row r="347" spans="1:8" ht="12.6" thickBot="1">
      <c r="A347" s="396"/>
      <c r="B347" s="406" t="s">
        <v>233</v>
      </c>
      <c r="C347" s="696"/>
      <c r="D347" s="696"/>
      <c r="E347" s="696"/>
      <c r="F347" s="696"/>
      <c r="G347" s="746"/>
      <c r="H347" s="454"/>
    </row>
    <row r="348" spans="1:8" ht="12.6" thickBot="1">
      <c r="A348" s="417"/>
      <c r="B348" s="409" t="s">
        <v>122</v>
      </c>
      <c r="C348" s="677">
        <f aca="true" t="shared" si="131" ref="C348">SUM(C344:C347)</f>
        <v>92683</v>
      </c>
      <c r="D348" s="677">
        <f aca="true" t="shared" si="132" ref="D348">SUM(D344:D347)</f>
        <v>92683</v>
      </c>
      <c r="E348" s="677">
        <f aca="true" t="shared" si="133" ref="E348:F348">SUM(E344:E347)</f>
        <v>92683</v>
      </c>
      <c r="F348" s="677">
        <f t="shared" si="133"/>
        <v>46342</v>
      </c>
      <c r="G348" s="743">
        <f t="shared" si="127"/>
        <v>0.5000053947325831</v>
      </c>
      <c r="H348" s="455"/>
    </row>
    <row r="349" spans="1:8" ht="12.6" thickBot="1">
      <c r="A349" s="339">
        <v>3220</v>
      </c>
      <c r="B349" s="355" t="s">
        <v>340</v>
      </c>
      <c r="C349" s="675">
        <f>SUM(C367+C358)</f>
        <v>27469</v>
      </c>
      <c r="D349" s="675">
        <f>SUM(D367+D358)</f>
        <v>31969</v>
      </c>
      <c r="E349" s="675">
        <f>SUM(E367+E358)</f>
        <v>32969</v>
      </c>
      <c r="F349" s="675">
        <f>SUM(F367+F358)</f>
        <v>4505</v>
      </c>
      <c r="G349" s="743">
        <f t="shared" si="127"/>
        <v>0.13664351360368832</v>
      </c>
      <c r="H349" s="425"/>
    </row>
    <row r="350" spans="1:8" ht="12">
      <c r="A350" s="339">
        <v>3221</v>
      </c>
      <c r="B350" s="361" t="s">
        <v>579</v>
      </c>
      <c r="C350" s="699"/>
      <c r="D350" s="690"/>
      <c r="E350" s="690"/>
      <c r="F350" s="690"/>
      <c r="G350" s="394"/>
      <c r="H350" s="391"/>
    </row>
    <row r="351" spans="1:8" ht="12">
      <c r="A351" s="339"/>
      <c r="B351" s="351" t="s">
        <v>106</v>
      </c>
      <c r="C351" s="667"/>
      <c r="D351" s="667"/>
      <c r="E351" s="667"/>
      <c r="F351" s="667"/>
      <c r="G351" s="394"/>
      <c r="H351" s="420"/>
    </row>
    <row r="352" spans="1:8" ht="12">
      <c r="A352" s="339"/>
      <c r="B352" s="176" t="s">
        <v>274</v>
      </c>
      <c r="C352" s="667"/>
      <c r="D352" s="667"/>
      <c r="E352" s="667"/>
      <c r="F352" s="667"/>
      <c r="G352" s="394"/>
      <c r="H352" s="533"/>
    </row>
    <row r="353" spans="1:8" ht="12">
      <c r="A353" s="339"/>
      <c r="B353" s="352" t="s">
        <v>263</v>
      </c>
      <c r="C353" s="667">
        <v>19324</v>
      </c>
      <c r="D353" s="667">
        <v>19324</v>
      </c>
      <c r="E353" s="667">
        <v>19324</v>
      </c>
      <c r="F353" s="667"/>
      <c r="G353" s="835">
        <f t="shared" si="127"/>
        <v>0</v>
      </c>
      <c r="H353" s="436"/>
    </row>
    <row r="354" spans="1:8" ht="12">
      <c r="A354" s="339"/>
      <c r="B354" s="289" t="s">
        <v>111</v>
      </c>
      <c r="C354" s="667"/>
      <c r="D354" s="667"/>
      <c r="E354" s="667"/>
      <c r="F354" s="667"/>
      <c r="G354" s="394"/>
      <c r="H354" s="436"/>
    </row>
    <row r="355" spans="1:8" ht="12">
      <c r="A355" s="339"/>
      <c r="B355" s="289" t="s">
        <v>270</v>
      </c>
      <c r="C355" s="690"/>
      <c r="D355" s="690"/>
      <c r="E355" s="690"/>
      <c r="F355" s="690"/>
      <c r="G355" s="394"/>
      <c r="H355" s="395"/>
    </row>
    <row r="356" spans="1:8" ht="12">
      <c r="A356" s="339"/>
      <c r="B356" s="289" t="s">
        <v>576</v>
      </c>
      <c r="C356" s="698"/>
      <c r="D356" s="667"/>
      <c r="E356" s="667"/>
      <c r="F356" s="667"/>
      <c r="G356" s="394"/>
      <c r="H356" s="909"/>
    </row>
    <row r="357" spans="1:8" ht="12.6" thickBot="1">
      <c r="A357" s="339"/>
      <c r="B357" s="406" t="s">
        <v>251</v>
      </c>
      <c r="C357" s="697"/>
      <c r="D357" s="697"/>
      <c r="E357" s="697"/>
      <c r="F357" s="697"/>
      <c r="G357" s="836"/>
      <c r="H357" s="423"/>
    </row>
    <row r="358" spans="1:8" ht="12.6" thickBot="1">
      <c r="A358" s="359"/>
      <c r="B358" s="409" t="s">
        <v>122</v>
      </c>
      <c r="C358" s="675">
        <f aca="true" t="shared" si="134" ref="C358">SUM(C351:C357)</f>
        <v>19324</v>
      </c>
      <c r="D358" s="675">
        <f aca="true" t="shared" si="135" ref="D358">SUM(D351:D357)</f>
        <v>19324</v>
      </c>
      <c r="E358" s="675">
        <f aca="true" t="shared" si="136" ref="E358:F358">SUM(E351:E357)</f>
        <v>19324</v>
      </c>
      <c r="F358" s="675">
        <f t="shared" si="136"/>
        <v>0</v>
      </c>
      <c r="G358" s="743">
        <f t="shared" si="127"/>
        <v>0</v>
      </c>
      <c r="H358" s="425"/>
    </row>
    <row r="359" spans="1:8" ht="12">
      <c r="A359" s="339">
        <v>3223</v>
      </c>
      <c r="B359" s="361" t="s">
        <v>72</v>
      </c>
      <c r="C359" s="690"/>
      <c r="D359" s="690"/>
      <c r="E359" s="690"/>
      <c r="F359" s="690"/>
      <c r="G359" s="394"/>
      <c r="H359" s="391"/>
    </row>
    <row r="360" spans="1:8" ht="12">
      <c r="A360" s="339"/>
      <c r="B360" s="351" t="s">
        <v>106</v>
      </c>
      <c r="C360" s="667"/>
      <c r="D360" s="667"/>
      <c r="E360" s="667"/>
      <c r="F360" s="667"/>
      <c r="G360" s="394"/>
      <c r="H360" s="420"/>
    </row>
    <row r="361" spans="1:8" ht="12">
      <c r="A361" s="339"/>
      <c r="B361" s="176" t="s">
        <v>274</v>
      </c>
      <c r="C361" s="667"/>
      <c r="D361" s="667"/>
      <c r="E361" s="667"/>
      <c r="F361" s="667"/>
      <c r="G361" s="394"/>
      <c r="H361" s="533"/>
    </row>
    <row r="362" spans="1:8" ht="12">
      <c r="A362" s="339"/>
      <c r="B362" s="352" t="s">
        <v>263</v>
      </c>
      <c r="C362" s="667">
        <v>1000</v>
      </c>
      <c r="D362" s="667">
        <v>1000</v>
      </c>
      <c r="E362" s="667">
        <f>1000+1000+3150</f>
        <v>5150</v>
      </c>
      <c r="F362" s="667">
        <v>5</v>
      </c>
      <c r="G362" s="744">
        <f t="shared" si="127"/>
        <v>0.000970873786407767</v>
      </c>
      <c r="H362" s="436"/>
    </row>
    <row r="363" spans="1:8" ht="12">
      <c r="A363" s="339"/>
      <c r="B363" s="289" t="s">
        <v>111</v>
      </c>
      <c r="C363" s="667"/>
      <c r="D363" s="667"/>
      <c r="E363" s="667"/>
      <c r="F363" s="667"/>
      <c r="G363" s="741"/>
      <c r="H363" s="436"/>
    </row>
    <row r="364" spans="1:8" ht="12">
      <c r="A364" s="339"/>
      <c r="B364" s="289" t="s">
        <v>270</v>
      </c>
      <c r="C364" s="690"/>
      <c r="D364" s="690"/>
      <c r="E364" s="690"/>
      <c r="F364" s="690"/>
      <c r="G364" s="741"/>
      <c r="H364" s="395"/>
    </row>
    <row r="365" spans="1:8" ht="12">
      <c r="A365" s="339"/>
      <c r="B365" s="289" t="s">
        <v>576</v>
      </c>
      <c r="C365" s="698">
        <v>1945</v>
      </c>
      <c r="D365" s="667">
        <v>1945</v>
      </c>
      <c r="E365" s="667">
        <v>1945</v>
      </c>
      <c r="F365" s="667"/>
      <c r="G365" s="741">
        <f t="shared" si="127"/>
        <v>0</v>
      </c>
      <c r="H365" s="909"/>
    </row>
    <row r="366" spans="1:8" ht="12.6" thickBot="1">
      <c r="A366" s="339"/>
      <c r="B366" s="406" t="s">
        <v>251</v>
      </c>
      <c r="C366" s="697">
        <v>5200</v>
      </c>
      <c r="D366" s="697">
        <f>5200+4500</f>
        <v>9700</v>
      </c>
      <c r="E366" s="697">
        <f>9700-3150</f>
        <v>6550</v>
      </c>
      <c r="F366" s="697">
        <v>4500</v>
      </c>
      <c r="G366" s="746">
        <f t="shared" si="127"/>
        <v>0.6870229007633588</v>
      </c>
      <c r="H366" s="423"/>
    </row>
    <row r="367" spans="1:8" ht="12.6" thickBot="1">
      <c r="A367" s="359"/>
      <c r="B367" s="409" t="s">
        <v>122</v>
      </c>
      <c r="C367" s="675">
        <f aca="true" t="shared" si="137" ref="C367">SUM(C360:C366)</f>
        <v>8145</v>
      </c>
      <c r="D367" s="675">
        <f aca="true" t="shared" si="138" ref="D367">SUM(D360:D366)</f>
        <v>12645</v>
      </c>
      <c r="E367" s="675">
        <f aca="true" t="shared" si="139" ref="E367:F367">SUM(E360:E366)</f>
        <v>13645</v>
      </c>
      <c r="F367" s="675">
        <f t="shared" si="139"/>
        <v>4505</v>
      </c>
      <c r="G367" s="743">
        <f t="shared" si="127"/>
        <v>0.3301575668743129</v>
      </c>
      <c r="H367" s="425"/>
    </row>
    <row r="368" spans="1:8" ht="12" customHeight="1" thickBot="1">
      <c r="A368" s="339">
        <v>3300</v>
      </c>
      <c r="B368" s="445" t="s">
        <v>45</v>
      </c>
      <c r="C368" s="675">
        <f>SUM(C376+C384+C411+C421+C430+C446+C454+C462+C479+C505+C513+C521+C562+C570+C579+C587+C595+C603+C611+C619+C627+C635+C652+C669+C677+C685+C693+C471+C487+C496+C530+C538+C546+C643)</f>
        <v>522407</v>
      </c>
      <c r="D368" s="675">
        <f>SUM(D376+D384+D411+D421+D430+D446+D454+D462+D479+D505+D513+D521+D562+D570+D579+D587+D595+D603+D611+D619+D627+D635+D652+D669+D677+D685+D693+D471+D487+D496+D530+D538+D546+D643)+D393+D402+D438</f>
        <v>602195</v>
      </c>
      <c r="E368" s="675">
        <f>SUM(E376+E384+E411+E421+E430+E446+E454+E462+E479+E505+E513+E521+E562+E570+E579+E587+E595+E603+E611+E619+E627+E635+E652+E669+E677+E685+E693+E471+E487+E496+E530+E538+E546+E643)+E393+E402+E438</f>
        <v>596844</v>
      </c>
      <c r="F368" s="675">
        <f>SUM(F376+F384+F411+F421+F430+F446+F454+F462+F479+F505+F513+F521+F562+F570+F579+F587+F595+F603+F611+F619+F627+F635+F652+F669+F677+F685+F693+F471+F487+F496+F530+F538+F546+F643)+F393+F402+F438</f>
        <v>350632</v>
      </c>
      <c r="G368" s="743">
        <f t="shared" si="127"/>
        <v>0.5874767946062958</v>
      </c>
      <c r="H368" s="456"/>
    </row>
    <row r="369" spans="1:8" ht="12" customHeight="1">
      <c r="A369" s="339">
        <v>3301</v>
      </c>
      <c r="B369" s="362" t="s">
        <v>136</v>
      </c>
      <c r="C369" s="690"/>
      <c r="D369" s="690"/>
      <c r="E369" s="690"/>
      <c r="F369" s="690"/>
      <c r="G369" s="394"/>
      <c r="H369" s="391" t="s">
        <v>493</v>
      </c>
    </row>
    <row r="370" spans="1:8" ht="12" customHeight="1">
      <c r="A370" s="72"/>
      <c r="B370" s="351" t="s">
        <v>106</v>
      </c>
      <c r="C370" s="667">
        <v>1000</v>
      </c>
      <c r="D370" s="667">
        <v>1000</v>
      </c>
      <c r="E370" s="667">
        <v>1000</v>
      </c>
      <c r="F370" s="667"/>
      <c r="G370" s="744">
        <f t="shared" si="127"/>
        <v>0</v>
      </c>
      <c r="H370" s="759" t="s">
        <v>492</v>
      </c>
    </row>
    <row r="371" spans="1:8" ht="12" customHeight="1">
      <c r="A371" s="72"/>
      <c r="B371" s="176" t="s">
        <v>274</v>
      </c>
      <c r="C371" s="667">
        <v>300</v>
      </c>
      <c r="D371" s="667">
        <v>300</v>
      </c>
      <c r="E371" s="667">
        <v>300</v>
      </c>
      <c r="F371" s="667"/>
      <c r="G371" s="741">
        <f t="shared" si="127"/>
        <v>0</v>
      </c>
      <c r="H371" s="436"/>
    </row>
    <row r="372" spans="1:8" ht="12" customHeight="1">
      <c r="A372" s="339"/>
      <c r="B372" s="352" t="s">
        <v>263</v>
      </c>
      <c r="C372" s="691">
        <v>4200</v>
      </c>
      <c r="D372" s="691">
        <f>4200+1900</f>
        <v>6100</v>
      </c>
      <c r="E372" s="691">
        <f>4200+1900</f>
        <v>6100</v>
      </c>
      <c r="F372" s="691">
        <v>900</v>
      </c>
      <c r="G372" s="741">
        <f t="shared" si="127"/>
        <v>0.14754098360655737</v>
      </c>
      <c r="H372" s="436"/>
    </row>
    <row r="373" spans="1:8" ht="12" customHeight="1">
      <c r="A373" s="339"/>
      <c r="B373" s="289" t="s">
        <v>111</v>
      </c>
      <c r="C373" s="691"/>
      <c r="D373" s="691"/>
      <c r="E373" s="691"/>
      <c r="F373" s="691"/>
      <c r="G373" s="741"/>
      <c r="H373" s="436"/>
    </row>
    <row r="374" spans="1:8" ht="12" customHeight="1">
      <c r="A374" s="72"/>
      <c r="B374" s="289" t="s">
        <v>270</v>
      </c>
      <c r="C374" s="667">
        <v>2500</v>
      </c>
      <c r="D374" s="667">
        <v>2500</v>
      </c>
      <c r="E374" s="667">
        <v>2500</v>
      </c>
      <c r="F374" s="667"/>
      <c r="G374" s="741">
        <f t="shared" si="127"/>
        <v>0</v>
      </c>
      <c r="H374" s="422"/>
    </row>
    <row r="375" spans="1:8" ht="12" customHeight="1" thickBot="1">
      <c r="A375" s="72"/>
      <c r="B375" s="406" t="s">
        <v>251</v>
      </c>
      <c r="C375" s="697"/>
      <c r="D375" s="697">
        <v>2560</v>
      </c>
      <c r="E375" s="697">
        <v>2560</v>
      </c>
      <c r="F375" s="697">
        <v>6771</v>
      </c>
      <c r="G375" s="746">
        <f t="shared" si="127"/>
        <v>2.644921875</v>
      </c>
      <c r="H375" s="457"/>
    </row>
    <row r="376" spans="1:8" ht="13.5" customHeight="1" thickBot="1">
      <c r="A376" s="359"/>
      <c r="B376" s="409" t="s">
        <v>122</v>
      </c>
      <c r="C376" s="675">
        <f aca="true" t="shared" si="140" ref="C376">SUM(C370:C375)</f>
        <v>8000</v>
      </c>
      <c r="D376" s="678">
        <f aca="true" t="shared" si="141" ref="D376">SUM(D370:D375)</f>
        <v>12460</v>
      </c>
      <c r="E376" s="678">
        <f aca="true" t="shared" si="142" ref="E376:F376">SUM(E370:E375)</f>
        <v>12460</v>
      </c>
      <c r="F376" s="678">
        <f t="shared" si="142"/>
        <v>7671</v>
      </c>
      <c r="G376" s="836">
        <f t="shared" si="127"/>
        <v>0.6156500802568218</v>
      </c>
      <c r="H376" s="425"/>
    </row>
    <row r="377" spans="1:8" ht="12">
      <c r="A377" s="339">
        <v>3302</v>
      </c>
      <c r="B377" s="362" t="s">
        <v>353</v>
      </c>
      <c r="C377" s="690"/>
      <c r="D377" s="690"/>
      <c r="E377" s="690"/>
      <c r="F377" s="690"/>
      <c r="G377" s="394"/>
      <c r="H377" s="420"/>
    </row>
    <row r="378" spans="1:8" ht="12">
      <c r="A378" s="72"/>
      <c r="B378" s="351" t="s">
        <v>106</v>
      </c>
      <c r="C378" s="690"/>
      <c r="D378" s="690"/>
      <c r="E378" s="690"/>
      <c r="F378" s="690"/>
      <c r="G378" s="394"/>
      <c r="H378" s="421"/>
    </row>
    <row r="379" spans="1:8" ht="12">
      <c r="A379" s="72"/>
      <c r="B379" s="176" t="s">
        <v>274</v>
      </c>
      <c r="C379" s="667"/>
      <c r="D379" s="667"/>
      <c r="E379" s="667"/>
      <c r="F379" s="667"/>
      <c r="G379" s="394"/>
      <c r="H379" s="421" t="s">
        <v>518</v>
      </c>
    </row>
    <row r="380" spans="1:8" ht="12">
      <c r="A380" s="339"/>
      <c r="B380" s="352" t="s">
        <v>263</v>
      </c>
      <c r="C380" s="691">
        <v>240000</v>
      </c>
      <c r="D380" s="691">
        <v>260000</v>
      </c>
      <c r="E380" s="691">
        <v>260000</v>
      </c>
      <c r="F380" s="691">
        <v>202317</v>
      </c>
      <c r="G380" s="744">
        <f t="shared" si="127"/>
        <v>0.7781423076923077</v>
      </c>
      <c r="H380" s="534"/>
    </row>
    <row r="381" spans="1:8" ht="12">
      <c r="A381" s="339"/>
      <c r="B381" s="289" t="s">
        <v>111</v>
      </c>
      <c r="C381" s="691"/>
      <c r="D381" s="691"/>
      <c r="E381" s="691"/>
      <c r="F381" s="691"/>
      <c r="G381" s="741"/>
      <c r="H381" s="815" t="s">
        <v>525</v>
      </c>
    </row>
    <row r="382" spans="1:8" ht="12">
      <c r="A382" s="72"/>
      <c r="B382" s="289" t="s">
        <v>270</v>
      </c>
      <c r="C382" s="667"/>
      <c r="D382" s="667"/>
      <c r="E382" s="667"/>
      <c r="F382" s="667"/>
      <c r="G382" s="741"/>
      <c r="H382" s="422"/>
    </row>
    <row r="383" spans="1:8" ht="12.6" thickBot="1">
      <c r="A383" s="72"/>
      <c r="B383" s="406" t="s">
        <v>79</v>
      </c>
      <c r="C383" s="678"/>
      <c r="D383" s="678"/>
      <c r="E383" s="678"/>
      <c r="F383" s="678"/>
      <c r="G383" s="746"/>
      <c r="H383" s="457"/>
    </row>
    <row r="384" spans="1:8" ht="12.6" thickBot="1">
      <c r="A384" s="359"/>
      <c r="B384" s="409" t="s">
        <v>122</v>
      </c>
      <c r="C384" s="675">
        <f aca="true" t="shared" si="143" ref="C384">SUM(C378:C383)</f>
        <v>240000</v>
      </c>
      <c r="D384" s="675">
        <f aca="true" t="shared" si="144" ref="D384">SUM(D378:D383)</f>
        <v>260000</v>
      </c>
      <c r="E384" s="675">
        <f aca="true" t="shared" si="145" ref="E384:F384">SUM(E378:E383)</f>
        <v>260000</v>
      </c>
      <c r="F384" s="675">
        <f t="shared" si="145"/>
        <v>202317</v>
      </c>
      <c r="G384" s="743">
        <f t="shared" si="127"/>
        <v>0.7781423076923077</v>
      </c>
      <c r="H384" s="425"/>
    </row>
    <row r="385" spans="1:8" ht="13.2">
      <c r="A385" s="72">
        <v>3303</v>
      </c>
      <c r="B385" s="432" t="s">
        <v>537</v>
      </c>
      <c r="C385" s="691"/>
      <c r="D385" s="691"/>
      <c r="E385" s="691"/>
      <c r="F385" s="691"/>
      <c r="G385" s="394"/>
      <c r="H385" s="459"/>
    </row>
    <row r="386" spans="1:8" ht="13.2">
      <c r="A386" s="350"/>
      <c r="B386" s="351" t="s">
        <v>106</v>
      </c>
      <c r="C386" s="691"/>
      <c r="D386" s="691"/>
      <c r="E386" s="691"/>
      <c r="F386" s="691"/>
      <c r="G386" s="394"/>
      <c r="H386" s="462"/>
    </row>
    <row r="387" spans="1:8" ht="12">
      <c r="A387" s="350"/>
      <c r="B387" s="176" t="s">
        <v>274</v>
      </c>
      <c r="C387" s="691"/>
      <c r="D387" s="691"/>
      <c r="E387" s="691"/>
      <c r="F387" s="691"/>
      <c r="G387" s="394"/>
      <c r="H387" s="534"/>
    </row>
    <row r="388" spans="1:8" ht="13.2">
      <c r="A388" s="350"/>
      <c r="B388" s="352" t="s">
        <v>263</v>
      </c>
      <c r="C388" s="691"/>
      <c r="D388" s="691">
        <v>1736</v>
      </c>
      <c r="E388" s="691">
        <v>1736</v>
      </c>
      <c r="F388" s="691">
        <v>721</v>
      </c>
      <c r="G388" s="741">
        <f t="shared" si="127"/>
        <v>0.4153225806451613</v>
      </c>
      <c r="H388" s="538"/>
    </row>
    <row r="389" spans="1:8" ht="13.2">
      <c r="A389" s="350"/>
      <c r="B389" s="289" t="s">
        <v>111</v>
      </c>
      <c r="C389" s="667"/>
      <c r="D389" s="667"/>
      <c r="E389" s="667"/>
      <c r="F389" s="667"/>
      <c r="G389" s="394"/>
      <c r="H389" s="459"/>
    </row>
    <row r="390" spans="1:8" ht="13.2">
      <c r="A390" s="350"/>
      <c r="B390" s="289" t="s">
        <v>270</v>
      </c>
      <c r="C390" s="691"/>
      <c r="D390" s="691"/>
      <c r="E390" s="691"/>
      <c r="F390" s="691"/>
      <c r="G390" s="394"/>
      <c r="H390" s="749"/>
    </row>
    <row r="391" spans="1:8" ht="13.2">
      <c r="A391" s="350"/>
      <c r="B391" s="289" t="s">
        <v>111</v>
      </c>
      <c r="C391" s="667"/>
      <c r="D391" s="667"/>
      <c r="E391" s="667"/>
      <c r="F391" s="667"/>
      <c r="G391" s="394"/>
      <c r="H391" s="459"/>
    </row>
    <row r="392" spans="1:8" ht="13.8" thickBot="1">
      <c r="A392" s="350"/>
      <c r="B392" s="289" t="s">
        <v>233</v>
      </c>
      <c r="C392" s="691"/>
      <c r="D392" s="691"/>
      <c r="E392" s="691"/>
      <c r="F392" s="691"/>
      <c r="G392" s="394"/>
      <c r="H392" s="749"/>
    </row>
    <row r="393" spans="1:8" ht="13.8" thickBot="1">
      <c r="A393" s="359"/>
      <c r="B393" s="409" t="s">
        <v>122</v>
      </c>
      <c r="C393" s="675"/>
      <c r="D393" s="675">
        <f>SUM(D388:D392)</f>
        <v>1736</v>
      </c>
      <c r="E393" s="675">
        <f>SUM(E388:E392)</f>
        <v>1736</v>
      </c>
      <c r="F393" s="675">
        <f>SUM(F388:F392)</f>
        <v>721</v>
      </c>
      <c r="G393" s="743">
        <f t="shared" si="127"/>
        <v>0.4153225806451613</v>
      </c>
      <c r="H393" s="461"/>
    </row>
    <row r="394" spans="1:8" ht="13.2">
      <c r="A394" s="72">
        <v>3304</v>
      </c>
      <c r="B394" s="432" t="s">
        <v>550</v>
      </c>
      <c r="C394" s="690"/>
      <c r="D394" s="690"/>
      <c r="E394" s="690"/>
      <c r="F394" s="690"/>
      <c r="G394" s="394"/>
      <c r="H394" s="458"/>
    </row>
    <row r="395" spans="1:8" ht="13.2">
      <c r="A395" s="350"/>
      <c r="B395" s="351" t="s">
        <v>106</v>
      </c>
      <c r="C395" s="691"/>
      <c r="D395" s="691"/>
      <c r="E395" s="691"/>
      <c r="F395" s="691"/>
      <c r="G395" s="394"/>
      <c r="H395" s="459"/>
    </row>
    <row r="396" spans="1:8" ht="13.2">
      <c r="A396" s="350"/>
      <c r="B396" s="176" t="s">
        <v>274</v>
      </c>
      <c r="C396" s="691"/>
      <c r="D396" s="691"/>
      <c r="E396" s="691"/>
      <c r="F396" s="691"/>
      <c r="G396" s="394"/>
      <c r="H396" s="462"/>
    </row>
    <row r="397" spans="1:8" ht="12.75">
      <c r="A397" s="350"/>
      <c r="B397" s="352" t="s">
        <v>263</v>
      </c>
      <c r="C397" s="691">
        <v>7348</v>
      </c>
      <c r="D397" s="691">
        <v>7348</v>
      </c>
      <c r="E397" s="691">
        <v>7348</v>
      </c>
      <c r="F397" s="691">
        <v>5722</v>
      </c>
      <c r="G397" s="741">
        <f aca="true" t="shared" si="146" ref="G397:G454">SUM(F397/E397)</f>
        <v>0.7787152966793686</v>
      </c>
      <c r="H397" s="534"/>
    </row>
    <row r="398" spans="1:8" ht="13.2">
      <c r="A398" s="350"/>
      <c r="B398" s="289" t="s">
        <v>111</v>
      </c>
      <c r="C398" s="691"/>
      <c r="D398" s="691"/>
      <c r="E398" s="691"/>
      <c r="F398" s="691"/>
      <c r="G398" s="394"/>
      <c r="H398" s="538"/>
    </row>
    <row r="399" spans="1:8" ht="13.2">
      <c r="A399" s="350"/>
      <c r="B399" s="289" t="s">
        <v>270</v>
      </c>
      <c r="C399" s="667"/>
      <c r="D399" s="667"/>
      <c r="E399" s="667"/>
      <c r="F399" s="667"/>
      <c r="G399" s="394"/>
      <c r="H399" s="459"/>
    </row>
    <row r="400" spans="1:8" ht="13.2">
      <c r="A400" s="350"/>
      <c r="B400" s="289" t="s">
        <v>111</v>
      </c>
      <c r="C400" s="691"/>
      <c r="D400" s="691"/>
      <c r="E400" s="691"/>
      <c r="F400" s="691"/>
      <c r="G400" s="394"/>
      <c r="H400" s="749"/>
    </row>
    <row r="401" spans="1:8" ht="12.6" thickBot="1">
      <c r="A401" s="350"/>
      <c r="B401" s="406" t="s">
        <v>79</v>
      </c>
      <c r="C401" s="693"/>
      <c r="D401" s="693"/>
      <c r="E401" s="693"/>
      <c r="F401" s="693"/>
      <c r="G401" s="742"/>
      <c r="H401" s="439"/>
    </row>
    <row r="402" spans="1:8" ht="13.8" thickBot="1">
      <c r="A402" s="359"/>
      <c r="B402" s="409" t="s">
        <v>122</v>
      </c>
      <c r="C402" s="675">
        <f aca="true" t="shared" si="147" ref="C402">SUM(C395:C401)</f>
        <v>7348</v>
      </c>
      <c r="D402" s="675">
        <f aca="true" t="shared" si="148" ref="D402">SUM(D395:D401)</f>
        <v>7348</v>
      </c>
      <c r="E402" s="675">
        <f aca="true" t="shared" si="149" ref="E402:F402">SUM(E395:E401)</f>
        <v>7348</v>
      </c>
      <c r="F402" s="675">
        <f t="shared" si="149"/>
        <v>5722</v>
      </c>
      <c r="G402" s="743">
        <f t="shared" si="146"/>
        <v>0.7787152966793686</v>
      </c>
      <c r="H402" s="461"/>
    </row>
    <row r="403" spans="1:8" ht="12" customHeight="1">
      <c r="A403" s="72">
        <v>3305</v>
      </c>
      <c r="B403" s="432" t="s">
        <v>183</v>
      </c>
      <c r="C403" s="690"/>
      <c r="D403" s="690"/>
      <c r="E403" s="690"/>
      <c r="F403" s="690"/>
      <c r="G403" s="394"/>
      <c r="H403" s="458"/>
    </row>
    <row r="404" spans="1:8" ht="12" customHeight="1">
      <c r="A404" s="350"/>
      <c r="B404" s="351" t="s">
        <v>106</v>
      </c>
      <c r="C404" s="691"/>
      <c r="D404" s="691"/>
      <c r="E404" s="691"/>
      <c r="F404" s="691"/>
      <c r="G404" s="394"/>
      <c r="H404" s="459"/>
    </row>
    <row r="405" spans="1:8" ht="12" customHeight="1">
      <c r="A405" s="350"/>
      <c r="B405" s="176" t="s">
        <v>274</v>
      </c>
      <c r="C405" s="691"/>
      <c r="D405" s="691"/>
      <c r="E405" s="691"/>
      <c r="F405" s="691"/>
      <c r="G405" s="394"/>
      <c r="H405" s="905"/>
    </row>
    <row r="406" spans="1:8" ht="12" customHeight="1">
      <c r="A406" s="350"/>
      <c r="B406" s="352" t="s">
        <v>263</v>
      </c>
      <c r="C406" s="691"/>
      <c r="D406" s="691"/>
      <c r="E406" s="691"/>
      <c r="F406" s="691"/>
      <c r="G406" s="394"/>
      <c r="H406" s="534"/>
    </row>
    <row r="407" spans="1:8" ht="12" customHeight="1">
      <c r="A407" s="350"/>
      <c r="B407" s="289" t="s">
        <v>111</v>
      </c>
      <c r="C407" s="691">
        <v>3500</v>
      </c>
      <c r="D407" s="691">
        <v>4832</v>
      </c>
      <c r="E407" s="691">
        <v>4832</v>
      </c>
      <c r="F407" s="691">
        <v>4705</v>
      </c>
      <c r="G407" s="744">
        <f t="shared" si="146"/>
        <v>0.9737168874172185</v>
      </c>
      <c r="H407" s="538"/>
    </row>
    <row r="408" spans="1:8" ht="12" customHeight="1">
      <c r="A408" s="350"/>
      <c r="B408" s="289" t="s">
        <v>270</v>
      </c>
      <c r="C408" s="667"/>
      <c r="D408" s="667"/>
      <c r="E408" s="667"/>
      <c r="F408" s="667"/>
      <c r="G408" s="741"/>
      <c r="H408" s="459"/>
    </row>
    <row r="409" spans="1:8" ht="12" customHeight="1">
      <c r="A409" s="350"/>
      <c r="B409" s="289" t="s">
        <v>111</v>
      </c>
      <c r="C409" s="691"/>
      <c r="D409" s="691"/>
      <c r="E409" s="691"/>
      <c r="F409" s="691"/>
      <c r="G409" s="741"/>
      <c r="H409" s="749"/>
    </row>
    <row r="410" spans="1:8" ht="12" customHeight="1" thickBot="1">
      <c r="A410" s="350"/>
      <c r="B410" s="406" t="s">
        <v>79</v>
      </c>
      <c r="C410" s="693"/>
      <c r="D410" s="693"/>
      <c r="E410" s="693"/>
      <c r="F410" s="693"/>
      <c r="G410" s="746"/>
      <c r="H410" s="439"/>
    </row>
    <row r="411" spans="1:8" ht="12" customHeight="1" thickBot="1">
      <c r="A411" s="359"/>
      <c r="B411" s="409" t="s">
        <v>122</v>
      </c>
      <c r="C411" s="675">
        <f aca="true" t="shared" si="150" ref="C411">SUM(C404:C410)</f>
        <v>3500</v>
      </c>
      <c r="D411" s="675">
        <f aca="true" t="shared" si="151" ref="D411">SUM(D404:D410)</f>
        <v>4832</v>
      </c>
      <c r="E411" s="675">
        <f aca="true" t="shared" si="152" ref="E411:F411">SUM(E404:E410)</f>
        <v>4832</v>
      </c>
      <c r="F411" s="675">
        <f t="shared" si="152"/>
        <v>4705</v>
      </c>
      <c r="G411" s="743">
        <f t="shared" si="146"/>
        <v>0.9737168874172185</v>
      </c>
      <c r="H411" s="461"/>
    </row>
    <row r="412" spans="1:8" ht="12" customHeight="1">
      <c r="A412" s="72">
        <v>3306</v>
      </c>
      <c r="B412" s="432" t="s">
        <v>590</v>
      </c>
      <c r="C412" s="690"/>
      <c r="D412" s="690"/>
      <c r="E412" s="690"/>
      <c r="F412" s="690"/>
      <c r="G412" s="394"/>
      <c r="H412" s="458"/>
    </row>
    <row r="413" spans="1:8" ht="12" customHeight="1">
      <c r="A413" s="72"/>
      <c r="B413" s="916" t="s">
        <v>591</v>
      </c>
      <c r="C413" s="690"/>
      <c r="D413" s="690"/>
      <c r="E413" s="690"/>
      <c r="F413" s="690"/>
      <c r="G413" s="394"/>
      <c r="H413" s="458"/>
    </row>
    <row r="414" spans="1:8" ht="12" customHeight="1">
      <c r="A414" s="350"/>
      <c r="B414" s="351" t="s">
        <v>106</v>
      </c>
      <c r="C414" s="691"/>
      <c r="D414" s="691"/>
      <c r="E414" s="691"/>
      <c r="F414" s="691"/>
      <c r="G414" s="394"/>
      <c r="H414" s="459"/>
    </row>
    <row r="415" spans="1:8" ht="12" customHeight="1">
      <c r="A415" s="350"/>
      <c r="B415" s="176" t="s">
        <v>274</v>
      </c>
      <c r="C415" s="691"/>
      <c r="D415" s="691"/>
      <c r="E415" s="691"/>
      <c r="F415" s="691"/>
      <c r="G415" s="394"/>
      <c r="H415" s="462"/>
    </row>
    <row r="416" spans="1:8" ht="12" customHeight="1">
      <c r="A416" s="350"/>
      <c r="B416" s="352" t="s">
        <v>263</v>
      </c>
      <c r="C416" s="691"/>
      <c r="D416" s="691"/>
      <c r="E416" s="691"/>
      <c r="F416" s="691"/>
      <c r="G416" s="394"/>
      <c r="H416" s="538"/>
    </row>
    <row r="417" spans="1:8" ht="12" customHeight="1">
      <c r="A417" s="350"/>
      <c r="B417" s="289" t="s">
        <v>111</v>
      </c>
      <c r="C417" s="691">
        <v>14000</v>
      </c>
      <c r="D417" s="691">
        <v>14000</v>
      </c>
      <c r="E417" s="691">
        <v>14000</v>
      </c>
      <c r="F417" s="691">
        <v>6531</v>
      </c>
      <c r="G417" s="744">
        <f t="shared" si="146"/>
        <v>0.4665</v>
      </c>
      <c r="H417" s="534"/>
    </row>
    <row r="418" spans="1:8" ht="12" customHeight="1">
      <c r="A418" s="350"/>
      <c r="B418" s="289" t="s">
        <v>270</v>
      </c>
      <c r="C418" s="667"/>
      <c r="D418" s="667"/>
      <c r="E418" s="667"/>
      <c r="F418" s="667"/>
      <c r="G418" s="741"/>
      <c r="H418" s="459"/>
    </row>
    <row r="419" spans="1:8" ht="12" customHeight="1">
      <c r="A419" s="350"/>
      <c r="B419" s="289" t="s">
        <v>111</v>
      </c>
      <c r="C419" s="691"/>
      <c r="D419" s="691"/>
      <c r="E419" s="691"/>
      <c r="F419" s="691"/>
      <c r="G419" s="741"/>
      <c r="H419" s="463"/>
    </row>
    <row r="420" spans="1:8" ht="12" customHeight="1" thickBot="1">
      <c r="A420" s="350"/>
      <c r="B420" s="406" t="s">
        <v>79</v>
      </c>
      <c r="C420" s="693"/>
      <c r="D420" s="693"/>
      <c r="E420" s="693"/>
      <c r="F420" s="693"/>
      <c r="G420" s="746"/>
      <c r="H420" s="439"/>
    </row>
    <row r="421" spans="1:8" ht="12" customHeight="1" thickBot="1">
      <c r="A421" s="359"/>
      <c r="B421" s="409" t="s">
        <v>122</v>
      </c>
      <c r="C421" s="675">
        <f aca="true" t="shared" si="153" ref="C421">SUM(C416:C417)</f>
        <v>14000</v>
      </c>
      <c r="D421" s="675">
        <f aca="true" t="shared" si="154" ref="D421">SUM(D416:D417)</f>
        <v>14000</v>
      </c>
      <c r="E421" s="675">
        <f aca="true" t="shared" si="155" ref="E421:F421">SUM(E416:E417)</f>
        <v>14000</v>
      </c>
      <c r="F421" s="675">
        <f t="shared" si="155"/>
        <v>6531</v>
      </c>
      <c r="G421" s="743">
        <f t="shared" si="146"/>
        <v>0.4665</v>
      </c>
      <c r="H421" s="461"/>
    </row>
    <row r="422" spans="1:8" ht="12" customHeight="1">
      <c r="A422" s="72">
        <v>3307</v>
      </c>
      <c r="B422" s="432" t="s">
        <v>184</v>
      </c>
      <c r="C422" s="690"/>
      <c r="D422" s="690"/>
      <c r="E422" s="690"/>
      <c r="F422" s="690"/>
      <c r="G422" s="394"/>
      <c r="H422" s="458"/>
    </row>
    <row r="423" spans="1:8" ht="12" customHeight="1">
      <c r="A423" s="350"/>
      <c r="B423" s="351" t="s">
        <v>106</v>
      </c>
      <c r="C423" s="691"/>
      <c r="D423" s="691"/>
      <c r="E423" s="691"/>
      <c r="F423" s="691"/>
      <c r="G423" s="394"/>
      <c r="H423" s="459"/>
    </row>
    <row r="424" spans="1:8" ht="12" customHeight="1">
      <c r="A424" s="350"/>
      <c r="B424" s="176" t="s">
        <v>274</v>
      </c>
      <c r="C424" s="691"/>
      <c r="D424" s="691"/>
      <c r="E424" s="691"/>
      <c r="F424" s="691"/>
      <c r="G424" s="394"/>
      <c r="H424" s="462"/>
    </row>
    <row r="425" spans="1:8" ht="12" customHeight="1">
      <c r="A425" s="350"/>
      <c r="B425" s="352" t="s">
        <v>263</v>
      </c>
      <c r="C425" s="691"/>
      <c r="D425" s="691"/>
      <c r="E425" s="691"/>
      <c r="F425" s="691"/>
      <c r="G425" s="394"/>
      <c r="H425" s="538"/>
    </row>
    <row r="426" spans="1:8" ht="12" customHeight="1">
      <c r="A426" s="350"/>
      <c r="B426" s="289" t="s">
        <v>111</v>
      </c>
      <c r="C426" s="691">
        <v>2000</v>
      </c>
      <c r="D426" s="691">
        <v>2000</v>
      </c>
      <c r="E426" s="691">
        <v>2000</v>
      </c>
      <c r="F426" s="691">
        <v>210</v>
      </c>
      <c r="G426" s="744">
        <f t="shared" si="146"/>
        <v>0.105</v>
      </c>
      <c r="H426" s="538"/>
    </row>
    <row r="427" spans="1:8" ht="12" customHeight="1">
      <c r="A427" s="350"/>
      <c r="B427" s="289" t="s">
        <v>270</v>
      </c>
      <c r="C427" s="667"/>
      <c r="D427" s="667">
        <v>1063</v>
      </c>
      <c r="E427" s="667">
        <v>1063</v>
      </c>
      <c r="F427" s="667"/>
      <c r="G427" s="741">
        <f t="shared" si="146"/>
        <v>0</v>
      </c>
      <c r="H427" s="534"/>
    </row>
    <row r="428" spans="1:8" ht="12" customHeight="1">
      <c r="A428" s="350"/>
      <c r="B428" s="289" t="s">
        <v>111</v>
      </c>
      <c r="C428" s="691"/>
      <c r="D428" s="691"/>
      <c r="E428" s="691"/>
      <c r="F428" s="691"/>
      <c r="G428" s="741"/>
      <c r="H428" s="463"/>
    </row>
    <row r="429" spans="1:8" ht="12" customHeight="1" thickBot="1">
      <c r="A429" s="350"/>
      <c r="B429" s="406" t="s">
        <v>79</v>
      </c>
      <c r="C429" s="693"/>
      <c r="D429" s="693"/>
      <c r="E429" s="693"/>
      <c r="F429" s="693"/>
      <c r="G429" s="746"/>
      <c r="H429" s="439"/>
    </row>
    <row r="430" spans="1:8" ht="12" customHeight="1" thickBot="1">
      <c r="A430" s="359"/>
      <c r="B430" s="409" t="s">
        <v>122</v>
      </c>
      <c r="C430" s="675">
        <f aca="true" t="shared" si="156" ref="C430">SUM(C423:C429)</f>
        <v>2000</v>
      </c>
      <c r="D430" s="675">
        <f aca="true" t="shared" si="157" ref="D430">SUM(D423:D429)</f>
        <v>3063</v>
      </c>
      <c r="E430" s="675">
        <f aca="true" t="shared" si="158" ref="E430:F430">SUM(E423:E429)</f>
        <v>3063</v>
      </c>
      <c r="F430" s="675">
        <f t="shared" si="158"/>
        <v>210</v>
      </c>
      <c r="G430" s="743">
        <f t="shared" si="146"/>
        <v>0.06856023506366307</v>
      </c>
      <c r="H430" s="461"/>
    </row>
    <row r="431" spans="1:8" ht="12" customHeight="1">
      <c r="A431" s="72">
        <v>3309</v>
      </c>
      <c r="B431" s="204" t="s">
        <v>567</v>
      </c>
      <c r="C431" s="690"/>
      <c r="D431" s="690"/>
      <c r="E431" s="690"/>
      <c r="F431" s="690"/>
      <c r="G431" s="394"/>
      <c r="H431" s="421"/>
    </row>
    <row r="432" spans="1:8" ht="12" customHeight="1">
      <c r="A432" s="350"/>
      <c r="B432" s="351" t="s">
        <v>106</v>
      </c>
      <c r="C432" s="691"/>
      <c r="D432" s="691"/>
      <c r="E432" s="691"/>
      <c r="F432" s="691"/>
      <c r="G432" s="394"/>
      <c r="H432" s="421"/>
    </row>
    <row r="433" spans="1:8" ht="12" customHeight="1">
      <c r="A433" s="350"/>
      <c r="B433" s="176" t="s">
        <v>274</v>
      </c>
      <c r="C433" s="691"/>
      <c r="D433" s="691"/>
      <c r="E433" s="691"/>
      <c r="F433" s="691"/>
      <c r="G433" s="394"/>
      <c r="H433" s="533"/>
    </row>
    <row r="434" spans="1:8" ht="12" customHeight="1">
      <c r="A434" s="350"/>
      <c r="B434" s="352" t="s">
        <v>263</v>
      </c>
      <c r="C434" s="691"/>
      <c r="D434" s="691"/>
      <c r="E434" s="691"/>
      <c r="F434" s="691"/>
      <c r="G434" s="394"/>
      <c r="H434" s="534"/>
    </row>
    <row r="435" spans="1:8" ht="12" customHeight="1">
      <c r="A435" s="350"/>
      <c r="B435" s="289" t="s">
        <v>111</v>
      </c>
      <c r="C435" s="691">
        <v>18000</v>
      </c>
      <c r="D435" s="691">
        <v>28000</v>
      </c>
      <c r="E435" s="691">
        <v>28000</v>
      </c>
      <c r="F435" s="691">
        <v>11872</v>
      </c>
      <c r="G435" s="741">
        <f t="shared" si="146"/>
        <v>0.424</v>
      </c>
      <c r="H435" s="538"/>
    </row>
    <row r="436" spans="1:8" ht="12" customHeight="1">
      <c r="A436" s="350"/>
      <c r="B436" s="289" t="s">
        <v>270</v>
      </c>
      <c r="C436" s="667"/>
      <c r="D436" s="667"/>
      <c r="E436" s="667"/>
      <c r="F436" s="667"/>
      <c r="G436" s="835"/>
      <c r="H436" s="906"/>
    </row>
    <row r="437" spans="1:8" ht="12" customHeight="1" thickBot="1">
      <c r="A437" s="350"/>
      <c r="B437" s="406" t="s">
        <v>79</v>
      </c>
      <c r="C437" s="693"/>
      <c r="D437" s="693"/>
      <c r="E437" s="693"/>
      <c r="F437" s="693"/>
      <c r="G437" s="836"/>
      <c r="H437" s="439"/>
    </row>
    <row r="438" spans="1:8" ht="12" customHeight="1" thickBot="1">
      <c r="A438" s="359"/>
      <c r="B438" s="409" t="s">
        <v>122</v>
      </c>
      <c r="C438" s="675">
        <f aca="true" t="shared" si="159" ref="C438">SUM(C432:C437)</f>
        <v>18000</v>
      </c>
      <c r="D438" s="675">
        <f aca="true" t="shared" si="160" ref="D438">SUM(D432:D437)</f>
        <v>28000</v>
      </c>
      <c r="E438" s="675">
        <f aca="true" t="shared" si="161" ref="E438:F438">SUM(E432:E437)</f>
        <v>28000</v>
      </c>
      <c r="F438" s="675">
        <f t="shared" si="161"/>
        <v>11872</v>
      </c>
      <c r="G438" s="743">
        <f t="shared" si="146"/>
        <v>0.424</v>
      </c>
      <c r="H438" s="425"/>
    </row>
    <row r="439" spans="1:8" ht="12.75" customHeight="1">
      <c r="A439" s="72">
        <v>3310</v>
      </c>
      <c r="B439" s="204" t="s">
        <v>368</v>
      </c>
      <c r="C439" s="690"/>
      <c r="D439" s="690"/>
      <c r="E439" s="690"/>
      <c r="F439" s="690"/>
      <c r="G439" s="394"/>
      <c r="H439" s="421"/>
    </row>
    <row r="440" spans="1:8" ht="12.75" customHeight="1">
      <c r="A440" s="350"/>
      <c r="B440" s="351" t="s">
        <v>106</v>
      </c>
      <c r="C440" s="691"/>
      <c r="D440" s="691"/>
      <c r="E440" s="691"/>
      <c r="F440" s="691"/>
      <c r="G440" s="394"/>
      <c r="H440" s="421"/>
    </row>
    <row r="441" spans="1:8" ht="12.75" customHeight="1">
      <c r="A441" s="350"/>
      <c r="B441" s="176" t="s">
        <v>274</v>
      </c>
      <c r="C441" s="691"/>
      <c r="D441" s="691"/>
      <c r="E441" s="691"/>
      <c r="F441" s="691"/>
      <c r="G441" s="394"/>
      <c r="H441" s="533"/>
    </row>
    <row r="442" spans="1:8" ht="12.75" customHeight="1">
      <c r="A442" s="350"/>
      <c r="B442" s="352" t="s">
        <v>263</v>
      </c>
      <c r="C442" s="691"/>
      <c r="D442" s="691"/>
      <c r="E442" s="691"/>
      <c r="F442" s="691"/>
      <c r="G442" s="394"/>
      <c r="H442" s="534"/>
    </row>
    <row r="443" spans="1:8" ht="12.75" customHeight="1">
      <c r="A443" s="350"/>
      <c r="B443" s="289" t="s">
        <v>111</v>
      </c>
      <c r="C443" s="691">
        <v>1500</v>
      </c>
      <c r="D443" s="691">
        <f>1500+6</f>
        <v>1506</v>
      </c>
      <c r="E443" s="691">
        <f>1500+6</f>
        <v>1506</v>
      </c>
      <c r="F443" s="691">
        <v>1152</v>
      </c>
      <c r="G443" s="744">
        <f t="shared" si="146"/>
        <v>0.7649402390438247</v>
      </c>
      <c r="H443" s="538"/>
    </row>
    <row r="444" spans="1:8" ht="12.75" customHeight="1">
      <c r="A444" s="350"/>
      <c r="B444" s="289" t="s">
        <v>270</v>
      </c>
      <c r="C444" s="667"/>
      <c r="D444" s="667"/>
      <c r="E444" s="667"/>
      <c r="F444" s="667"/>
      <c r="G444" s="741"/>
      <c r="H444" s="749"/>
    </row>
    <row r="445" spans="1:8" ht="12.75" customHeight="1" thickBot="1">
      <c r="A445" s="350"/>
      <c r="B445" s="406" t="s">
        <v>79</v>
      </c>
      <c r="C445" s="693"/>
      <c r="D445" s="693"/>
      <c r="E445" s="693"/>
      <c r="F445" s="693"/>
      <c r="G445" s="746"/>
      <c r="H445" s="439"/>
    </row>
    <row r="446" spans="1:8" ht="12.75" customHeight="1" thickBot="1">
      <c r="A446" s="359"/>
      <c r="B446" s="409" t="s">
        <v>122</v>
      </c>
      <c r="C446" s="675">
        <f aca="true" t="shared" si="162" ref="C446">SUM(C440:C445)</f>
        <v>1500</v>
      </c>
      <c r="D446" s="675">
        <f aca="true" t="shared" si="163" ref="D446">SUM(D440:D445)</f>
        <v>1506</v>
      </c>
      <c r="E446" s="675">
        <f aca="true" t="shared" si="164" ref="E446:F446">SUM(E440:E445)</f>
        <v>1506</v>
      </c>
      <c r="F446" s="675">
        <f t="shared" si="164"/>
        <v>1152</v>
      </c>
      <c r="G446" s="743">
        <f t="shared" si="146"/>
        <v>0.7649402390438247</v>
      </c>
      <c r="H446" s="425"/>
    </row>
    <row r="447" spans="1:8" ht="12" customHeight="1">
      <c r="A447" s="72">
        <v>3311</v>
      </c>
      <c r="B447" s="204" t="s">
        <v>123</v>
      </c>
      <c r="C447" s="690"/>
      <c r="D447" s="690"/>
      <c r="E447" s="690"/>
      <c r="F447" s="690"/>
      <c r="G447" s="394"/>
      <c r="H447" s="421"/>
    </row>
    <row r="448" spans="1:8" ht="12" customHeight="1">
      <c r="A448" s="350"/>
      <c r="B448" s="351" t="s">
        <v>106</v>
      </c>
      <c r="C448" s="691"/>
      <c r="D448" s="691"/>
      <c r="E448" s="691"/>
      <c r="F448" s="691"/>
      <c r="G448" s="394"/>
      <c r="H448" s="421"/>
    </row>
    <row r="449" spans="1:8" ht="12" customHeight="1">
      <c r="A449" s="350"/>
      <c r="B449" s="176" t="s">
        <v>274</v>
      </c>
      <c r="C449" s="691"/>
      <c r="D449" s="691"/>
      <c r="E449" s="691"/>
      <c r="F449" s="691"/>
      <c r="G449" s="744"/>
      <c r="H449" s="421"/>
    </row>
    <row r="450" spans="1:8" ht="12" customHeight="1">
      <c r="A450" s="350"/>
      <c r="B450" s="352" t="s">
        <v>263</v>
      </c>
      <c r="C450" s="691"/>
      <c r="D450" s="691"/>
      <c r="E450" s="691"/>
      <c r="F450" s="691"/>
      <c r="G450" s="741"/>
      <c r="H450" s="533"/>
    </row>
    <row r="451" spans="1:8" ht="12" customHeight="1">
      <c r="A451" s="350"/>
      <c r="B451" s="289" t="s">
        <v>111</v>
      </c>
      <c r="C451" s="691">
        <v>8000</v>
      </c>
      <c r="D451" s="691">
        <f>8000+21</f>
        <v>8021</v>
      </c>
      <c r="E451" s="691">
        <f>8000+21</f>
        <v>8021</v>
      </c>
      <c r="F451" s="691">
        <v>5210</v>
      </c>
      <c r="G451" s="741">
        <f t="shared" si="146"/>
        <v>0.6495449445206334</v>
      </c>
      <c r="H451" s="583"/>
    </row>
    <row r="452" spans="1:8" ht="12" customHeight="1">
      <c r="A452" s="350"/>
      <c r="B452" s="289" t="s">
        <v>270</v>
      </c>
      <c r="C452" s="667"/>
      <c r="D452" s="667"/>
      <c r="E452" s="667"/>
      <c r="F452" s="667"/>
      <c r="G452" s="741"/>
      <c r="H452" s="460"/>
    </row>
    <row r="453" spans="1:8" ht="12" customHeight="1" thickBot="1">
      <c r="A453" s="350"/>
      <c r="B453" s="406" t="s">
        <v>79</v>
      </c>
      <c r="C453" s="693"/>
      <c r="D453" s="693"/>
      <c r="E453" s="693"/>
      <c r="F453" s="693"/>
      <c r="G453" s="746"/>
      <c r="H453" s="439"/>
    </row>
    <row r="454" spans="1:8" ht="12.6" thickBot="1">
      <c r="A454" s="359"/>
      <c r="B454" s="409" t="s">
        <v>122</v>
      </c>
      <c r="C454" s="675">
        <f aca="true" t="shared" si="165" ref="C454">SUM(C448:C453)</f>
        <v>8000</v>
      </c>
      <c r="D454" s="675">
        <f aca="true" t="shared" si="166" ref="D454">SUM(D448:D453)</f>
        <v>8021</v>
      </c>
      <c r="E454" s="675">
        <f aca="true" t="shared" si="167" ref="E454:F454">SUM(E448:E453)</f>
        <v>8021</v>
      </c>
      <c r="F454" s="675">
        <f t="shared" si="167"/>
        <v>5210</v>
      </c>
      <c r="G454" s="743">
        <f t="shared" si="146"/>
        <v>0.6495449445206334</v>
      </c>
      <c r="H454" s="425"/>
    </row>
    <row r="455" spans="1:8" ht="12">
      <c r="A455" s="360">
        <v>3312</v>
      </c>
      <c r="B455" s="204" t="s">
        <v>355</v>
      </c>
      <c r="C455" s="690"/>
      <c r="D455" s="690"/>
      <c r="E455" s="690"/>
      <c r="F455" s="690"/>
      <c r="G455" s="394"/>
      <c r="H455" s="421"/>
    </row>
    <row r="456" spans="1:8" ht="12">
      <c r="A456" s="350"/>
      <c r="B456" s="351" t="s">
        <v>106</v>
      </c>
      <c r="C456" s="691"/>
      <c r="D456" s="691"/>
      <c r="E456" s="691"/>
      <c r="F456" s="691"/>
      <c r="G456" s="394"/>
      <c r="H456" s="421"/>
    </row>
    <row r="457" spans="1:8" ht="13.2">
      <c r="A457" s="350"/>
      <c r="B457" s="176" t="s">
        <v>274</v>
      </c>
      <c r="C457" s="691"/>
      <c r="D457" s="691"/>
      <c r="E457" s="691"/>
      <c r="F457" s="691"/>
      <c r="G457" s="394"/>
      <c r="H457" s="460"/>
    </row>
    <row r="458" spans="1:8" ht="12.75">
      <c r="A458" s="350"/>
      <c r="B458" s="352" t="s">
        <v>263</v>
      </c>
      <c r="C458" s="691">
        <v>900</v>
      </c>
      <c r="D458" s="691">
        <v>900</v>
      </c>
      <c r="E458" s="691">
        <v>900</v>
      </c>
      <c r="F458" s="691">
        <v>523</v>
      </c>
      <c r="G458" s="744">
        <f aca="true" t="shared" si="168" ref="G458:G521">SUM(F458/E458)</f>
        <v>0.5811111111111111</v>
      </c>
      <c r="H458" s="534"/>
    </row>
    <row r="459" spans="1:8" ht="12.75">
      <c r="A459" s="350"/>
      <c r="B459" s="289" t="s">
        <v>111</v>
      </c>
      <c r="C459" s="691">
        <v>49100</v>
      </c>
      <c r="D459" s="691">
        <v>48232</v>
      </c>
      <c r="E459" s="691">
        <v>48232</v>
      </c>
      <c r="F459" s="691">
        <v>21057</v>
      </c>
      <c r="G459" s="741">
        <f t="shared" si="168"/>
        <v>0.43657737601592306</v>
      </c>
      <c r="H459" s="533"/>
    </row>
    <row r="460" spans="1:8" ht="13.2">
      <c r="A460" s="350"/>
      <c r="B460" s="289" t="s">
        <v>270</v>
      </c>
      <c r="C460" s="667"/>
      <c r="D460" s="667"/>
      <c r="E460" s="667"/>
      <c r="F460" s="667"/>
      <c r="G460" s="741"/>
      <c r="H460" s="749"/>
    </row>
    <row r="461" spans="1:8" ht="12.6" thickBot="1">
      <c r="A461" s="350"/>
      <c r="B461" s="406" t="s">
        <v>79</v>
      </c>
      <c r="C461" s="693"/>
      <c r="D461" s="693"/>
      <c r="E461" s="693"/>
      <c r="F461" s="693"/>
      <c r="G461" s="746"/>
      <c r="H461" s="439"/>
    </row>
    <row r="462" spans="1:8" ht="12.6" thickBot="1">
      <c r="A462" s="359"/>
      <c r="B462" s="409" t="s">
        <v>122</v>
      </c>
      <c r="C462" s="675">
        <f aca="true" t="shared" si="169" ref="C462">SUM(C456:C461)</f>
        <v>50000</v>
      </c>
      <c r="D462" s="675">
        <f aca="true" t="shared" si="170" ref="D462">SUM(D456:D461)</f>
        <v>49132</v>
      </c>
      <c r="E462" s="675">
        <f aca="true" t="shared" si="171" ref="E462:F462">SUM(E456:E461)</f>
        <v>49132</v>
      </c>
      <c r="F462" s="675">
        <f t="shared" si="171"/>
        <v>21580</v>
      </c>
      <c r="G462" s="743">
        <f t="shared" si="168"/>
        <v>0.4392249450459985</v>
      </c>
      <c r="H462" s="425"/>
    </row>
    <row r="463" spans="1:8" ht="12">
      <c r="A463" s="360">
        <v>3313</v>
      </c>
      <c r="B463" s="432" t="s">
        <v>568</v>
      </c>
      <c r="C463" s="690"/>
      <c r="D463" s="690"/>
      <c r="E463" s="690"/>
      <c r="F463" s="690"/>
      <c r="G463" s="394"/>
      <c r="H463" s="421"/>
    </row>
    <row r="464" spans="1:8" ht="12">
      <c r="A464" s="72"/>
      <c r="B464" s="916" t="s">
        <v>592</v>
      </c>
      <c r="C464" s="690"/>
      <c r="D464" s="690"/>
      <c r="E464" s="690"/>
      <c r="F464" s="690"/>
      <c r="G464" s="394"/>
      <c r="H464" s="421"/>
    </row>
    <row r="465" spans="1:8" ht="12">
      <c r="A465" s="350"/>
      <c r="B465" s="351" t="s">
        <v>106</v>
      </c>
      <c r="C465" s="691"/>
      <c r="D465" s="691"/>
      <c r="E465" s="691"/>
      <c r="F465" s="691"/>
      <c r="G465" s="394"/>
      <c r="H465" s="421"/>
    </row>
    <row r="466" spans="1:8" ht="13.2">
      <c r="A466" s="350"/>
      <c r="B466" s="176" t="s">
        <v>274</v>
      </c>
      <c r="C466" s="691"/>
      <c r="D466" s="691"/>
      <c r="E466" s="691"/>
      <c r="F466" s="691"/>
      <c r="G466" s="394"/>
      <c r="H466" s="460"/>
    </row>
    <row r="467" spans="1:8" ht="12.75">
      <c r="A467" s="350"/>
      <c r="B467" s="352" t="s">
        <v>263</v>
      </c>
      <c r="C467" s="691">
        <v>150</v>
      </c>
      <c r="D467" s="691">
        <v>150</v>
      </c>
      <c r="E467" s="691">
        <v>150</v>
      </c>
      <c r="F467" s="691">
        <v>74</v>
      </c>
      <c r="G467" s="744">
        <f t="shared" si="168"/>
        <v>0.49333333333333335</v>
      </c>
      <c r="H467" s="534"/>
    </row>
    <row r="468" spans="1:8" ht="12.75">
      <c r="A468" s="350"/>
      <c r="B468" s="289" t="s">
        <v>111</v>
      </c>
      <c r="C468" s="691">
        <v>4350</v>
      </c>
      <c r="D468" s="691">
        <v>4350</v>
      </c>
      <c r="E468" s="691">
        <v>4350</v>
      </c>
      <c r="F468" s="691">
        <v>3540</v>
      </c>
      <c r="G468" s="741">
        <f t="shared" si="168"/>
        <v>0.8137931034482758</v>
      </c>
      <c r="H468" s="533"/>
    </row>
    <row r="469" spans="1:8" ht="13.2">
      <c r="A469" s="350"/>
      <c r="B469" s="289" t="s">
        <v>270</v>
      </c>
      <c r="C469" s="667"/>
      <c r="D469" s="667"/>
      <c r="E469" s="667"/>
      <c r="F469" s="667"/>
      <c r="G469" s="741"/>
      <c r="H469" s="749"/>
    </row>
    <row r="470" spans="1:8" ht="12.6" thickBot="1">
      <c r="A470" s="350"/>
      <c r="B470" s="406" t="s">
        <v>79</v>
      </c>
      <c r="C470" s="693"/>
      <c r="D470" s="693"/>
      <c r="E470" s="693"/>
      <c r="F470" s="693"/>
      <c r="G470" s="746"/>
      <c r="H470" s="439"/>
    </row>
    <row r="471" spans="1:8" ht="12.6" thickBot="1">
      <c r="A471" s="359"/>
      <c r="B471" s="409" t="s">
        <v>122</v>
      </c>
      <c r="C471" s="675">
        <f aca="true" t="shared" si="172" ref="C471">SUM(C465:C470)</f>
        <v>4500</v>
      </c>
      <c r="D471" s="675">
        <f aca="true" t="shared" si="173" ref="D471">SUM(D465:D470)</f>
        <v>4500</v>
      </c>
      <c r="E471" s="675">
        <f aca="true" t="shared" si="174" ref="E471:F471">SUM(E465:E470)</f>
        <v>4500</v>
      </c>
      <c r="F471" s="675">
        <f t="shared" si="174"/>
        <v>3614</v>
      </c>
      <c r="G471" s="743">
        <f t="shared" si="168"/>
        <v>0.8031111111111111</v>
      </c>
      <c r="H471" s="425"/>
    </row>
    <row r="472" spans="1:8" ht="12">
      <c r="A472" s="360">
        <v>3315</v>
      </c>
      <c r="B472" s="204" t="s">
        <v>10</v>
      </c>
      <c r="C472" s="690"/>
      <c r="D472" s="690"/>
      <c r="E472" s="690"/>
      <c r="F472" s="690"/>
      <c r="G472" s="394"/>
      <c r="H472" s="421"/>
    </row>
    <row r="473" spans="1:8" ht="12">
      <c r="A473" s="350"/>
      <c r="B473" s="351" t="s">
        <v>106</v>
      </c>
      <c r="C473" s="691"/>
      <c r="D473" s="691"/>
      <c r="E473" s="691"/>
      <c r="F473" s="691"/>
      <c r="G473" s="394"/>
      <c r="H473" s="421"/>
    </row>
    <row r="474" spans="1:8" ht="12">
      <c r="A474" s="350"/>
      <c r="B474" s="176" t="s">
        <v>274</v>
      </c>
      <c r="C474" s="691"/>
      <c r="D474" s="691"/>
      <c r="E474" s="691"/>
      <c r="F474" s="691"/>
      <c r="G474" s="394"/>
      <c r="H474" s="534"/>
    </row>
    <row r="475" spans="1:8" ht="12">
      <c r="A475" s="350"/>
      <c r="B475" s="352" t="s">
        <v>263</v>
      </c>
      <c r="C475" s="691"/>
      <c r="D475" s="691"/>
      <c r="E475" s="691"/>
      <c r="F475" s="691"/>
      <c r="G475" s="394"/>
      <c r="H475" s="533"/>
    </row>
    <row r="476" spans="1:8" ht="12.75">
      <c r="A476" s="350"/>
      <c r="B476" s="289" t="s">
        <v>111</v>
      </c>
      <c r="C476" s="691">
        <v>2000</v>
      </c>
      <c r="D476" s="691">
        <v>2241</v>
      </c>
      <c r="E476" s="691">
        <v>2241</v>
      </c>
      <c r="F476" s="691">
        <v>2236</v>
      </c>
      <c r="G476" s="744">
        <f t="shared" si="168"/>
        <v>0.99776885319054</v>
      </c>
      <c r="H476" s="421"/>
    </row>
    <row r="477" spans="1:8" ht="12.75">
      <c r="A477" s="350"/>
      <c r="B477" s="289" t="s">
        <v>270</v>
      </c>
      <c r="C477" s="667"/>
      <c r="D477" s="667"/>
      <c r="E477" s="667"/>
      <c r="F477" s="667"/>
      <c r="G477" s="741"/>
      <c r="H477" s="421"/>
    </row>
    <row r="478" spans="1:8" ht="12.6" thickBot="1">
      <c r="A478" s="350"/>
      <c r="B478" s="406" t="s">
        <v>79</v>
      </c>
      <c r="C478" s="693"/>
      <c r="D478" s="693"/>
      <c r="E478" s="693"/>
      <c r="F478" s="693"/>
      <c r="G478" s="746"/>
      <c r="H478" s="439"/>
    </row>
    <row r="479" spans="1:8" ht="12.6" thickBot="1">
      <c r="A479" s="359"/>
      <c r="B479" s="409" t="s">
        <v>122</v>
      </c>
      <c r="C479" s="675">
        <f aca="true" t="shared" si="175" ref="C479">SUM(C473:C478)</f>
        <v>2000</v>
      </c>
      <c r="D479" s="675">
        <f aca="true" t="shared" si="176" ref="D479">SUM(D473:D478)</f>
        <v>2241</v>
      </c>
      <c r="E479" s="675">
        <f aca="true" t="shared" si="177" ref="E479:F479">SUM(E473:E478)</f>
        <v>2241</v>
      </c>
      <c r="F479" s="675">
        <f t="shared" si="177"/>
        <v>2236</v>
      </c>
      <c r="G479" s="743">
        <f t="shared" si="168"/>
        <v>0.99776885319054</v>
      </c>
      <c r="H479" s="425"/>
    </row>
    <row r="480" spans="1:8" ht="12">
      <c r="A480" s="360">
        <v>3316</v>
      </c>
      <c r="B480" s="204" t="s">
        <v>124</v>
      </c>
      <c r="C480" s="690"/>
      <c r="D480" s="690"/>
      <c r="E480" s="690"/>
      <c r="F480" s="690"/>
      <c r="G480" s="394"/>
      <c r="H480" s="421"/>
    </row>
    <row r="481" spans="1:8" ht="12">
      <c r="A481" s="350"/>
      <c r="B481" s="351" t="s">
        <v>106</v>
      </c>
      <c r="C481" s="691"/>
      <c r="D481" s="691"/>
      <c r="E481" s="691"/>
      <c r="F481" s="691"/>
      <c r="G481" s="394"/>
      <c r="H481" s="421"/>
    </row>
    <row r="482" spans="1:8" ht="13.2">
      <c r="A482" s="350"/>
      <c r="B482" s="176" t="s">
        <v>274</v>
      </c>
      <c r="C482" s="691"/>
      <c r="D482" s="691"/>
      <c r="E482" s="691"/>
      <c r="F482" s="691"/>
      <c r="G482" s="394"/>
      <c r="H482" s="460"/>
    </row>
    <row r="483" spans="1:8" ht="12">
      <c r="A483" s="350"/>
      <c r="B483" s="352" t="s">
        <v>263</v>
      </c>
      <c r="C483" s="691"/>
      <c r="D483" s="691"/>
      <c r="E483" s="691"/>
      <c r="F483" s="691"/>
      <c r="G483" s="394"/>
      <c r="H483" s="533"/>
    </row>
    <row r="484" spans="1:8" ht="12.75">
      <c r="A484" s="350"/>
      <c r="B484" s="289" t="s">
        <v>111</v>
      </c>
      <c r="C484" s="691">
        <v>6000</v>
      </c>
      <c r="D484" s="691">
        <v>6000</v>
      </c>
      <c r="E484" s="691">
        <v>6000</v>
      </c>
      <c r="F484" s="691">
        <v>3577</v>
      </c>
      <c r="G484" s="744">
        <f t="shared" si="168"/>
        <v>0.5961666666666666</v>
      </c>
      <c r="H484" s="421"/>
    </row>
    <row r="485" spans="1:8" ht="12.75">
      <c r="A485" s="350"/>
      <c r="B485" s="289" t="s">
        <v>270</v>
      </c>
      <c r="C485" s="667"/>
      <c r="D485" s="667"/>
      <c r="E485" s="667"/>
      <c r="F485" s="667"/>
      <c r="G485" s="741"/>
      <c r="H485" s="421"/>
    </row>
    <row r="486" spans="1:8" ht="12.6" thickBot="1">
      <c r="A486" s="350"/>
      <c r="B486" s="406" t="s">
        <v>79</v>
      </c>
      <c r="C486" s="693"/>
      <c r="D486" s="693"/>
      <c r="E486" s="693"/>
      <c r="F486" s="693"/>
      <c r="G486" s="746"/>
      <c r="H486" s="439"/>
    </row>
    <row r="487" spans="1:8" ht="12.6" thickBot="1">
      <c r="A487" s="359"/>
      <c r="B487" s="409" t="s">
        <v>122</v>
      </c>
      <c r="C487" s="675">
        <f aca="true" t="shared" si="178" ref="C487">SUM(C481:C486)</f>
        <v>6000</v>
      </c>
      <c r="D487" s="675">
        <f aca="true" t="shared" si="179" ref="D487">SUM(D481:D486)</f>
        <v>6000</v>
      </c>
      <c r="E487" s="675">
        <f aca="true" t="shared" si="180" ref="E487:F487">SUM(E481:E486)</f>
        <v>6000</v>
      </c>
      <c r="F487" s="675">
        <f t="shared" si="180"/>
        <v>3577</v>
      </c>
      <c r="G487" s="743">
        <f t="shared" si="168"/>
        <v>0.5961666666666666</v>
      </c>
      <c r="H487" s="425"/>
    </row>
    <row r="488" spans="1:8" ht="12">
      <c r="A488" s="360">
        <v>3317</v>
      </c>
      <c r="B488" s="917" t="s">
        <v>593</v>
      </c>
      <c r="C488" s="690"/>
      <c r="D488" s="690"/>
      <c r="E488" s="690"/>
      <c r="F488" s="690"/>
      <c r="G488" s="394"/>
      <c r="H488" s="421"/>
    </row>
    <row r="489" spans="1:8" ht="12">
      <c r="A489" s="72"/>
      <c r="B489" s="916" t="s">
        <v>594</v>
      </c>
      <c r="C489" s="690"/>
      <c r="D489" s="690"/>
      <c r="E489" s="690"/>
      <c r="F489" s="690"/>
      <c r="G489" s="394"/>
      <c r="H489" s="421"/>
    </row>
    <row r="490" spans="1:8" ht="12">
      <c r="A490" s="350"/>
      <c r="B490" s="351" t="s">
        <v>106</v>
      </c>
      <c r="C490" s="691"/>
      <c r="D490" s="691"/>
      <c r="E490" s="691"/>
      <c r="F490" s="691"/>
      <c r="G490" s="394"/>
      <c r="H490" s="421"/>
    </row>
    <row r="491" spans="1:8" ht="12.75">
      <c r="A491" s="350"/>
      <c r="B491" s="176" t="s">
        <v>274</v>
      </c>
      <c r="C491" s="691"/>
      <c r="D491" s="691"/>
      <c r="E491" s="691"/>
      <c r="F491" s="691"/>
      <c r="G491" s="744"/>
      <c r="H491" s="534"/>
    </row>
    <row r="492" spans="1:8" ht="12.75">
      <c r="A492" s="350"/>
      <c r="B492" s="352" t="s">
        <v>263</v>
      </c>
      <c r="C492" s="691">
        <v>1500</v>
      </c>
      <c r="D492" s="691">
        <v>1500</v>
      </c>
      <c r="E492" s="691">
        <v>1500</v>
      </c>
      <c r="F492" s="691">
        <v>857</v>
      </c>
      <c r="G492" s="741">
        <f t="shared" si="168"/>
        <v>0.5713333333333334</v>
      </c>
      <c r="H492" s="534"/>
    </row>
    <row r="493" spans="1:8" ht="12.75">
      <c r="A493" s="350"/>
      <c r="B493" s="289" t="s">
        <v>111</v>
      </c>
      <c r="C493" s="691">
        <v>58500</v>
      </c>
      <c r="D493" s="691">
        <f>58500+389</f>
        <v>58889</v>
      </c>
      <c r="E493" s="691">
        <f>58500+389</f>
        <v>58889</v>
      </c>
      <c r="F493" s="691">
        <v>32000</v>
      </c>
      <c r="G493" s="741">
        <f t="shared" si="168"/>
        <v>0.5433952011411299</v>
      </c>
      <c r="H493" s="533"/>
    </row>
    <row r="494" spans="1:8" ht="13.2">
      <c r="A494" s="350"/>
      <c r="B494" s="289" t="s">
        <v>270</v>
      </c>
      <c r="C494" s="667"/>
      <c r="D494" s="667"/>
      <c r="E494" s="667"/>
      <c r="F494" s="667"/>
      <c r="G494" s="741"/>
      <c r="H494" s="749"/>
    </row>
    <row r="495" spans="1:8" ht="12.6" thickBot="1">
      <c r="A495" s="350"/>
      <c r="B495" s="406" t="s">
        <v>79</v>
      </c>
      <c r="C495" s="693"/>
      <c r="D495" s="693"/>
      <c r="E495" s="693"/>
      <c r="F495" s="693"/>
      <c r="G495" s="746"/>
      <c r="H495" s="439"/>
    </row>
    <row r="496" spans="1:8" ht="12.6" thickBot="1">
      <c r="A496" s="359"/>
      <c r="B496" s="409" t="s">
        <v>122</v>
      </c>
      <c r="C496" s="675">
        <f aca="true" t="shared" si="181" ref="C496">SUM(C490:C495)</f>
        <v>60000</v>
      </c>
      <c r="D496" s="675">
        <f aca="true" t="shared" si="182" ref="D496">SUM(D490:D495)</f>
        <v>60389</v>
      </c>
      <c r="E496" s="675">
        <f aca="true" t="shared" si="183" ref="E496:F496">SUM(E490:E495)</f>
        <v>60389</v>
      </c>
      <c r="F496" s="675">
        <f t="shared" si="183"/>
        <v>32857</v>
      </c>
      <c r="G496" s="743">
        <f t="shared" si="168"/>
        <v>0.5440891553097419</v>
      </c>
      <c r="H496" s="425"/>
    </row>
    <row r="497" spans="1:8" ht="12">
      <c r="A497" s="72">
        <v>3320</v>
      </c>
      <c r="B497" s="204" t="s">
        <v>8</v>
      </c>
      <c r="C497" s="690"/>
      <c r="D497" s="690"/>
      <c r="E497" s="690"/>
      <c r="F497" s="690"/>
      <c r="G497" s="394"/>
      <c r="H497" s="421"/>
    </row>
    <row r="498" spans="1:8" ht="12" customHeight="1">
      <c r="A498" s="350"/>
      <c r="B498" s="351" t="s">
        <v>106</v>
      </c>
      <c r="C498" s="691"/>
      <c r="D498" s="691"/>
      <c r="E498" s="691"/>
      <c r="F498" s="691"/>
      <c r="G498" s="394"/>
      <c r="H498" s="421"/>
    </row>
    <row r="499" spans="1:8" ht="12" customHeight="1">
      <c r="A499" s="350"/>
      <c r="B499" s="176" t="s">
        <v>274</v>
      </c>
      <c r="C499" s="691"/>
      <c r="D499" s="691"/>
      <c r="E499" s="691"/>
      <c r="F499" s="691"/>
      <c r="G499" s="394"/>
      <c r="H499" s="421"/>
    </row>
    <row r="500" spans="1:8" ht="12" customHeight="1">
      <c r="A500" s="350"/>
      <c r="B500" s="352" t="s">
        <v>263</v>
      </c>
      <c r="C500" s="691"/>
      <c r="D500" s="691"/>
      <c r="E500" s="691"/>
      <c r="F500" s="691"/>
      <c r="G500" s="394"/>
      <c r="H500" s="533"/>
    </row>
    <row r="501" spans="1:8" ht="12" customHeight="1">
      <c r="A501" s="350"/>
      <c r="B501" s="289" t="s">
        <v>111</v>
      </c>
      <c r="C501" s="691">
        <v>100</v>
      </c>
      <c r="D501" s="691">
        <f>100+57</f>
        <v>157</v>
      </c>
      <c r="E501" s="691">
        <f>100+57</f>
        <v>157</v>
      </c>
      <c r="F501" s="691">
        <v>144</v>
      </c>
      <c r="G501" s="744">
        <f t="shared" si="168"/>
        <v>0.9171974522292994</v>
      </c>
      <c r="H501" s="539"/>
    </row>
    <row r="502" spans="1:8" ht="12" customHeight="1">
      <c r="A502" s="350"/>
      <c r="B502" s="289" t="s">
        <v>270</v>
      </c>
      <c r="C502" s="667"/>
      <c r="D502" s="667"/>
      <c r="E502" s="667"/>
      <c r="F502" s="667"/>
      <c r="G502" s="741"/>
      <c r="H502" s="533"/>
    </row>
    <row r="503" spans="1:8" ht="12" customHeight="1">
      <c r="A503" s="350"/>
      <c r="B503" s="289" t="s">
        <v>111</v>
      </c>
      <c r="C503" s="691"/>
      <c r="D503" s="691"/>
      <c r="E503" s="691"/>
      <c r="F503" s="691"/>
      <c r="G503" s="741"/>
      <c r="H503" s="460"/>
    </row>
    <row r="504" spans="1:8" ht="12" customHeight="1" thickBot="1">
      <c r="A504" s="350"/>
      <c r="B504" s="406" t="s">
        <v>79</v>
      </c>
      <c r="C504" s="693"/>
      <c r="D504" s="693"/>
      <c r="E504" s="693"/>
      <c r="F504" s="693"/>
      <c r="G504" s="746"/>
      <c r="H504" s="439"/>
    </row>
    <row r="505" spans="1:8" ht="12" customHeight="1" thickBot="1">
      <c r="A505" s="359"/>
      <c r="B505" s="409" t="s">
        <v>122</v>
      </c>
      <c r="C505" s="678">
        <f aca="true" t="shared" si="184" ref="C505">SUM(C498:C504)</f>
        <v>100</v>
      </c>
      <c r="D505" s="678">
        <f aca="true" t="shared" si="185" ref="D505">SUM(D498:D504)</f>
        <v>157</v>
      </c>
      <c r="E505" s="678">
        <f aca="true" t="shared" si="186" ref="E505:F505">SUM(E498:E504)</f>
        <v>157</v>
      </c>
      <c r="F505" s="678">
        <f t="shared" si="186"/>
        <v>144</v>
      </c>
      <c r="G505" s="743">
        <f t="shared" si="168"/>
        <v>0.9171974522292994</v>
      </c>
      <c r="H505" s="425"/>
    </row>
    <row r="506" spans="1:8" ht="12" customHeight="1">
      <c r="A506" s="72">
        <v>3322</v>
      </c>
      <c r="B506" s="204" t="s">
        <v>367</v>
      </c>
      <c r="C506" s="690"/>
      <c r="D506" s="690"/>
      <c r="E506" s="690"/>
      <c r="F506" s="690"/>
      <c r="G506" s="394"/>
      <c r="H506" s="421"/>
    </row>
    <row r="507" spans="1:8" ht="12" customHeight="1">
      <c r="A507" s="350"/>
      <c r="B507" s="351" t="s">
        <v>106</v>
      </c>
      <c r="C507" s="691"/>
      <c r="D507" s="691"/>
      <c r="E507" s="691"/>
      <c r="F507" s="691"/>
      <c r="G507" s="394"/>
      <c r="H507" s="421"/>
    </row>
    <row r="508" spans="1:8" ht="12" customHeight="1">
      <c r="A508" s="350"/>
      <c r="B508" s="176" t="s">
        <v>274</v>
      </c>
      <c r="C508" s="691"/>
      <c r="D508" s="691"/>
      <c r="E508" s="691"/>
      <c r="F508" s="691"/>
      <c r="G508" s="394"/>
      <c r="H508" s="534"/>
    </row>
    <row r="509" spans="1:8" ht="12" customHeight="1">
      <c r="A509" s="350"/>
      <c r="B509" s="352" t="s">
        <v>263</v>
      </c>
      <c r="C509" s="691"/>
      <c r="D509" s="691"/>
      <c r="E509" s="691"/>
      <c r="F509" s="691"/>
      <c r="G509" s="394"/>
      <c r="H509" s="659"/>
    </row>
    <row r="510" spans="1:8" ht="12" customHeight="1">
      <c r="A510" s="350"/>
      <c r="B510" s="289" t="s">
        <v>111</v>
      </c>
      <c r="C510" s="691">
        <v>74</v>
      </c>
      <c r="D510" s="691">
        <f>74+50</f>
        <v>124</v>
      </c>
      <c r="E510" s="691">
        <f>74+50</f>
        <v>124</v>
      </c>
      <c r="F510" s="691">
        <v>108</v>
      </c>
      <c r="G510" s="394">
        <f t="shared" si="168"/>
        <v>0.8709677419354839</v>
      </c>
      <c r="H510" s="659"/>
    </row>
    <row r="511" spans="1:8" ht="12" customHeight="1">
      <c r="A511" s="350"/>
      <c r="B511" s="289" t="s">
        <v>270</v>
      </c>
      <c r="C511" s="667"/>
      <c r="D511" s="667"/>
      <c r="E511" s="667"/>
      <c r="F511" s="667"/>
      <c r="G511" s="394"/>
      <c r="H511" s="460"/>
    </row>
    <row r="512" spans="1:8" ht="12" customHeight="1" thickBot="1">
      <c r="A512" s="350"/>
      <c r="B512" s="406" t="s">
        <v>79</v>
      </c>
      <c r="C512" s="693"/>
      <c r="D512" s="693"/>
      <c r="E512" s="693"/>
      <c r="F512" s="693"/>
      <c r="G512" s="742"/>
      <c r="H512" s="466"/>
    </row>
    <row r="513" spans="1:8" ht="12" customHeight="1" thickBot="1">
      <c r="A513" s="359"/>
      <c r="B513" s="409" t="s">
        <v>122</v>
      </c>
      <c r="C513" s="678">
        <f aca="true" t="shared" si="187" ref="C513">SUM(C507:C512)</f>
        <v>74</v>
      </c>
      <c r="D513" s="678">
        <f aca="true" t="shared" si="188" ref="D513">SUM(D507:D512)</f>
        <v>124</v>
      </c>
      <c r="E513" s="678">
        <f aca="true" t="shared" si="189" ref="E513:F513">SUM(E507:E512)</f>
        <v>124</v>
      </c>
      <c r="F513" s="678">
        <f t="shared" si="189"/>
        <v>108</v>
      </c>
      <c r="G513" s="743">
        <f t="shared" si="168"/>
        <v>0.8709677419354839</v>
      </c>
      <c r="H513" s="425"/>
    </row>
    <row r="514" spans="1:8" ht="12" customHeight="1">
      <c r="A514" s="72">
        <v>3323</v>
      </c>
      <c r="B514" s="204" t="s">
        <v>334</v>
      </c>
      <c r="C514" s="690"/>
      <c r="D514" s="690"/>
      <c r="E514" s="690"/>
      <c r="F514" s="690"/>
      <c r="G514" s="394"/>
      <c r="H514" s="421"/>
    </row>
    <row r="515" spans="1:8" ht="12" customHeight="1">
      <c r="A515" s="350"/>
      <c r="B515" s="351" t="s">
        <v>106</v>
      </c>
      <c r="C515" s="691"/>
      <c r="D515" s="691"/>
      <c r="E515" s="691"/>
      <c r="F515" s="691"/>
      <c r="G515" s="394"/>
      <c r="H515" s="421"/>
    </row>
    <row r="516" spans="1:8" ht="12" customHeight="1">
      <c r="A516" s="350"/>
      <c r="B516" s="176" t="s">
        <v>274</v>
      </c>
      <c r="C516" s="691"/>
      <c r="D516" s="691"/>
      <c r="E516" s="691"/>
      <c r="F516" s="691"/>
      <c r="G516" s="394"/>
      <c r="H516" s="460"/>
    </row>
    <row r="517" spans="1:8" ht="12" customHeight="1">
      <c r="A517" s="350"/>
      <c r="B517" s="352" t="s">
        <v>263</v>
      </c>
      <c r="C517" s="691"/>
      <c r="D517" s="691"/>
      <c r="E517" s="691"/>
      <c r="F517" s="691"/>
      <c r="G517" s="394"/>
      <c r="H517" s="534"/>
    </row>
    <row r="518" spans="1:8" ht="12" customHeight="1">
      <c r="A518" s="350"/>
      <c r="B518" s="289" t="s">
        <v>111</v>
      </c>
      <c r="C518" s="691">
        <v>6000</v>
      </c>
      <c r="D518" s="691">
        <v>6000</v>
      </c>
      <c r="E518" s="691">
        <v>6000</v>
      </c>
      <c r="F518" s="691">
        <v>3240</v>
      </c>
      <c r="G518" s="744">
        <f t="shared" si="168"/>
        <v>0.54</v>
      </c>
      <c r="H518" s="465"/>
    </row>
    <row r="519" spans="1:8" ht="12" customHeight="1">
      <c r="A519" s="350"/>
      <c r="B519" s="289" t="s">
        <v>270</v>
      </c>
      <c r="C519" s="667"/>
      <c r="D519" s="667"/>
      <c r="E519" s="667"/>
      <c r="F519" s="667"/>
      <c r="G519" s="741"/>
      <c r="H519" s="460"/>
    </row>
    <row r="520" spans="1:8" ht="12" customHeight="1" thickBot="1">
      <c r="A520" s="350"/>
      <c r="B520" s="406" t="s">
        <v>79</v>
      </c>
      <c r="C520" s="693"/>
      <c r="D520" s="693"/>
      <c r="E520" s="693"/>
      <c r="F520" s="693"/>
      <c r="G520" s="746"/>
      <c r="H520" s="466"/>
    </row>
    <row r="521" spans="1:8" ht="12" customHeight="1" thickBot="1">
      <c r="A521" s="359"/>
      <c r="B521" s="409" t="s">
        <v>122</v>
      </c>
      <c r="C521" s="675">
        <f aca="true" t="shared" si="190" ref="C521">SUM(C515:C520)</f>
        <v>6000</v>
      </c>
      <c r="D521" s="675">
        <f aca="true" t="shared" si="191" ref="D521">SUM(D515:D520)</f>
        <v>6000</v>
      </c>
      <c r="E521" s="675">
        <f aca="true" t="shared" si="192" ref="E521:F521">SUM(E515:E520)</f>
        <v>6000</v>
      </c>
      <c r="F521" s="675">
        <f t="shared" si="192"/>
        <v>3240</v>
      </c>
      <c r="G521" s="743">
        <f t="shared" si="168"/>
        <v>0.54</v>
      </c>
      <c r="H521" s="425"/>
    </row>
    <row r="522" spans="1:8" ht="12" customHeight="1">
      <c r="A522" s="72">
        <v>3325</v>
      </c>
      <c r="B522" s="204" t="s">
        <v>595</v>
      </c>
      <c r="C522" s="690"/>
      <c r="D522" s="690"/>
      <c r="E522" s="690"/>
      <c r="F522" s="690"/>
      <c r="G522" s="394"/>
      <c r="H522" s="421"/>
    </row>
    <row r="523" spans="1:8" ht="12" customHeight="1">
      <c r="A523" s="72"/>
      <c r="B523" s="916" t="s">
        <v>596</v>
      </c>
      <c r="C523" s="690"/>
      <c r="D523" s="690"/>
      <c r="E523" s="690"/>
      <c r="F523" s="690"/>
      <c r="G523" s="394"/>
      <c r="H523" s="421"/>
    </row>
    <row r="524" spans="1:8" ht="12" customHeight="1">
      <c r="A524" s="350"/>
      <c r="B524" s="351" t="s">
        <v>106</v>
      </c>
      <c r="C524" s="691"/>
      <c r="D524" s="691"/>
      <c r="E524" s="691"/>
      <c r="F524" s="691"/>
      <c r="G524" s="394"/>
      <c r="H524" s="421"/>
    </row>
    <row r="525" spans="1:8" ht="12" customHeight="1">
      <c r="A525" s="350"/>
      <c r="B525" s="176" t="s">
        <v>274</v>
      </c>
      <c r="C525" s="691"/>
      <c r="D525" s="691"/>
      <c r="E525" s="691"/>
      <c r="F525" s="691"/>
      <c r="G525" s="394"/>
      <c r="H525" s="583"/>
    </row>
    <row r="526" spans="1:8" ht="12" customHeight="1">
      <c r="A526" s="350"/>
      <c r="B526" s="352" t="s">
        <v>263</v>
      </c>
      <c r="C526" s="691">
        <v>2500</v>
      </c>
      <c r="D526" s="691">
        <v>2500</v>
      </c>
      <c r="E526" s="691">
        <v>2500</v>
      </c>
      <c r="F526" s="691">
        <v>233</v>
      </c>
      <c r="G526" s="744">
        <f aca="true" t="shared" si="193" ref="G526:G585">SUM(F526/E526)</f>
        <v>0.0932</v>
      </c>
      <c r="H526" s="659"/>
    </row>
    <row r="527" spans="1:8" ht="12" customHeight="1">
      <c r="A527" s="350"/>
      <c r="B527" s="289" t="s">
        <v>111</v>
      </c>
      <c r="C527" s="691">
        <v>52500</v>
      </c>
      <c r="D527" s="691">
        <f>52500+150</f>
        <v>52650</v>
      </c>
      <c r="E527" s="691">
        <f>52500+150</f>
        <v>52650</v>
      </c>
      <c r="F527" s="691">
        <v>8618</v>
      </c>
      <c r="G527" s="741">
        <f t="shared" si="193"/>
        <v>0.16368471035137702</v>
      </c>
      <c r="H527" s="751"/>
    </row>
    <row r="528" spans="1:8" ht="12" customHeight="1">
      <c r="A528" s="350"/>
      <c r="B528" s="289" t="s">
        <v>270</v>
      </c>
      <c r="C528" s="667"/>
      <c r="D528" s="667"/>
      <c r="E528" s="667"/>
      <c r="F528" s="667"/>
      <c r="G528" s="741"/>
      <c r="H528" s="538"/>
    </row>
    <row r="529" spans="1:8" ht="12" customHeight="1" thickBot="1">
      <c r="A529" s="350"/>
      <c r="B529" s="406" t="s">
        <v>79</v>
      </c>
      <c r="C529" s="693"/>
      <c r="D529" s="693"/>
      <c r="E529" s="693"/>
      <c r="F529" s="693"/>
      <c r="G529" s="746"/>
      <c r="H529" s="466"/>
    </row>
    <row r="530" spans="1:8" ht="12" customHeight="1" thickBot="1">
      <c r="A530" s="359"/>
      <c r="B530" s="409" t="s">
        <v>122</v>
      </c>
      <c r="C530" s="675">
        <f aca="true" t="shared" si="194" ref="C530">SUM(C524:C529)</f>
        <v>55000</v>
      </c>
      <c r="D530" s="675">
        <f aca="true" t="shared" si="195" ref="D530">SUM(D524:D529)</f>
        <v>55150</v>
      </c>
      <c r="E530" s="675">
        <f aca="true" t="shared" si="196" ref="E530:F530">SUM(E524:E529)</f>
        <v>55150</v>
      </c>
      <c r="F530" s="675">
        <f t="shared" si="196"/>
        <v>8851</v>
      </c>
      <c r="G530" s="743">
        <f t="shared" si="193"/>
        <v>0.16048957388939256</v>
      </c>
      <c r="H530" s="425"/>
    </row>
    <row r="531" spans="1:8" ht="12" customHeight="1">
      <c r="A531" s="72">
        <v>3326</v>
      </c>
      <c r="B531" s="204" t="s">
        <v>466</v>
      </c>
      <c r="C531" s="690"/>
      <c r="D531" s="690"/>
      <c r="E531" s="690"/>
      <c r="F531" s="690"/>
      <c r="G531" s="394"/>
      <c r="H531" s="421"/>
    </row>
    <row r="532" spans="1:8" ht="12" customHeight="1">
      <c r="A532" s="350"/>
      <c r="B532" s="351" t="s">
        <v>106</v>
      </c>
      <c r="C532" s="691"/>
      <c r="D532" s="691"/>
      <c r="E532" s="691"/>
      <c r="F532" s="691"/>
      <c r="G532" s="394"/>
      <c r="H532" s="421"/>
    </row>
    <row r="533" spans="1:8" ht="12" customHeight="1">
      <c r="A533" s="350"/>
      <c r="B533" s="176" t="s">
        <v>274</v>
      </c>
      <c r="C533" s="691"/>
      <c r="D533" s="691"/>
      <c r="E533" s="691"/>
      <c r="F533" s="691"/>
      <c r="G533" s="394"/>
      <c r="H533" s="460"/>
    </row>
    <row r="534" spans="1:8" ht="12" customHeight="1">
      <c r="A534" s="350"/>
      <c r="B534" s="352" t="s">
        <v>263</v>
      </c>
      <c r="C534" s="691"/>
      <c r="D534" s="691"/>
      <c r="E534" s="691"/>
      <c r="F534" s="691"/>
      <c r="G534" s="394"/>
      <c r="H534" s="534"/>
    </row>
    <row r="535" spans="1:8" ht="12" customHeight="1">
      <c r="A535" s="350"/>
      <c r="B535" s="289" t="s">
        <v>111</v>
      </c>
      <c r="C535" s="691">
        <v>60</v>
      </c>
      <c r="D535" s="691">
        <v>60</v>
      </c>
      <c r="E535" s="691">
        <v>60</v>
      </c>
      <c r="F535" s="691">
        <v>38</v>
      </c>
      <c r="G535" s="744">
        <f t="shared" si="193"/>
        <v>0.6333333333333333</v>
      </c>
      <c r="H535" s="465"/>
    </row>
    <row r="536" spans="1:8" ht="12" customHeight="1">
      <c r="A536" s="350"/>
      <c r="B536" s="289" t="s">
        <v>270</v>
      </c>
      <c r="C536" s="667"/>
      <c r="D536" s="667"/>
      <c r="E536" s="667"/>
      <c r="F536" s="667"/>
      <c r="G536" s="741"/>
      <c r="H536" s="583"/>
    </row>
    <row r="537" spans="1:8" ht="12" customHeight="1" thickBot="1">
      <c r="A537" s="350"/>
      <c r="B537" s="406" t="s">
        <v>79</v>
      </c>
      <c r="C537" s="693"/>
      <c r="D537" s="693"/>
      <c r="E537" s="693"/>
      <c r="F537" s="693"/>
      <c r="G537" s="746"/>
      <c r="H537" s="466"/>
    </row>
    <row r="538" spans="1:8" ht="12" customHeight="1" thickBot="1">
      <c r="A538" s="359"/>
      <c r="B538" s="409" t="s">
        <v>122</v>
      </c>
      <c r="C538" s="675">
        <f aca="true" t="shared" si="197" ref="C538">SUM(C532:C537)</f>
        <v>60</v>
      </c>
      <c r="D538" s="675">
        <f aca="true" t="shared" si="198" ref="D538">SUM(D532:D537)</f>
        <v>60</v>
      </c>
      <c r="E538" s="675">
        <f aca="true" t="shared" si="199" ref="E538:F538">SUM(E532:E537)</f>
        <v>60</v>
      </c>
      <c r="F538" s="675">
        <f t="shared" si="199"/>
        <v>38</v>
      </c>
      <c r="G538" s="743">
        <f t="shared" si="193"/>
        <v>0.6333333333333333</v>
      </c>
      <c r="H538" s="425"/>
    </row>
    <row r="539" spans="1:8" ht="12" customHeight="1">
      <c r="A539" s="72">
        <v>3327</v>
      </c>
      <c r="B539" s="204" t="s">
        <v>467</v>
      </c>
      <c r="C539" s="690"/>
      <c r="D539" s="690"/>
      <c r="E539" s="690"/>
      <c r="F539" s="690"/>
      <c r="G539" s="394"/>
      <c r="H539" s="421"/>
    </row>
    <row r="540" spans="1:8" ht="12" customHeight="1">
      <c r="A540" s="350"/>
      <c r="B540" s="351" t="s">
        <v>106</v>
      </c>
      <c r="C540" s="691"/>
      <c r="D540" s="691"/>
      <c r="E540" s="691"/>
      <c r="F540" s="691"/>
      <c r="G540" s="394"/>
      <c r="H540" s="421"/>
    </row>
    <row r="541" spans="1:8" ht="12" customHeight="1">
      <c r="A541" s="350"/>
      <c r="B541" s="176" t="s">
        <v>274</v>
      </c>
      <c r="C541" s="691"/>
      <c r="D541" s="691"/>
      <c r="E541" s="691"/>
      <c r="F541" s="691"/>
      <c r="G541" s="394"/>
      <c r="H541" s="460"/>
    </row>
    <row r="542" spans="1:8" ht="12" customHeight="1">
      <c r="A542" s="350"/>
      <c r="B542" s="352" t="s">
        <v>263</v>
      </c>
      <c r="C542" s="691"/>
      <c r="D542" s="691"/>
      <c r="E542" s="691"/>
      <c r="F542" s="691"/>
      <c r="G542" s="394"/>
      <c r="H542" s="534"/>
    </row>
    <row r="543" spans="1:8" ht="12" customHeight="1">
      <c r="A543" s="350"/>
      <c r="B543" s="289" t="s">
        <v>111</v>
      </c>
      <c r="C543" s="691">
        <v>60</v>
      </c>
      <c r="D543" s="691">
        <v>60</v>
      </c>
      <c r="E543" s="691">
        <v>60</v>
      </c>
      <c r="F543" s="691">
        <v>48</v>
      </c>
      <c r="G543" s="744">
        <f t="shared" si="193"/>
        <v>0.8</v>
      </c>
      <c r="H543" s="465"/>
    </row>
    <row r="544" spans="1:8" ht="12" customHeight="1">
      <c r="A544" s="350"/>
      <c r="B544" s="289" t="s">
        <v>270</v>
      </c>
      <c r="C544" s="667"/>
      <c r="D544" s="667"/>
      <c r="E544" s="667"/>
      <c r="F544" s="667"/>
      <c r="G544" s="741"/>
      <c r="H544" s="583"/>
    </row>
    <row r="545" spans="1:8" ht="12" customHeight="1" thickBot="1">
      <c r="A545" s="350"/>
      <c r="B545" s="406" t="s">
        <v>79</v>
      </c>
      <c r="C545" s="693"/>
      <c r="D545" s="693"/>
      <c r="E545" s="693"/>
      <c r="F545" s="693"/>
      <c r="G545" s="746"/>
      <c r="H545" s="466"/>
    </row>
    <row r="546" spans="1:8" ht="12" customHeight="1" thickBot="1">
      <c r="A546" s="359"/>
      <c r="B546" s="409" t="s">
        <v>122</v>
      </c>
      <c r="C546" s="675">
        <f aca="true" t="shared" si="200" ref="C546">SUM(C540:C545)</f>
        <v>60</v>
      </c>
      <c r="D546" s="675">
        <f aca="true" t="shared" si="201" ref="D546">SUM(D540:D545)</f>
        <v>60</v>
      </c>
      <c r="E546" s="675">
        <f aca="true" t="shared" si="202" ref="E546:F546">SUM(E540:E545)</f>
        <v>60</v>
      </c>
      <c r="F546" s="675">
        <f t="shared" si="202"/>
        <v>48</v>
      </c>
      <c r="G546" s="743">
        <f t="shared" si="193"/>
        <v>0.8</v>
      </c>
      <c r="H546" s="425"/>
    </row>
    <row r="547" spans="1:8" ht="12" customHeight="1" hidden="1">
      <c r="A547" s="72">
        <v>3329</v>
      </c>
      <c r="B547" s="204" t="s">
        <v>538</v>
      </c>
      <c r="C547" s="690"/>
      <c r="D547" s="690"/>
      <c r="E547" s="690"/>
      <c r="F547" s="690"/>
      <c r="G547" s="394" t="e">
        <f t="shared" si="193"/>
        <v>#DIV/0!</v>
      </c>
      <c r="H547" s="421"/>
    </row>
    <row r="548" spans="1:8" ht="12" customHeight="1" hidden="1">
      <c r="A548" s="350"/>
      <c r="B548" s="351" t="s">
        <v>106</v>
      </c>
      <c r="C548" s="691"/>
      <c r="D548" s="691"/>
      <c r="E548" s="691"/>
      <c r="F548" s="691"/>
      <c r="G548" s="394" t="e">
        <f t="shared" si="193"/>
        <v>#DIV/0!</v>
      </c>
      <c r="H548" s="421"/>
    </row>
    <row r="549" spans="1:8" ht="12" customHeight="1" hidden="1">
      <c r="A549" s="350"/>
      <c r="B549" s="176" t="s">
        <v>274</v>
      </c>
      <c r="C549" s="691"/>
      <c r="D549" s="691"/>
      <c r="E549" s="691"/>
      <c r="F549" s="691"/>
      <c r="G549" s="394" t="e">
        <f t="shared" si="193"/>
        <v>#DIV/0!</v>
      </c>
      <c r="H549" s="460"/>
    </row>
    <row r="550" spans="1:8" ht="12" customHeight="1" hidden="1">
      <c r="A550" s="350"/>
      <c r="B550" s="352" t="s">
        <v>263</v>
      </c>
      <c r="C550" s="691"/>
      <c r="D550" s="691"/>
      <c r="E550" s="691"/>
      <c r="F550" s="691"/>
      <c r="G550" s="394" t="e">
        <f t="shared" si="193"/>
        <v>#DIV/0!</v>
      </c>
      <c r="H550" s="534"/>
    </row>
    <row r="551" spans="1:8" ht="12" customHeight="1" hidden="1">
      <c r="A551" s="350"/>
      <c r="B551" s="289" t="s">
        <v>111</v>
      </c>
      <c r="C551" s="691"/>
      <c r="D551" s="691"/>
      <c r="E551" s="691"/>
      <c r="F551" s="691"/>
      <c r="G551" s="394" t="e">
        <f t="shared" si="193"/>
        <v>#DIV/0!</v>
      </c>
      <c r="H551" s="465"/>
    </row>
    <row r="552" spans="1:8" ht="12" customHeight="1" hidden="1">
      <c r="A552" s="350"/>
      <c r="B552" s="289" t="s">
        <v>270</v>
      </c>
      <c r="C552" s="667"/>
      <c r="D552" s="667"/>
      <c r="E552" s="667"/>
      <c r="F552" s="667"/>
      <c r="G552" s="835" t="e">
        <f t="shared" si="193"/>
        <v>#DIV/0!</v>
      </c>
      <c r="H552" s="460"/>
    </row>
    <row r="553" spans="1:8" ht="12" customHeight="1" hidden="1" thickBot="1">
      <c r="A553" s="350"/>
      <c r="B553" s="406" t="s">
        <v>79</v>
      </c>
      <c r="C553" s="693"/>
      <c r="D553" s="693"/>
      <c r="E553" s="693"/>
      <c r="F553" s="693"/>
      <c r="G553" s="836" t="e">
        <f t="shared" si="193"/>
        <v>#DIV/0!</v>
      </c>
      <c r="H553" s="466"/>
    </row>
    <row r="554" spans="1:8" ht="12" customHeight="1" hidden="1" thickBot="1">
      <c r="A554" s="359"/>
      <c r="B554" s="409" t="s">
        <v>122</v>
      </c>
      <c r="C554" s="675">
        <f aca="true" t="shared" si="203" ref="C554">SUM(C548:C553)</f>
        <v>0</v>
      </c>
      <c r="D554" s="675">
        <f aca="true" t="shared" si="204" ref="D554">SUM(D548:D553)</f>
        <v>0</v>
      </c>
      <c r="E554" s="675">
        <f aca="true" t="shared" si="205" ref="E554:F554">SUM(E548:E553)</f>
        <v>0</v>
      </c>
      <c r="F554" s="675">
        <f t="shared" si="205"/>
        <v>0</v>
      </c>
      <c r="G554" s="743" t="e">
        <f t="shared" si="193"/>
        <v>#DIV/0!</v>
      </c>
      <c r="H554" s="425"/>
    </row>
    <row r="555" spans="1:8" ht="12" customHeight="1">
      <c r="A555" s="467">
        <v>3340</v>
      </c>
      <c r="B555" s="433" t="s">
        <v>440</v>
      </c>
      <c r="C555" s="690"/>
      <c r="D555" s="690"/>
      <c r="E555" s="690"/>
      <c r="F555" s="690"/>
      <c r="G555" s="394"/>
      <c r="H555" s="421"/>
    </row>
    <row r="556" spans="1:8" ht="12" customHeight="1">
      <c r="A556" s="72"/>
      <c r="B556" s="351" t="s">
        <v>106</v>
      </c>
      <c r="C556" s="690"/>
      <c r="D556" s="690"/>
      <c r="E556" s="690"/>
      <c r="F556" s="690"/>
      <c r="G556" s="394"/>
      <c r="H556" s="421"/>
    </row>
    <row r="557" spans="1:8" ht="12" customHeight="1">
      <c r="A557" s="72"/>
      <c r="B557" s="176" t="s">
        <v>274</v>
      </c>
      <c r="C557" s="690"/>
      <c r="D557" s="690"/>
      <c r="E557" s="690"/>
      <c r="F557" s="690"/>
      <c r="G557" s="394"/>
      <c r="H557" s="421" t="s">
        <v>518</v>
      </c>
    </row>
    <row r="558" spans="1:8" ht="12" customHeight="1">
      <c r="A558" s="339"/>
      <c r="B558" s="352" t="s">
        <v>263</v>
      </c>
      <c r="C558" s="667">
        <v>5000</v>
      </c>
      <c r="D558" s="667">
        <f>5000+796</f>
        <v>5796</v>
      </c>
      <c r="E558" s="667">
        <f>5000+796</f>
        <v>5796</v>
      </c>
      <c r="F558" s="667">
        <v>3757</v>
      </c>
      <c r="G558" s="744">
        <f t="shared" si="193"/>
        <v>0.6482056590752243</v>
      </c>
      <c r="H558" s="583"/>
    </row>
    <row r="559" spans="1:8" ht="12" customHeight="1">
      <c r="A559" s="339"/>
      <c r="B559" s="289" t="s">
        <v>111</v>
      </c>
      <c r="C559" s="667"/>
      <c r="D559" s="667"/>
      <c r="E559" s="667"/>
      <c r="F559" s="667"/>
      <c r="G559" s="741"/>
      <c r="H559" s="464"/>
    </row>
    <row r="560" spans="1:8" ht="12" customHeight="1">
      <c r="A560" s="72"/>
      <c r="B560" s="289" t="s">
        <v>270</v>
      </c>
      <c r="C560" s="667"/>
      <c r="D560" s="667"/>
      <c r="E560" s="667"/>
      <c r="F560" s="667"/>
      <c r="G560" s="741"/>
      <c r="H560" s="421"/>
    </row>
    <row r="561" spans="1:8" ht="12" customHeight="1" thickBot="1">
      <c r="A561" s="72"/>
      <c r="B561" s="406" t="s">
        <v>79</v>
      </c>
      <c r="C561" s="678"/>
      <c r="D561" s="678"/>
      <c r="E561" s="678"/>
      <c r="F561" s="678"/>
      <c r="G561" s="746"/>
      <c r="H561" s="439"/>
    </row>
    <row r="562" spans="1:8" ht="12" customHeight="1" thickBot="1">
      <c r="A562" s="341"/>
      <c r="B562" s="409" t="s">
        <v>122</v>
      </c>
      <c r="C562" s="675">
        <f aca="true" t="shared" si="206" ref="C562">SUM(C556:C561)</f>
        <v>5000</v>
      </c>
      <c r="D562" s="675">
        <f aca="true" t="shared" si="207" ref="D562">SUM(D556:D561)</f>
        <v>5796</v>
      </c>
      <c r="E562" s="675">
        <f aca="true" t="shared" si="208" ref="E562:F562">SUM(E556:E561)</f>
        <v>5796</v>
      </c>
      <c r="F562" s="675">
        <f t="shared" si="208"/>
        <v>3757</v>
      </c>
      <c r="G562" s="743">
        <f t="shared" si="193"/>
        <v>0.6482056590752243</v>
      </c>
      <c r="H562" s="425"/>
    </row>
    <row r="563" spans="1:8" ht="12" customHeight="1">
      <c r="A563" s="467">
        <v>3341</v>
      </c>
      <c r="B563" s="433" t="s">
        <v>358</v>
      </c>
      <c r="C563" s="690"/>
      <c r="D563" s="690"/>
      <c r="E563" s="690"/>
      <c r="F563" s="690"/>
      <c r="G563" s="394"/>
      <c r="H563" s="421"/>
    </row>
    <row r="564" spans="1:8" ht="12" customHeight="1">
      <c r="A564" s="72"/>
      <c r="B564" s="351" t="s">
        <v>106</v>
      </c>
      <c r="C564" s="690"/>
      <c r="D564" s="690"/>
      <c r="E564" s="690"/>
      <c r="F564" s="690"/>
      <c r="G564" s="394"/>
      <c r="H564" s="421"/>
    </row>
    <row r="565" spans="1:8" ht="12" customHeight="1">
      <c r="A565" s="72"/>
      <c r="B565" s="176" t="s">
        <v>274</v>
      </c>
      <c r="C565" s="690"/>
      <c r="D565" s="690"/>
      <c r="E565" s="690"/>
      <c r="F565" s="690"/>
      <c r="G565" s="394"/>
      <c r="H565" s="534"/>
    </row>
    <row r="566" spans="1:8" ht="12" customHeight="1">
      <c r="A566" s="339"/>
      <c r="B566" s="352" t="s">
        <v>263</v>
      </c>
      <c r="C566" s="667">
        <v>1950</v>
      </c>
      <c r="D566" s="667">
        <v>1950</v>
      </c>
      <c r="E566" s="667">
        <v>1950</v>
      </c>
      <c r="F566" s="667">
        <v>953</v>
      </c>
      <c r="G566" s="744">
        <f t="shared" si="193"/>
        <v>0.4887179487179487</v>
      </c>
      <c r="H566" s="421" t="s">
        <v>518</v>
      </c>
    </row>
    <row r="567" spans="1:8" ht="12" customHeight="1">
      <c r="A567" s="339"/>
      <c r="B567" s="289" t="s">
        <v>111</v>
      </c>
      <c r="C567" s="667"/>
      <c r="D567" s="667"/>
      <c r="E567" s="667"/>
      <c r="F567" s="667"/>
      <c r="G567" s="741"/>
      <c r="H567" s="464"/>
    </row>
    <row r="568" spans="1:8" ht="12" customHeight="1">
      <c r="A568" s="72"/>
      <c r="B568" s="289" t="s">
        <v>270</v>
      </c>
      <c r="C568" s="690"/>
      <c r="D568" s="690"/>
      <c r="E568" s="690"/>
      <c r="F568" s="690"/>
      <c r="G568" s="741"/>
      <c r="H568" s="421"/>
    </row>
    <row r="569" spans="1:8" ht="12" customHeight="1" thickBot="1">
      <c r="A569" s="72"/>
      <c r="B569" s="406" t="s">
        <v>79</v>
      </c>
      <c r="C569" s="678"/>
      <c r="D569" s="678"/>
      <c r="E569" s="678"/>
      <c r="F569" s="678"/>
      <c r="G569" s="746"/>
      <c r="H569" s="439"/>
    </row>
    <row r="570" spans="1:8" ht="12" customHeight="1" thickBot="1">
      <c r="A570" s="341"/>
      <c r="B570" s="409" t="s">
        <v>122</v>
      </c>
      <c r="C570" s="675">
        <f aca="true" t="shared" si="209" ref="C570">SUM(C564:C569)</f>
        <v>1950</v>
      </c>
      <c r="D570" s="675">
        <f aca="true" t="shared" si="210" ref="D570">SUM(D564:D569)</f>
        <v>1950</v>
      </c>
      <c r="E570" s="675">
        <f aca="true" t="shared" si="211" ref="E570:F570">SUM(E564:E569)</f>
        <v>1950</v>
      </c>
      <c r="F570" s="675">
        <f t="shared" si="211"/>
        <v>953</v>
      </c>
      <c r="G570" s="743">
        <f t="shared" si="193"/>
        <v>0.4887179487179487</v>
      </c>
      <c r="H570" s="425"/>
    </row>
    <row r="571" spans="1:8" ht="12" customHeight="1">
      <c r="A571" s="467">
        <v>3342</v>
      </c>
      <c r="B571" s="433" t="s">
        <v>427</v>
      </c>
      <c r="C571" s="690"/>
      <c r="D571" s="690"/>
      <c r="E571" s="690"/>
      <c r="F571" s="690"/>
      <c r="G571" s="394"/>
      <c r="H571" s="421"/>
    </row>
    <row r="572" spans="1:8" ht="12" customHeight="1">
      <c r="A572" s="72"/>
      <c r="B572" s="351" t="s">
        <v>106</v>
      </c>
      <c r="C572" s="690"/>
      <c r="D572" s="690"/>
      <c r="E572" s="690"/>
      <c r="F572" s="690"/>
      <c r="G572" s="394"/>
      <c r="H572" s="421"/>
    </row>
    <row r="573" spans="1:8" ht="12" customHeight="1">
      <c r="A573" s="72"/>
      <c r="B573" s="176" t="s">
        <v>274</v>
      </c>
      <c r="C573" s="690"/>
      <c r="D573" s="690"/>
      <c r="E573" s="690"/>
      <c r="F573" s="690"/>
      <c r="G573" s="394"/>
      <c r="H573" s="421"/>
    </row>
    <row r="574" spans="1:8" ht="12" customHeight="1">
      <c r="A574" s="339"/>
      <c r="B574" s="352" t="s">
        <v>263</v>
      </c>
      <c r="C574" s="667">
        <v>880</v>
      </c>
      <c r="D574" s="667">
        <v>880</v>
      </c>
      <c r="E574" s="667">
        <v>880</v>
      </c>
      <c r="F574" s="667"/>
      <c r="G574" s="744">
        <f t="shared" si="193"/>
        <v>0</v>
      </c>
      <c r="H574" s="421" t="s">
        <v>518</v>
      </c>
    </row>
    <row r="575" spans="1:8" ht="12" customHeight="1">
      <c r="A575" s="339"/>
      <c r="B575" s="289" t="s">
        <v>111</v>
      </c>
      <c r="C575" s="667"/>
      <c r="D575" s="667"/>
      <c r="E575" s="667"/>
      <c r="F575" s="667"/>
      <c r="G575" s="741"/>
      <c r="H575" s="464"/>
    </row>
    <row r="576" spans="1:8" ht="12" customHeight="1">
      <c r="A576" s="72"/>
      <c r="B576" s="289" t="s">
        <v>270</v>
      </c>
      <c r="C576" s="690"/>
      <c r="D576" s="690"/>
      <c r="E576" s="690"/>
      <c r="F576" s="690"/>
      <c r="G576" s="741"/>
      <c r="H576" s="421"/>
    </row>
    <row r="577" spans="1:8" ht="12" customHeight="1">
      <c r="A577" s="72"/>
      <c r="B577" s="289" t="s">
        <v>111</v>
      </c>
      <c r="C577" s="690"/>
      <c r="D577" s="690"/>
      <c r="E577" s="690"/>
      <c r="F577" s="690"/>
      <c r="G577" s="741"/>
      <c r="H577" s="422"/>
    </row>
    <row r="578" spans="1:8" ht="12" customHeight="1" thickBot="1">
      <c r="A578" s="72"/>
      <c r="B578" s="406" t="s">
        <v>79</v>
      </c>
      <c r="C578" s="678"/>
      <c r="D578" s="678"/>
      <c r="E578" s="678"/>
      <c r="F578" s="678"/>
      <c r="G578" s="746"/>
      <c r="H578" s="439"/>
    </row>
    <row r="579" spans="1:8" ht="12" customHeight="1" thickBot="1">
      <c r="A579" s="341"/>
      <c r="B579" s="409" t="s">
        <v>122</v>
      </c>
      <c r="C579" s="675">
        <f aca="true" t="shared" si="212" ref="C579">SUM(C572:C578)</f>
        <v>880</v>
      </c>
      <c r="D579" s="675">
        <f aca="true" t="shared" si="213" ref="D579">SUM(D572:D578)</f>
        <v>880</v>
      </c>
      <c r="E579" s="675">
        <f aca="true" t="shared" si="214" ref="E579:F579">SUM(E572:E578)</f>
        <v>880</v>
      </c>
      <c r="F579" s="675">
        <f t="shared" si="214"/>
        <v>0</v>
      </c>
      <c r="G579" s="743">
        <f t="shared" si="193"/>
        <v>0</v>
      </c>
      <c r="H579" s="425"/>
    </row>
    <row r="580" spans="1:8" ht="12" customHeight="1" hidden="1">
      <c r="A580" s="467">
        <v>3343</v>
      </c>
      <c r="B580" s="433" t="s">
        <v>141</v>
      </c>
      <c r="C580" s="690"/>
      <c r="D580" s="690"/>
      <c r="E580" s="690"/>
      <c r="F580" s="690"/>
      <c r="G580" s="394" t="e">
        <f t="shared" si="193"/>
        <v>#DIV/0!</v>
      </c>
      <c r="H580" s="421"/>
    </row>
    <row r="581" spans="1:8" ht="12" customHeight="1" hidden="1">
      <c r="A581" s="72"/>
      <c r="B581" s="351" t="s">
        <v>106</v>
      </c>
      <c r="C581" s="690"/>
      <c r="D581" s="690"/>
      <c r="E581" s="690"/>
      <c r="F581" s="690"/>
      <c r="G581" s="394" t="e">
        <f t="shared" si="193"/>
        <v>#DIV/0!</v>
      </c>
      <c r="H581" s="421"/>
    </row>
    <row r="582" spans="1:8" ht="12" customHeight="1" hidden="1">
      <c r="A582" s="72"/>
      <c r="B582" s="176" t="s">
        <v>274</v>
      </c>
      <c r="C582" s="690"/>
      <c r="D582" s="690"/>
      <c r="E582" s="690"/>
      <c r="F582" s="690"/>
      <c r="G582" s="394" t="e">
        <f t="shared" si="193"/>
        <v>#DIV/0!</v>
      </c>
      <c r="H582" s="534"/>
    </row>
    <row r="583" spans="1:8" ht="12" customHeight="1" hidden="1">
      <c r="A583" s="339"/>
      <c r="B583" s="352" t="s">
        <v>263</v>
      </c>
      <c r="C583" s="667"/>
      <c r="D583" s="667"/>
      <c r="E583" s="667"/>
      <c r="F583" s="667"/>
      <c r="G583" s="394" t="e">
        <f t="shared" si="193"/>
        <v>#DIV/0!</v>
      </c>
      <c r="H583" s="421"/>
    </row>
    <row r="584" spans="1:8" ht="12" customHeight="1" hidden="1">
      <c r="A584" s="339"/>
      <c r="B584" s="289" t="s">
        <v>111</v>
      </c>
      <c r="C584" s="667"/>
      <c r="D584" s="667"/>
      <c r="E584" s="667"/>
      <c r="F584" s="667"/>
      <c r="G584" s="394" t="e">
        <f t="shared" si="193"/>
        <v>#DIV/0!</v>
      </c>
      <c r="H584" s="539"/>
    </row>
    <row r="585" spans="1:8" ht="12.6" customHeight="1" hidden="1">
      <c r="A585" s="72"/>
      <c r="B585" s="289" t="s">
        <v>270</v>
      </c>
      <c r="C585" s="690"/>
      <c r="D585" s="690"/>
      <c r="E585" s="690"/>
      <c r="F585" s="690"/>
      <c r="G585" s="394" t="e">
        <f t="shared" si="193"/>
        <v>#DIV/0!</v>
      </c>
      <c r="H585" s="533"/>
    </row>
    <row r="586" spans="1:8" ht="12" customHeight="1" hidden="1" thickBot="1">
      <c r="A586" s="72"/>
      <c r="B586" s="406" t="s">
        <v>79</v>
      </c>
      <c r="C586" s="678"/>
      <c r="D586" s="678"/>
      <c r="E586" s="678"/>
      <c r="F586" s="678"/>
      <c r="G586" s="742" t="e">
        <f aca="true" t="shared" si="215" ref="G586:G647">SUM(F586/E586)</f>
        <v>#DIV/0!</v>
      </c>
      <c r="H586" s="439"/>
    </row>
    <row r="587" spans="1:8" ht="12" customHeight="1" hidden="1" thickBot="1">
      <c r="A587" s="341"/>
      <c r="B587" s="409" t="s">
        <v>122</v>
      </c>
      <c r="C587" s="675">
        <f aca="true" t="shared" si="216" ref="C587">SUM(C581:C586)</f>
        <v>0</v>
      </c>
      <c r="D587" s="675">
        <f aca="true" t="shared" si="217" ref="D587">SUM(D581:D586)</f>
        <v>0</v>
      </c>
      <c r="E587" s="675">
        <f aca="true" t="shared" si="218" ref="E587:F587">SUM(E581:E586)</f>
        <v>0</v>
      </c>
      <c r="F587" s="675">
        <f t="shared" si="218"/>
        <v>0</v>
      </c>
      <c r="G587" s="743" t="e">
        <f t="shared" si="215"/>
        <v>#DIV/0!</v>
      </c>
      <c r="H587" s="425"/>
    </row>
    <row r="588" spans="1:8" ht="12" customHeight="1">
      <c r="A588" s="72">
        <v>3344</v>
      </c>
      <c r="B588" s="349" t="s">
        <v>252</v>
      </c>
      <c r="C588" s="690"/>
      <c r="D588" s="690"/>
      <c r="E588" s="690"/>
      <c r="F588" s="690"/>
      <c r="G588" s="394"/>
      <c r="H588" s="421"/>
    </row>
    <row r="589" spans="1:8" ht="12" customHeight="1">
      <c r="A589" s="72"/>
      <c r="B589" s="71" t="s">
        <v>106</v>
      </c>
      <c r="C589" s="690"/>
      <c r="D589" s="690"/>
      <c r="E589" s="690"/>
      <c r="F589" s="690"/>
      <c r="G589" s="394"/>
      <c r="H589" s="421"/>
    </row>
    <row r="590" spans="1:8" ht="12" customHeight="1">
      <c r="A590" s="72"/>
      <c r="B590" s="176" t="s">
        <v>274</v>
      </c>
      <c r="C590" s="690"/>
      <c r="D590" s="690"/>
      <c r="E590" s="690"/>
      <c r="F590" s="690"/>
      <c r="G590" s="394"/>
      <c r="H590" s="421" t="s">
        <v>518</v>
      </c>
    </row>
    <row r="591" spans="1:8" ht="12" customHeight="1">
      <c r="A591" s="72"/>
      <c r="B591" s="71" t="s">
        <v>263</v>
      </c>
      <c r="C591" s="667">
        <v>1540</v>
      </c>
      <c r="D591" s="667">
        <f>1540+513</f>
        <v>2053</v>
      </c>
      <c r="E591" s="667">
        <f>1540+513</f>
        <v>2053</v>
      </c>
      <c r="F591" s="667"/>
      <c r="G591" s="744">
        <f t="shared" si="215"/>
        <v>0</v>
      </c>
      <c r="H591" s="538"/>
    </row>
    <row r="592" spans="1:8" ht="12" customHeight="1">
      <c r="A592" s="72"/>
      <c r="B592" s="176" t="s">
        <v>111</v>
      </c>
      <c r="C592" s="667"/>
      <c r="D592" s="667"/>
      <c r="E592" s="667"/>
      <c r="F592" s="667"/>
      <c r="G592" s="741"/>
      <c r="H592" s="464"/>
    </row>
    <row r="593" spans="1:8" ht="12" customHeight="1">
      <c r="A593" s="72"/>
      <c r="B593" s="289" t="s">
        <v>270</v>
      </c>
      <c r="C593" s="690"/>
      <c r="D593" s="690"/>
      <c r="E593" s="690"/>
      <c r="F593" s="690"/>
      <c r="G593" s="741"/>
      <c r="H593" s="421"/>
    </row>
    <row r="594" spans="1:8" ht="12" customHeight="1" thickBot="1">
      <c r="A594" s="72"/>
      <c r="B594" s="406" t="s">
        <v>79</v>
      </c>
      <c r="C594" s="678"/>
      <c r="D594" s="678"/>
      <c r="E594" s="678"/>
      <c r="F594" s="678"/>
      <c r="G594" s="746"/>
      <c r="H594" s="423"/>
    </row>
    <row r="595" spans="1:8" ht="12" customHeight="1" thickBot="1">
      <c r="A595" s="359"/>
      <c r="B595" s="409" t="s">
        <v>122</v>
      </c>
      <c r="C595" s="678">
        <f aca="true" t="shared" si="219" ref="C595">SUM(C589:C594)</f>
        <v>1540</v>
      </c>
      <c r="D595" s="678">
        <f aca="true" t="shared" si="220" ref="D595">SUM(D589:D594)</f>
        <v>2053</v>
      </c>
      <c r="E595" s="678">
        <f aca="true" t="shared" si="221" ref="E595:F595">SUM(E589:E594)</f>
        <v>2053</v>
      </c>
      <c r="F595" s="678">
        <f t="shared" si="221"/>
        <v>0</v>
      </c>
      <c r="G595" s="743">
        <f t="shared" si="215"/>
        <v>0</v>
      </c>
      <c r="H595" s="439"/>
    </row>
    <row r="596" spans="1:8" ht="12" customHeight="1">
      <c r="A596" s="72">
        <v>3345</v>
      </c>
      <c r="B596" s="358" t="s">
        <v>142</v>
      </c>
      <c r="C596" s="690"/>
      <c r="D596" s="690"/>
      <c r="E596" s="690"/>
      <c r="F596" s="690"/>
      <c r="G596" s="394"/>
      <c r="H596" s="420"/>
    </row>
    <row r="597" spans="1:8" ht="12" customHeight="1">
      <c r="A597" s="72"/>
      <c r="B597" s="351" t="s">
        <v>106</v>
      </c>
      <c r="C597" s="690"/>
      <c r="D597" s="690"/>
      <c r="E597" s="690"/>
      <c r="F597" s="690"/>
      <c r="G597" s="394"/>
      <c r="H597" s="395"/>
    </row>
    <row r="598" spans="1:8" ht="12" customHeight="1">
      <c r="A598" s="72"/>
      <c r="B598" s="176" t="s">
        <v>274</v>
      </c>
      <c r="C598" s="690"/>
      <c r="D598" s="690"/>
      <c r="E598" s="690"/>
      <c r="F598" s="690"/>
      <c r="G598" s="394"/>
      <c r="H598" s="395"/>
    </row>
    <row r="599" spans="1:8" ht="12" customHeight="1">
      <c r="A599" s="72"/>
      <c r="B599" s="352" t="s">
        <v>263</v>
      </c>
      <c r="C599" s="667">
        <v>300</v>
      </c>
      <c r="D599" s="667">
        <v>300</v>
      </c>
      <c r="E599" s="667">
        <v>300</v>
      </c>
      <c r="F599" s="667"/>
      <c r="G599" s="744">
        <f t="shared" si="215"/>
        <v>0</v>
      </c>
      <c r="H599" s="421" t="s">
        <v>518</v>
      </c>
    </row>
    <row r="600" spans="1:8" ht="12" customHeight="1">
      <c r="A600" s="72"/>
      <c r="B600" s="289" t="s">
        <v>111</v>
      </c>
      <c r="C600" s="667"/>
      <c r="D600" s="667"/>
      <c r="E600" s="667"/>
      <c r="F600" s="667"/>
      <c r="G600" s="741"/>
      <c r="H600" s="460"/>
    </row>
    <row r="601" spans="1:8" ht="12" customHeight="1">
      <c r="A601" s="72"/>
      <c r="B601" s="289" t="s">
        <v>270</v>
      </c>
      <c r="C601" s="690"/>
      <c r="D601" s="690"/>
      <c r="E601" s="690"/>
      <c r="F601" s="690"/>
      <c r="G601" s="741"/>
      <c r="H601" s="395"/>
    </row>
    <row r="602" spans="1:8" ht="12" customHeight="1" thickBot="1">
      <c r="A602" s="72"/>
      <c r="B602" s="406" t="s">
        <v>79</v>
      </c>
      <c r="C602" s="678"/>
      <c r="D602" s="678"/>
      <c r="E602" s="678"/>
      <c r="F602" s="678"/>
      <c r="G602" s="746"/>
      <c r="H602" s="439"/>
    </row>
    <row r="603" spans="1:8" ht="13.5" customHeight="1" thickBot="1">
      <c r="A603" s="359"/>
      <c r="B603" s="409" t="s">
        <v>122</v>
      </c>
      <c r="C603" s="678">
        <f aca="true" t="shared" si="222" ref="C603">SUM(C599:C602)</f>
        <v>300</v>
      </c>
      <c r="D603" s="678">
        <f aca="true" t="shared" si="223" ref="D603">SUM(D599:D602)</f>
        <v>300</v>
      </c>
      <c r="E603" s="678">
        <f aca="true" t="shared" si="224" ref="E603:F603">SUM(E599:E602)</f>
        <v>300</v>
      </c>
      <c r="F603" s="678">
        <f t="shared" si="224"/>
        <v>0</v>
      </c>
      <c r="G603" s="743">
        <f t="shared" si="215"/>
        <v>0</v>
      </c>
      <c r="H603" s="425"/>
    </row>
    <row r="604" spans="1:8" ht="12" customHeight="1">
      <c r="A604" s="72">
        <v>3346</v>
      </c>
      <c r="B604" s="432" t="s">
        <v>108</v>
      </c>
      <c r="C604" s="690"/>
      <c r="D604" s="690"/>
      <c r="E604" s="690"/>
      <c r="F604" s="690"/>
      <c r="G604" s="394"/>
      <c r="H604" s="421"/>
    </row>
    <row r="605" spans="1:8" ht="12" customHeight="1">
      <c r="A605" s="350"/>
      <c r="B605" s="351" t="s">
        <v>106</v>
      </c>
      <c r="C605" s="690"/>
      <c r="D605" s="690"/>
      <c r="E605" s="690"/>
      <c r="F605" s="690"/>
      <c r="G605" s="394"/>
      <c r="H605" s="421"/>
    </row>
    <row r="606" spans="1:8" ht="12" customHeight="1">
      <c r="A606" s="350"/>
      <c r="B606" s="176" t="s">
        <v>274</v>
      </c>
      <c r="C606" s="690"/>
      <c r="D606" s="690"/>
      <c r="E606" s="690"/>
      <c r="F606" s="690"/>
      <c r="G606" s="394"/>
      <c r="H606" s="421"/>
    </row>
    <row r="607" spans="1:8" ht="12" customHeight="1">
      <c r="A607" s="350"/>
      <c r="B607" s="352" t="s">
        <v>263</v>
      </c>
      <c r="C607" s="667">
        <v>3933</v>
      </c>
      <c r="D607" s="667">
        <f>3933+250</f>
        <v>4183</v>
      </c>
      <c r="E607" s="667">
        <f>3933+250</f>
        <v>4183</v>
      </c>
      <c r="F607" s="667">
        <v>1671</v>
      </c>
      <c r="G607" s="744">
        <f t="shared" si="215"/>
        <v>0.39947406167822136</v>
      </c>
      <c r="H607" s="421" t="s">
        <v>518</v>
      </c>
    </row>
    <row r="608" spans="1:8" ht="12" customHeight="1">
      <c r="A608" s="350"/>
      <c r="B608" s="289" t="s">
        <v>111</v>
      </c>
      <c r="C608" s="667"/>
      <c r="D608" s="667"/>
      <c r="E608" s="667"/>
      <c r="F608" s="667"/>
      <c r="G608" s="741"/>
      <c r="H608" s="464"/>
    </row>
    <row r="609" spans="1:8" ht="12" customHeight="1">
      <c r="A609" s="350"/>
      <c r="B609" s="289" t="s">
        <v>270</v>
      </c>
      <c r="C609" s="690"/>
      <c r="D609" s="690"/>
      <c r="E609" s="690"/>
      <c r="F609" s="690"/>
      <c r="G609" s="741"/>
      <c r="H609" s="421"/>
    </row>
    <row r="610" spans="1:8" ht="12" customHeight="1" thickBot="1">
      <c r="A610" s="350"/>
      <c r="B610" s="406" t="s">
        <v>79</v>
      </c>
      <c r="C610" s="678"/>
      <c r="D610" s="678"/>
      <c r="E610" s="678"/>
      <c r="F610" s="678"/>
      <c r="G610" s="746"/>
      <c r="H610" s="439"/>
    </row>
    <row r="611" spans="1:8" ht="12" customHeight="1" thickBot="1">
      <c r="A611" s="359"/>
      <c r="B611" s="409" t="s">
        <v>122</v>
      </c>
      <c r="C611" s="675">
        <f aca="true" t="shared" si="225" ref="C611">SUM(C607:C610)</f>
        <v>3933</v>
      </c>
      <c r="D611" s="675">
        <f aca="true" t="shared" si="226" ref="D611">SUM(D607:D610)</f>
        <v>4183</v>
      </c>
      <c r="E611" s="675">
        <f aca="true" t="shared" si="227" ref="E611:F611">SUM(E607:E610)</f>
        <v>4183</v>
      </c>
      <c r="F611" s="675">
        <f t="shared" si="227"/>
        <v>1671</v>
      </c>
      <c r="G611" s="743">
        <f t="shared" si="215"/>
        <v>0.39947406167822136</v>
      </c>
      <c r="H611" s="425"/>
    </row>
    <row r="612" spans="1:8" ht="12" customHeight="1">
      <c r="A612" s="72">
        <v>3347</v>
      </c>
      <c r="B612" s="432" t="s">
        <v>109</v>
      </c>
      <c r="C612" s="690"/>
      <c r="D612" s="690"/>
      <c r="E612" s="690"/>
      <c r="F612" s="690"/>
      <c r="G612" s="394"/>
      <c r="H612" s="421"/>
    </row>
    <row r="613" spans="1:8" ht="12" customHeight="1">
      <c r="A613" s="350"/>
      <c r="B613" s="351" t="s">
        <v>106</v>
      </c>
      <c r="C613" s="690"/>
      <c r="D613" s="690"/>
      <c r="E613" s="690"/>
      <c r="F613" s="690"/>
      <c r="G613" s="394"/>
      <c r="H613" s="421"/>
    </row>
    <row r="614" spans="1:8" ht="12" customHeight="1">
      <c r="A614" s="350"/>
      <c r="B614" s="176" t="s">
        <v>274</v>
      </c>
      <c r="C614" s="690"/>
      <c r="D614" s="690"/>
      <c r="E614" s="690"/>
      <c r="F614" s="690"/>
      <c r="G614" s="394"/>
      <c r="H614" s="421"/>
    </row>
    <row r="615" spans="1:8" ht="12" customHeight="1">
      <c r="A615" s="350"/>
      <c r="B615" s="352" t="s">
        <v>263</v>
      </c>
      <c r="C615" s="667">
        <v>2000</v>
      </c>
      <c r="D615" s="667">
        <v>2756</v>
      </c>
      <c r="E615" s="667">
        <v>2756</v>
      </c>
      <c r="F615" s="667">
        <v>1378</v>
      </c>
      <c r="G615" s="744">
        <f t="shared" si="215"/>
        <v>0.5</v>
      </c>
      <c r="H615" s="421" t="s">
        <v>518</v>
      </c>
    </row>
    <row r="616" spans="1:8" ht="12" customHeight="1">
      <c r="A616" s="350"/>
      <c r="B616" s="289" t="s">
        <v>111</v>
      </c>
      <c r="C616" s="667"/>
      <c r="D616" s="667"/>
      <c r="E616" s="667"/>
      <c r="F616" s="667"/>
      <c r="G616" s="741"/>
      <c r="H616" s="464"/>
    </row>
    <row r="617" spans="1:8" ht="12" customHeight="1">
      <c r="A617" s="350"/>
      <c r="B617" s="289" t="s">
        <v>270</v>
      </c>
      <c r="C617" s="690"/>
      <c r="D617" s="690"/>
      <c r="E617" s="690"/>
      <c r="F617" s="690"/>
      <c r="G617" s="741"/>
      <c r="H617" s="421"/>
    </row>
    <row r="618" spans="1:8" ht="12" customHeight="1" thickBot="1">
      <c r="A618" s="350"/>
      <c r="B618" s="406" t="s">
        <v>79</v>
      </c>
      <c r="C618" s="709"/>
      <c r="D618" s="709"/>
      <c r="E618" s="709"/>
      <c r="F618" s="709"/>
      <c r="G618" s="746"/>
      <c r="H618" s="439"/>
    </row>
    <row r="619" spans="1:8" ht="12" customHeight="1" thickBot="1">
      <c r="A619" s="359"/>
      <c r="B619" s="409" t="s">
        <v>122</v>
      </c>
      <c r="C619" s="675">
        <f aca="true" t="shared" si="228" ref="C619">SUM(C615:C618)</f>
        <v>2000</v>
      </c>
      <c r="D619" s="675">
        <f aca="true" t="shared" si="229" ref="D619">SUM(D615:D618)</f>
        <v>2756</v>
      </c>
      <c r="E619" s="675">
        <f aca="true" t="shared" si="230" ref="E619:F619">SUM(E615:E618)</f>
        <v>2756</v>
      </c>
      <c r="F619" s="675">
        <f t="shared" si="230"/>
        <v>1378</v>
      </c>
      <c r="G619" s="743">
        <f t="shared" si="215"/>
        <v>0.5</v>
      </c>
      <c r="H619" s="425"/>
    </row>
    <row r="620" spans="1:8" ht="12" customHeight="1">
      <c r="A620" s="72">
        <v>3348</v>
      </c>
      <c r="B620" s="432" t="s">
        <v>157</v>
      </c>
      <c r="C620" s="690"/>
      <c r="D620" s="690"/>
      <c r="E620" s="690"/>
      <c r="F620" s="690"/>
      <c r="G620" s="394"/>
      <c r="H620" s="421"/>
    </row>
    <row r="621" spans="1:8" ht="12" customHeight="1">
      <c r="A621" s="350"/>
      <c r="B621" s="351" t="s">
        <v>106</v>
      </c>
      <c r="C621" s="690"/>
      <c r="D621" s="690"/>
      <c r="E621" s="690"/>
      <c r="F621" s="690"/>
      <c r="G621" s="394"/>
      <c r="H621" s="421"/>
    </row>
    <row r="622" spans="1:8" ht="12" customHeight="1">
      <c r="A622" s="350"/>
      <c r="B622" s="176" t="s">
        <v>274</v>
      </c>
      <c r="C622" s="690"/>
      <c r="D622" s="690"/>
      <c r="E622" s="690"/>
      <c r="F622" s="690"/>
      <c r="G622" s="744"/>
      <c r="H622" s="421"/>
    </row>
    <row r="623" spans="1:8" ht="12" customHeight="1">
      <c r="A623" s="350"/>
      <c r="B623" s="352" t="s">
        <v>263</v>
      </c>
      <c r="C623" s="667">
        <v>400</v>
      </c>
      <c r="D623" s="667">
        <v>400</v>
      </c>
      <c r="E623" s="667">
        <v>400</v>
      </c>
      <c r="F623" s="667">
        <v>400</v>
      </c>
      <c r="G623" s="741">
        <f t="shared" si="215"/>
        <v>1</v>
      </c>
      <c r="H623" s="421" t="s">
        <v>518</v>
      </c>
    </row>
    <row r="624" spans="1:8" ht="12" customHeight="1">
      <c r="A624" s="350"/>
      <c r="B624" s="289" t="s">
        <v>111</v>
      </c>
      <c r="C624" s="667"/>
      <c r="D624" s="667"/>
      <c r="E624" s="667"/>
      <c r="F624" s="667"/>
      <c r="G624" s="741"/>
      <c r="H624" s="464"/>
    </row>
    <row r="625" spans="1:8" ht="12" customHeight="1">
      <c r="A625" s="350"/>
      <c r="B625" s="289" t="s">
        <v>270</v>
      </c>
      <c r="C625" s="690"/>
      <c r="D625" s="690"/>
      <c r="E625" s="690"/>
      <c r="F625" s="690"/>
      <c r="G625" s="741"/>
      <c r="H625" s="421"/>
    </row>
    <row r="626" spans="1:8" ht="12" customHeight="1" thickBot="1">
      <c r="A626" s="350"/>
      <c r="B626" s="406" t="s">
        <v>79</v>
      </c>
      <c r="C626" s="678"/>
      <c r="D626" s="678"/>
      <c r="E626" s="678"/>
      <c r="F626" s="678"/>
      <c r="G626" s="746"/>
      <c r="H626" s="439"/>
    </row>
    <row r="627" spans="1:8" ht="12" customHeight="1" thickBot="1">
      <c r="A627" s="359"/>
      <c r="B627" s="409" t="s">
        <v>122</v>
      </c>
      <c r="C627" s="675">
        <f aca="true" t="shared" si="231" ref="C627">SUM(C623:C626)</f>
        <v>400</v>
      </c>
      <c r="D627" s="675">
        <f aca="true" t="shared" si="232" ref="D627">SUM(D623:D626)</f>
        <v>400</v>
      </c>
      <c r="E627" s="675">
        <f aca="true" t="shared" si="233" ref="E627:F627">SUM(E623:E626)</f>
        <v>400</v>
      </c>
      <c r="F627" s="675">
        <f t="shared" si="233"/>
        <v>400</v>
      </c>
      <c r="G627" s="743">
        <f t="shared" si="215"/>
        <v>1</v>
      </c>
      <c r="H627" s="425"/>
    </row>
    <row r="628" spans="1:8" ht="12" customHeight="1">
      <c r="A628" s="72">
        <v>3349</v>
      </c>
      <c r="B628" s="432" t="s">
        <v>346</v>
      </c>
      <c r="C628" s="690"/>
      <c r="D628" s="690"/>
      <c r="E628" s="690"/>
      <c r="F628" s="690"/>
      <c r="G628" s="394"/>
      <c r="H628" s="421"/>
    </row>
    <row r="629" spans="1:8" ht="12" customHeight="1">
      <c r="A629" s="350"/>
      <c r="B629" s="351" t="s">
        <v>106</v>
      </c>
      <c r="C629" s="690"/>
      <c r="D629" s="690"/>
      <c r="E629" s="690"/>
      <c r="F629" s="690"/>
      <c r="G629" s="394"/>
      <c r="H629" s="421"/>
    </row>
    <row r="630" spans="1:8" ht="12" customHeight="1">
      <c r="A630" s="350"/>
      <c r="B630" s="176" t="s">
        <v>274</v>
      </c>
      <c r="C630" s="690"/>
      <c r="D630" s="690"/>
      <c r="E630" s="690"/>
      <c r="F630" s="690"/>
      <c r="G630" s="744"/>
      <c r="H630" s="421"/>
    </row>
    <row r="631" spans="1:8" ht="12" customHeight="1">
      <c r="A631" s="350"/>
      <c r="B631" s="352" t="s">
        <v>263</v>
      </c>
      <c r="C631" s="667">
        <v>3840</v>
      </c>
      <c r="D631" s="667">
        <f>3840+320</f>
        <v>4160</v>
      </c>
      <c r="E631" s="667">
        <f>3840+320</f>
        <v>4160</v>
      </c>
      <c r="F631" s="667">
        <v>2560</v>
      </c>
      <c r="G631" s="741">
        <f t="shared" si="215"/>
        <v>0.6153846153846154</v>
      </c>
      <c r="H631" s="421" t="s">
        <v>518</v>
      </c>
    </row>
    <row r="632" spans="1:8" ht="12" customHeight="1">
      <c r="A632" s="350"/>
      <c r="B632" s="289" t="s">
        <v>111</v>
      </c>
      <c r="C632" s="667"/>
      <c r="D632" s="667"/>
      <c r="E632" s="667"/>
      <c r="F632" s="667"/>
      <c r="G632" s="741"/>
      <c r="H632" s="464"/>
    </row>
    <row r="633" spans="1:8" ht="12" customHeight="1">
      <c r="A633" s="350"/>
      <c r="B633" s="289" t="s">
        <v>270</v>
      </c>
      <c r="C633" s="690"/>
      <c r="D633" s="690"/>
      <c r="E633" s="690"/>
      <c r="F633" s="690"/>
      <c r="G633" s="741"/>
      <c r="H633" s="421"/>
    </row>
    <row r="634" spans="1:8" ht="12" customHeight="1" thickBot="1">
      <c r="A634" s="350"/>
      <c r="B634" s="406" t="s">
        <v>79</v>
      </c>
      <c r="C634" s="678"/>
      <c r="D634" s="678"/>
      <c r="E634" s="678"/>
      <c r="F634" s="678"/>
      <c r="G634" s="746"/>
      <c r="H634" s="439"/>
    </row>
    <row r="635" spans="1:8" ht="12" customHeight="1" thickBot="1">
      <c r="A635" s="359"/>
      <c r="B635" s="409" t="s">
        <v>122</v>
      </c>
      <c r="C635" s="675">
        <f aca="true" t="shared" si="234" ref="C635">SUM(C631:C634)</f>
        <v>3840</v>
      </c>
      <c r="D635" s="675">
        <f aca="true" t="shared" si="235" ref="D635">SUM(D631:D634)</f>
        <v>4160</v>
      </c>
      <c r="E635" s="675">
        <f aca="true" t="shared" si="236" ref="E635:F635">SUM(E631:E634)</f>
        <v>4160</v>
      </c>
      <c r="F635" s="675">
        <f t="shared" si="236"/>
        <v>2560</v>
      </c>
      <c r="G635" s="743">
        <f t="shared" si="215"/>
        <v>0.6153846153846154</v>
      </c>
      <c r="H635" s="425"/>
    </row>
    <row r="636" spans="1:8" ht="12" customHeight="1">
      <c r="A636" s="72">
        <v>3350</v>
      </c>
      <c r="B636" s="432" t="s">
        <v>504</v>
      </c>
      <c r="C636" s="690"/>
      <c r="D636" s="690"/>
      <c r="E636" s="690"/>
      <c r="F636" s="690"/>
      <c r="G636" s="394"/>
      <c r="H636" s="421"/>
    </row>
    <row r="637" spans="1:8" ht="12" customHeight="1">
      <c r="A637" s="350"/>
      <c r="B637" s="351" t="s">
        <v>106</v>
      </c>
      <c r="C637" s="690"/>
      <c r="D637" s="690"/>
      <c r="E637" s="690"/>
      <c r="F637" s="690"/>
      <c r="G637" s="394"/>
      <c r="H637" s="421"/>
    </row>
    <row r="638" spans="1:8" ht="12" customHeight="1">
      <c r="A638" s="350"/>
      <c r="B638" s="176" t="s">
        <v>274</v>
      </c>
      <c r="C638" s="690"/>
      <c r="D638" s="690"/>
      <c r="E638" s="690"/>
      <c r="F638" s="690"/>
      <c r="G638" s="744"/>
      <c r="H638" s="421"/>
    </row>
    <row r="639" spans="1:8" ht="12" customHeight="1">
      <c r="A639" s="350"/>
      <c r="B639" s="352" t="s">
        <v>263</v>
      </c>
      <c r="C639" s="667">
        <v>4770</v>
      </c>
      <c r="D639" s="667">
        <f>4770+637</f>
        <v>5407</v>
      </c>
      <c r="E639" s="667">
        <f>4770+637</f>
        <v>5407</v>
      </c>
      <c r="F639" s="667">
        <v>1910</v>
      </c>
      <c r="G639" s="741">
        <f t="shared" si="215"/>
        <v>0.35324579249121507</v>
      </c>
      <c r="H639" s="421" t="s">
        <v>518</v>
      </c>
    </row>
    <row r="640" spans="1:8" ht="12" customHeight="1">
      <c r="A640" s="350"/>
      <c r="B640" s="289" t="s">
        <v>111</v>
      </c>
      <c r="C640" s="667"/>
      <c r="D640" s="667"/>
      <c r="E640" s="667"/>
      <c r="F640" s="667"/>
      <c r="G640" s="741"/>
      <c r="H640" s="464"/>
    </row>
    <row r="641" spans="1:8" ht="12" customHeight="1">
      <c r="A641" s="350"/>
      <c r="B641" s="289" t="s">
        <v>270</v>
      </c>
      <c r="C641" s="690"/>
      <c r="D641" s="690"/>
      <c r="E641" s="690"/>
      <c r="F641" s="690"/>
      <c r="G641" s="741"/>
      <c r="H641" s="421"/>
    </row>
    <row r="642" spans="1:8" ht="12" customHeight="1" thickBot="1">
      <c r="A642" s="350"/>
      <c r="B642" s="406" t="s">
        <v>79</v>
      </c>
      <c r="C642" s="678"/>
      <c r="D642" s="678"/>
      <c r="E642" s="678"/>
      <c r="F642" s="678"/>
      <c r="G642" s="746"/>
      <c r="H642" s="439"/>
    </row>
    <row r="643" spans="1:8" ht="12" customHeight="1" thickBot="1">
      <c r="A643" s="359"/>
      <c r="B643" s="409" t="s">
        <v>122</v>
      </c>
      <c r="C643" s="675">
        <f aca="true" t="shared" si="237" ref="C643">SUM(C639:C642)</f>
        <v>4770</v>
      </c>
      <c r="D643" s="675">
        <f aca="true" t="shared" si="238" ref="D643">SUM(D639:D642)</f>
        <v>5407</v>
      </c>
      <c r="E643" s="675">
        <f aca="true" t="shared" si="239" ref="E643:F643">SUM(E639:E642)</f>
        <v>5407</v>
      </c>
      <c r="F643" s="675">
        <f t="shared" si="239"/>
        <v>1910</v>
      </c>
      <c r="G643" s="743">
        <f t="shared" si="215"/>
        <v>0.35324579249121507</v>
      </c>
      <c r="H643" s="425"/>
    </row>
    <row r="644" spans="1:8" ht="12">
      <c r="A644" s="72">
        <v>3352</v>
      </c>
      <c r="B644" s="432" t="s">
        <v>499</v>
      </c>
      <c r="C644" s="690"/>
      <c r="D644" s="690"/>
      <c r="E644" s="690"/>
      <c r="F644" s="690"/>
      <c r="G644" s="394"/>
      <c r="H644" s="421"/>
    </row>
    <row r="645" spans="1:8" ht="12">
      <c r="A645" s="350"/>
      <c r="B645" s="351" t="s">
        <v>106</v>
      </c>
      <c r="C645" s="691"/>
      <c r="D645" s="691"/>
      <c r="E645" s="691"/>
      <c r="F645" s="691"/>
      <c r="G645" s="394"/>
      <c r="H645" s="421"/>
    </row>
    <row r="646" spans="1:8" ht="12">
      <c r="A646" s="350"/>
      <c r="B646" s="176" t="s">
        <v>274</v>
      </c>
      <c r="C646" s="691"/>
      <c r="D646" s="691"/>
      <c r="E646" s="691"/>
      <c r="F646" s="691"/>
      <c r="G646" s="394"/>
      <c r="H646" s="421"/>
    </row>
    <row r="647" spans="1:8" ht="12.75">
      <c r="A647" s="350"/>
      <c r="B647" s="352" t="s">
        <v>263</v>
      </c>
      <c r="C647" s="667">
        <v>22000</v>
      </c>
      <c r="D647" s="667">
        <f>22000+3598</f>
        <v>25598</v>
      </c>
      <c r="E647" s="667">
        <f>22000+3598-5351</f>
        <v>20247</v>
      </c>
      <c r="F647" s="667">
        <v>11415</v>
      </c>
      <c r="G647" s="744">
        <f t="shared" si="215"/>
        <v>0.5637872277374426</v>
      </c>
      <c r="H647" s="421" t="s">
        <v>518</v>
      </c>
    </row>
    <row r="648" spans="1:8" ht="12.75">
      <c r="A648" s="350"/>
      <c r="B648" s="289" t="s">
        <v>111</v>
      </c>
      <c r="C648" s="667"/>
      <c r="D648" s="667"/>
      <c r="E648" s="667"/>
      <c r="F648" s="667"/>
      <c r="G648" s="741"/>
      <c r="H648" s="534"/>
    </row>
    <row r="649" spans="1:8" ht="12.75">
      <c r="A649" s="350"/>
      <c r="B649" s="289" t="s">
        <v>270</v>
      </c>
      <c r="C649" s="667"/>
      <c r="D649" s="667"/>
      <c r="E649" s="667"/>
      <c r="F649" s="667"/>
      <c r="G649" s="741"/>
      <c r="H649" s="421"/>
    </row>
    <row r="650" spans="1:8" ht="12.75">
      <c r="A650" s="350"/>
      <c r="B650" s="289" t="s">
        <v>111</v>
      </c>
      <c r="C650" s="691"/>
      <c r="D650" s="691"/>
      <c r="E650" s="691"/>
      <c r="F650" s="691"/>
      <c r="G650" s="741"/>
      <c r="H650" s="422"/>
    </row>
    <row r="651" spans="1:8" ht="12.6" thickBot="1">
      <c r="A651" s="350"/>
      <c r="B651" s="406" t="s">
        <v>79</v>
      </c>
      <c r="C651" s="693"/>
      <c r="D651" s="693"/>
      <c r="E651" s="693"/>
      <c r="F651" s="693"/>
      <c r="G651" s="746"/>
      <c r="H651" s="439"/>
    </row>
    <row r="652" spans="1:8" ht="12.6" thickBot="1">
      <c r="A652" s="359"/>
      <c r="B652" s="409" t="s">
        <v>122</v>
      </c>
      <c r="C652" s="678">
        <f aca="true" t="shared" si="240" ref="C652">SUM(C645:C651)</f>
        <v>22000</v>
      </c>
      <c r="D652" s="678">
        <f aca="true" t="shared" si="241" ref="D652">SUM(D645:D651)</f>
        <v>25598</v>
      </c>
      <c r="E652" s="678">
        <f aca="true" t="shared" si="242" ref="E652:F652">SUM(E645:E651)</f>
        <v>20247</v>
      </c>
      <c r="F652" s="678">
        <f t="shared" si="242"/>
        <v>11415</v>
      </c>
      <c r="G652" s="743">
        <f aca="true" t="shared" si="243" ref="G652:G711">SUM(F652/E652)</f>
        <v>0.5637872277374426</v>
      </c>
      <c r="H652" s="425"/>
    </row>
    <row r="653" spans="1:8" ht="12">
      <c r="A653" s="72">
        <v>3353</v>
      </c>
      <c r="B653" s="432" t="s">
        <v>622</v>
      </c>
      <c r="C653" s="690"/>
      <c r="D653" s="690"/>
      <c r="E653" s="690"/>
      <c r="F653" s="690"/>
      <c r="G653" s="394"/>
      <c r="H653" s="421"/>
    </row>
    <row r="654" spans="1:8" ht="12">
      <c r="A654" s="350"/>
      <c r="B654" s="351" t="s">
        <v>106</v>
      </c>
      <c r="C654" s="691"/>
      <c r="D654" s="691"/>
      <c r="E654" s="691"/>
      <c r="F654" s="691"/>
      <c r="G654" s="394"/>
      <c r="H654" s="421"/>
    </row>
    <row r="655" spans="1:8" ht="12">
      <c r="A655" s="350"/>
      <c r="B655" s="176" t="s">
        <v>274</v>
      </c>
      <c r="C655" s="691"/>
      <c r="D655" s="691"/>
      <c r="E655" s="691"/>
      <c r="F655" s="691"/>
      <c r="G655" s="394"/>
      <c r="H655" s="421"/>
    </row>
    <row r="656" spans="1:8" ht="12.75">
      <c r="A656" s="350"/>
      <c r="B656" s="352" t="s">
        <v>263</v>
      </c>
      <c r="C656" s="667"/>
      <c r="D656" s="667">
        <v>1500</v>
      </c>
      <c r="E656" s="667">
        <v>1500</v>
      </c>
      <c r="F656" s="667"/>
      <c r="G656" s="744">
        <f t="shared" si="243"/>
        <v>0</v>
      </c>
      <c r="H656" s="421" t="s">
        <v>518</v>
      </c>
    </row>
    <row r="657" spans="1:8" ht="12.75">
      <c r="A657" s="350"/>
      <c r="B657" s="289" t="s">
        <v>111</v>
      </c>
      <c r="C657" s="667"/>
      <c r="D657" s="667"/>
      <c r="E657" s="667"/>
      <c r="F657" s="667"/>
      <c r="G657" s="741"/>
      <c r="H657" s="534"/>
    </row>
    <row r="658" spans="1:8" ht="12.75">
      <c r="A658" s="350"/>
      <c r="B658" s="289" t="s">
        <v>270</v>
      </c>
      <c r="C658" s="667"/>
      <c r="D658" s="667"/>
      <c r="E658" s="667"/>
      <c r="F658" s="667"/>
      <c r="G658" s="741"/>
      <c r="H658" s="421"/>
    </row>
    <row r="659" spans="1:8" ht="12.75">
      <c r="A659" s="350"/>
      <c r="B659" s="289" t="s">
        <v>111</v>
      </c>
      <c r="C659" s="691"/>
      <c r="D659" s="691"/>
      <c r="E659" s="691"/>
      <c r="F659" s="691"/>
      <c r="G659" s="741"/>
      <c r="H659" s="422"/>
    </row>
    <row r="660" spans="1:8" ht="12.6" thickBot="1">
      <c r="A660" s="350"/>
      <c r="B660" s="406" t="s">
        <v>79</v>
      </c>
      <c r="C660" s="693"/>
      <c r="D660" s="693"/>
      <c r="E660" s="693"/>
      <c r="F660" s="693"/>
      <c r="G660" s="746"/>
      <c r="H660" s="439"/>
    </row>
    <row r="661" spans="1:8" ht="12.6" thickBot="1">
      <c r="A661" s="359"/>
      <c r="B661" s="409" t="s">
        <v>122</v>
      </c>
      <c r="C661" s="678">
        <f aca="true" t="shared" si="244" ref="C661:D661">SUM(C654:C660)</f>
        <v>0</v>
      </c>
      <c r="D661" s="678">
        <f t="shared" si="244"/>
        <v>1500</v>
      </c>
      <c r="E661" s="678">
        <f aca="true" t="shared" si="245" ref="E661:F661">SUM(E654:E660)</f>
        <v>1500</v>
      </c>
      <c r="F661" s="678">
        <f t="shared" si="245"/>
        <v>0</v>
      </c>
      <c r="G661" s="743">
        <f t="shared" si="243"/>
        <v>0</v>
      </c>
      <c r="H661" s="425"/>
    </row>
    <row r="662" spans="1:8" ht="12" customHeight="1">
      <c r="A662" s="72">
        <v>3355</v>
      </c>
      <c r="B662" s="204" t="s">
        <v>33</v>
      </c>
      <c r="C662" s="690"/>
      <c r="D662" s="690"/>
      <c r="E662" s="690"/>
      <c r="F662" s="690"/>
      <c r="G662" s="394"/>
      <c r="H662" s="421"/>
    </row>
    <row r="663" spans="1:8" ht="12" customHeight="1">
      <c r="A663" s="350"/>
      <c r="B663" s="351" t="s">
        <v>106</v>
      </c>
      <c r="C663" s="667">
        <v>2000</v>
      </c>
      <c r="D663" s="667">
        <f>2000+244</f>
        <v>2244</v>
      </c>
      <c r="E663" s="667">
        <f>2000+244</f>
        <v>2244</v>
      </c>
      <c r="F663" s="667">
        <v>41</v>
      </c>
      <c r="G663" s="744">
        <f t="shared" si="243"/>
        <v>0.018270944741532978</v>
      </c>
      <c r="H663" s="421"/>
    </row>
    <row r="664" spans="1:8" ht="12" customHeight="1">
      <c r="A664" s="350"/>
      <c r="B664" s="176" t="s">
        <v>274</v>
      </c>
      <c r="C664" s="667">
        <v>900</v>
      </c>
      <c r="D664" s="667">
        <f>900+78</f>
        <v>978</v>
      </c>
      <c r="E664" s="667">
        <f>900+78</f>
        <v>978</v>
      </c>
      <c r="F664" s="667">
        <v>6</v>
      </c>
      <c r="G664" s="741">
        <f t="shared" si="243"/>
        <v>0.006134969325153374</v>
      </c>
      <c r="H664" s="813" t="s">
        <v>520</v>
      </c>
    </row>
    <row r="665" spans="1:8" ht="12" customHeight="1">
      <c r="A665" s="350"/>
      <c r="B665" s="352" t="s">
        <v>263</v>
      </c>
      <c r="C665" s="667">
        <v>4100</v>
      </c>
      <c r="D665" s="667">
        <f>4100+1065</f>
        <v>5165</v>
      </c>
      <c r="E665" s="667">
        <f>4100+1065</f>
        <v>5165</v>
      </c>
      <c r="F665" s="667">
        <v>120</v>
      </c>
      <c r="G665" s="741">
        <f t="shared" si="243"/>
        <v>0.023233301064859633</v>
      </c>
      <c r="H665" s="533"/>
    </row>
    <row r="666" spans="1:8" ht="12" customHeight="1">
      <c r="A666" s="350"/>
      <c r="B666" s="289" t="s">
        <v>111</v>
      </c>
      <c r="C666" s="667"/>
      <c r="D666" s="667"/>
      <c r="E666" s="667"/>
      <c r="F666" s="667"/>
      <c r="G666" s="741"/>
      <c r="H666" s="421"/>
    </row>
    <row r="667" spans="1:8" ht="12" customHeight="1">
      <c r="A667" s="350"/>
      <c r="B667" s="289" t="s">
        <v>270</v>
      </c>
      <c r="C667" s="667"/>
      <c r="D667" s="667"/>
      <c r="E667" s="667"/>
      <c r="F667" s="667"/>
      <c r="G667" s="741"/>
      <c r="H667" s="421"/>
    </row>
    <row r="668" spans="1:8" ht="12" customHeight="1" thickBot="1">
      <c r="A668" s="350"/>
      <c r="B668" s="406" t="s">
        <v>79</v>
      </c>
      <c r="C668" s="697"/>
      <c r="D668" s="697"/>
      <c r="E668" s="697"/>
      <c r="F668" s="697"/>
      <c r="G668" s="746"/>
      <c r="H668" s="439"/>
    </row>
    <row r="669" spans="1:8" ht="12" customHeight="1" thickBot="1">
      <c r="A669" s="359"/>
      <c r="B669" s="409" t="s">
        <v>122</v>
      </c>
      <c r="C669" s="675">
        <f aca="true" t="shared" si="246" ref="C669">SUM(C663:C668)</f>
        <v>7000</v>
      </c>
      <c r="D669" s="675">
        <f aca="true" t="shared" si="247" ref="D669">SUM(D663:D668)</f>
        <v>8387</v>
      </c>
      <c r="E669" s="675">
        <f aca="true" t="shared" si="248" ref="E669:F669">SUM(E663:E668)</f>
        <v>8387</v>
      </c>
      <c r="F669" s="675">
        <f t="shared" si="248"/>
        <v>167</v>
      </c>
      <c r="G669" s="743">
        <f t="shared" si="243"/>
        <v>0.019911768212710148</v>
      </c>
      <c r="H669" s="425"/>
    </row>
    <row r="670" spans="1:8" ht="12" customHeight="1">
      <c r="A670" s="72">
        <v>3356</v>
      </c>
      <c r="B670" s="204" t="s">
        <v>20</v>
      </c>
      <c r="C670" s="690"/>
      <c r="D670" s="690"/>
      <c r="E670" s="690"/>
      <c r="F670" s="690"/>
      <c r="G670" s="394"/>
      <c r="H670" s="421"/>
    </row>
    <row r="671" spans="1:8" ht="12" customHeight="1">
      <c r="A671" s="350"/>
      <c r="B671" s="351" t="s">
        <v>106</v>
      </c>
      <c r="C671" s="667"/>
      <c r="D671" s="667"/>
      <c r="E671" s="667"/>
      <c r="F671" s="667"/>
      <c r="G671" s="394"/>
      <c r="H671" s="421"/>
    </row>
    <row r="672" spans="1:8" ht="12" customHeight="1">
      <c r="A672" s="350"/>
      <c r="B672" s="176" t="s">
        <v>274</v>
      </c>
      <c r="C672" s="667"/>
      <c r="D672" s="667"/>
      <c r="E672" s="667"/>
      <c r="F672" s="667"/>
      <c r="G672" s="394"/>
      <c r="H672" s="421"/>
    </row>
    <row r="673" spans="1:8" ht="12" customHeight="1">
      <c r="A673" s="350"/>
      <c r="B673" s="352" t="s">
        <v>263</v>
      </c>
      <c r="C673" s="667"/>
      <c r="D673" s="667"/>
      <c r="E673" s="667"/>
      <c r="F673" s="667"/>
      <c r="G673" s="394"/>
      <c r="H673" s="533"/>
    </row>
    <row r="674" spans="1:8" ht="12" customHeight="1">
      <c r="A674" s="350"/>
      <c r="B674" s="289" t="s">
        <v>111</v>
      </c>
      <c r="C674" s="667"/>
      <c r="D674" s="667"/>
      <c r="E674" s="667"/>
      <c r="F674" s="667"/>
      <c r="G674" s="394"/>
      <c r="H674" s="421"/>
    </row>
    <row r="675" spans="1:8" ht="12" customHeight="1">
      <c r="A675" s="350"/>
      <c r="B675" s="289" t="s">
        <v>270</v>
      </c>
      <c r="C675" s="667">
        <v>5000</v>
      </c>
      <c r="D675" s="667">
        <f>5000+4229</f>
        <v>9229</v>
      </c>
      <c r="E675" s="667">
        <f>5000+4229</f>
        <v>9229</v>
      </c>
      <c r="F675" s="667"/>
      <c r="G675" s="744">
        <f t="shared" si="243"/>
        <v>0</v>
      </c>
      <c r="H675" s="421"/>
    </row>
    <row r="676" spans="1:8" ht="12" customHeight="1" thickBot="1">
      <c r="A676" s="350"/>
      <c r="B676" s="406" t="s">
        <v>79</v>
      </c>
      <c r="C676" s="678"/>
      <c r="D676" s="678"/>
      <c r="E676" s="678"/>
      <c r="F676" s="678"/>
      <c r="G676" s="746"/>
      <c r="H676" s="439"/>
    </row>
    <row r="677" spans="1:8" ht="12" customHeight="1" thickBot="1">
      <c r="A677" s="359"/>
      <c r="B677" s="409" t="s">
        <v>122</v>
      </c>
      <c r="C677" s="675">
        <f aca="true" t="shared" si="249" ref="C677">SUM(C671:C676)</f>
        <v>5000</v>
      </c>
      <c r="D677" s="675">
        <f aca="true" t="shared" si="250" ref="D677">SUM(D671:D676)</f>
        <v>9229</v>
      </c>
      <c r="E677" s="675">
        <f aca="true" t="shared" si="251" ref="E677:F677">SUM(E671:E676)</f>
        <v>9229</v>
      </c>
      <c r="F677" s="675">
        <f t="shared" si="251"/>
        <v>0</v>
      </c>
      <c r="G677" s="743">
        <f t="shared" si="243"/>
        <v>0</v>
      </c>
      <c r="H677" s="425"/>
    </row>
    <row r="678" spans="1:8" ht="12" customHeight="1">
      <c r="A678" s="72">
        <v>3357</v>
      </c>
      <c r="B678" s="204" t="s">
        <v>34</v>
      </c>
      <c r="C678" s="690"/>
      <c r="D678" s="690"/>
      <c r="E678" s="690"/>
      <c r="F678" s="690"/>
      <c r="G678" s="394"/>
      <c r="H678" s="421"/>
    </row>
    <row r="679" spans="1:8" ht="12" customHeight="1">
      <c r="A679" s="350"/>
      <c r="B679" s="351" t="s">
        <v>106</v>
      </c>
      <c r="C679" s="667">
        <v>600</v>
      </c>
      <c r="D679" s="667">
        <v>600</v>
      </c>
      <c r="E679" s="667">
        <v>600</v>
      </c>
      <c r="F679" s="667"/>
      <c r="G679" s="744">
        <f t="shared" si="243"/>
        <v>0</v>
      </c>
      <c r="H679" s="421"/>
    </row>
    <row r="680" spans="1:8" ht="12" customHeight="1">
      <c r="A680" s="350"/>
      <c r="B680" s="176" t="s">
        <v>274</v>
      </c>
      <c r="C680" s="667">
        <v>300</v>
      </c>
      <c r="D680" s="667">
        <v>300</v>
      </c>
      <c r="E680" s="667">
        <v>300</v>
      </c>
      <c r="F680" s="667"/>
      <c r="G680" s="741">
        <f t="shared" si="243"/>
        <v>0</v>
      </c>
      <c r="H680" s="421"/>
    </row>
    <row r="681" spans="1:8" ht="12" customHeight="1">
      <c r="A681" s="350"/>
      <c r="B681" s="352" t="s">
        <v>263</v>
      </c>
      <c r="C681" s="667">
        <v>2100</v>
      </c>
      <c r="D681" s="667">
        <f>2100+1817</f>
        <v>3917</v>
      </c>
      <c r="E681" s="667">
        <f>3917-1000</f>
        <v>2917</v>
      </c>
      <c r="F681" s="667">
        <v>1517</v>
      </c>
      <c r="G681" s="741">
        <f t="shared" si="243"/>
        <v>0.5200548508741858</v>
      </c>
      <c r="H681" s="813" t="s">
        <v>520</v>
      </c>
    </row>
    <row r="682" spans="1:8" ht="12" customHeight="1">
      <c r="A682" s="350"/>
      <c r="B682" s="289" t="s">
        <v>111</v>
      </c>
      <c r="C682" s="667"/>
      <c r="D682" s="667"/>
      <c r="E682" s="667"/>
      <c r="F682" s="667"/>
      <c r="G682" s="741"/>
      <c r="H682" s="421"/>
    </row>
    <row r="683" spans="1:8" ht="12" customHeight="1">
      <c r="A683" s="350"/>
      <c r="B683" s="289" t="s">
        <v>270</v>
      </c>
      <c r="C683" s="667"/>
      <c r="D683" s="667"/>
      <c r="E683" s="667">
        <v>1000</v>
      </c>
      <c r="F683" s="667">
        <v>1000</v>
      </c>
      <c r="G683" s="741">
        <f t="shared" si="243"/>
        <v>1</v>
      </c>
      <c r="H683" s="421"/>
    </row>
    <row r="684" spans="1:8" ht="12" customHeight="1" thickBot="1">
      <c r="A684" s="350"/>
      <c r="B684" s="406" t="s">
        <v>79</v>
      </c>
      <c r="C684" s="697"/>
      <c r="D684" s="697"/>
      <c r="E684" s="697"/>
      <c r="F684" s="697"/>
      <c r="G684" s="746"/>
      <c r="H684" s="439"/>
    </row>
    <row r="685" spans="1:8" ht="12.6" thickBot="1">
      <c r="A685" s="359"/>
      <c r="B685" s="409" t="s">
        <v>122</v>
      </c>
      <c r="C685" s="675">
        <f aca="true" t="shared" si="252" ref="C685">SUM(C679:C684)</f>
        <v>3000</v>
      </c>
      <c r="D685" s="675">
        <f aca="true" t="shared" si="253" ref="D685">SUM(D679:D684)</f>
        <v>4817</v>
      </c>
      <c r="E685" s="675">
        <f aca="true" t="shared" si="254" ref="E685:F685">SUM(E679:E684)</f>
        <v>4817</v>
      </c>
      <c r="F685" s="675">
        <f t="shared" si="254"/>
        <v>2517</v>
      </c>
      <c r="G685" s="743">
        <f t="shared" si="243"/>
        <v>0.5225243927755865</v>
      </c>
      <c r="H685" s="425"/>
    </row>
    <row r="686" spans="1:8" ht="12">
      <c r="A686" s="72">
        <v>3362</v>
      </c>
      <c r="B686" s="204" t="s">
        <v>439</v>
      </c>
      <c r="C686" s="690"/>
      <c r="D686" s="690"/>
      <c r="E686" s="690"/>
      <c r="F686" s="690"/>
      <c r="G686" s="394"/>
      <c r="H686" s="421"/>
    </row>
    <row r="687" spans="1:8" ht="12" customHeight="1">
      <c r="A687" s="350"/>
      <c r="B687" s="596" t="s">
        <v>106</v>
      </c>
      <c r="C687" s="667"/>
      <c r="D687" s="667"/>
      <c r="E687" s="667"/>
      <c r="F687" s="667"/>
      <c r="G687" s="394"/>
      <c r="H687" s="807" t="s">
        <v>494</v>
      </c>
    </row>
    <row r="688" spans="1:8" ht="12" customHeight="1">
      <c r="A688" s="350"/>
      <c r="B688" s="176" t="s">
        <v>274</v>
      </c>
      <c r="C688" s="667"/>
      <c r="D688" s="667"/>
      <c r="E688" s="667"/>
      <c r="F688" s="667"/>
      <c r="G688" s="394"/>
      <c r="H688" s="421" t="s">
        <v>484</v>
      </c>
    </row>
    <row r="689" spans="1:8" ht="12" customHeight="1">
      <c r="A689" s="350"/>
      <c r="B689" s="352" t="s">
        <v>263</v>
      </c>
      <c r="C689" s="667"/>
      <c r="D689" s="667">
        <f>1500</f>
        <v>1500</v>
      </c>
      <c r="E689" s="667">
        <f>1500</f>
        <v>1500</v>
      </c>
      <c r="F689" s="667">
        <v>1500</v>
      </c>
      <c r="G689" s="394">
        <f t="shared" si="243"/>
        <v>1</v>
      </c>
      <c r="H689" s="534"/>
    </row>
    <row r="690" spans="1:8" ht="12" customHeight="1">
      <c r="A690" s="350"/>
      <c r="B690" s="289" t="s">
        <v>111</v>
      </c>
      <c r="C690" s="667"/>
      <c r="D690" s="667"/>
      <c r="E690" s="667"/>
      <c r="F690" s="667"/>
      <c r="G690" s="394"/>
      <c r="H690" s="813" t="s">
        <v>520</v>
      </c>
    </row>
    <row r="691" spans="1:8" ht="12" customHeight="1">
      <c r="A691" s="350"/>
      <c r="B691" s="289" t="s">
        <v>270</v>
      </c>
      <c r="C691" s="667"/>
      <c r="D691" s="667"/>
      <c r="E691" s="667"/>
      <c r="F691" s="667"/>
      <c r="G691" s="394"/>
      <c r="H691" s="421"/>
    </row>
    <row r="692" spans="1:8" ht="12" customHeight="1" thickBot="1">
      <c r="A692" s="350"/>
      <c r="B692" s="406" t="s">
        <v>251</v>
      </c>
      <c r="C692" s="697"/>
      <c r="D692" s="697"/>
      <c r="E692" s="697"/>
      <c r="F692" s="697"/>
      <c r="G692" s="742"/>
      <c r="H692" s="439"/>
    </row>
    <row r="693" spans="1:8" ht="12" customHeight="1" thickBot="1">
      <c r="A693" s="359"/>
      <c r="B693" s="409" t="s">
        <v>122</v>
      </c>
      <c r="C693" s="675">
        <f aca="true" t="shared" si="255" ref="C693">SUM(C687:C692)</f>
        <v>0</v>
      </c>
      <c r="D693" s="675">
        <f aca="true" t="shared" si="256" ref="D693">SUM(D687:D692)</f>
        <v>1500</v>
      </c>
      <c r="E693" s="675">
        <f aca="true" t="shared" si="257" ref="E693:F693">SUM(E687:E692)</f>
        <v>1500</v>
      </c>
      <c r="F693" s="675">
        <f t="shared" si="257"/>
        <v>1500</v>
      </c>
      <c r="G693" s="743">
        <f t="shared" si="243"/>
        <v>1</v>
      </c>
      <c r="H693" s="425"/>
    </row>
    <row r="694" spans="1:8" ht="12" customHeight="1" thickBot="1">
      <c r="A694" s="434">
        <v>3400</v>
      </c>
      <c r="B694" s="445" t="s">
        <v>84</v>
      </c>
      <c r="C694" s="675">
        <f>SUM(C695+C729)</f>
        <v>120788</v>
      </c>
      <c r="D694" s="675">
        <f>SUM(D695+D729)</f>
        <v>217748</v>
      </c>
      <c r="E694" s="675">
        <f>SUM(E695+E729)</f>
        <v>217748</v>
      </c>
      <c r="F694" s="675">
        <f>SUM(F695+F729)</f>
        <v>97614</v>
      </c>
      <c r="G694" s="743">
        <f t="shared" si="243"/>
        <v>0.4482888476587615</v>
      </c>
      <c r="H694" s="425"/>
    </row>
    <row r="695" spans="1:8" ht="12" customHeight="1" thickBot="1">
      <c r="A695" s="72">
        <v>3410</v>
      </c>
      <c r="B695" s="362" t="s">
        <v>85</v>
      </c>
      <c r="C695" s="675">
        <f>SUM(C703+C711+C720+C728)</f>
        <v>42000</v>
      </c>
      <c r="D695" s="675">
        <f>SUM(D703+D711+D720+D728)</f>
        <v>74180</v>
      </c>
      <c r="E695" s="675">
        <f>SUM(E703+E711+E720+E728)</f>
        <v>74180</v>
      </c>
      <c r="F695" s="675">
        <f>SUM(F703+F711+F720+F728)</f>
        <v>20985</v>
      </c>
      <c r="G695" s="743">
        <f t="shared" si="243"/>
        <v>0.2828929630628202</v>
      </c>
      <c r="H695" s="425"/>
    </row>
    <row r="696" spans="1:8" s="389" customFormat="1" ht="12" customHeight="1">
      <c r="A696" s="72">
        <v>3412</v>
      </c>
      <c r="B696" s="204" t="s">
        <v>359</v>
      </c>
      <c r="C696" s="690"/>
      <c r="D696" s="690"/>
      <c r="E696" s="690"/>
      <c r="F696" s="690"/>
      <c r="G696" s="394"/>
      <c r="H696" s="420"/>
    </row>
    <row r="697" spans="1:8" ht="12" customHeight="1">
      <c r="A697" s="350"/>
      <c r="B697" s="351" t="s">
        <v>106</v>
      </c>
      <c r="C697" s="691">
        <v>11500</v>
      </c>
      <c r="D697" s="691">
        <f>11500+612</f>
        <v>12112</v>
      </c>
      <c r="E697" s="691">
        <f>11500+612</f>
        <v>12112</v>
      </c>
      <c r="F697" s="691">
        <v>1552</v>
      </c>
      <c r="G697" s="744">
        <f t="shared" si="243"/>
        <v>0.12813738441215325</v>
      </c>
      <c r="H697" s="421"/>
    </row>
    <row r="698" spans="1:8" ht="12" customHeight="1">
      <c r="A698" s="350"/>
      <c r="B698" s="176" t="s">
        <v>274</v>
      </c>
      <c r="C698" s="691">
        <v>2000</v>
      </c>
      <c r="D698" s="691">
        <f>2000+131</f>
        <v>2131</v>
      </c>
      <c r="E698" s="691">
        <f>2000+131</f>
        <v>2131</v>
      </c>
      <c r="F698" s="691">
        <v>196</v>
      </c>
      <c r="G698" s="741">
        <f t="shared" si="243"/>
        <v>0.09197559831065227</v>
      </c>
      <c r="H698" s="534"/>
    </row>
    <row r="699" spans="1:8" ht="12" customHeight="1">
      <c r="A699" s="350"/>
      <c r="B699" s="352" t="s">
        <v>263</v>
      </c>
      <c r="C699" s="667">
        <v>6500</v>
      </c>
      <c r="D699" s="667">
        <v>31592</v>
      </c>
      <c r="E699" s="667">
        <f>31592-571</f>
        <v>31021</v>
      </c>
      <c r="F699" s="667">
        <v>4882</v>
      </c>
      <c r="G699" s="741">
        <f t="shared" si="243"/>
        <v>0.15737726056542342</v>
      </c>
      <c r="H699" s="813" t="s">
        <v>520</v>
      </c>
    </row>
    <row r="700" spans="1:8" ht="12" customHeight="1">
      <c r="A700" s="350"/>
      <c r="B700" s="289" t="s">
        <v>111</v>
      </c>
      <c r="C700" s="667"/>
      <c r="D700" s="667"/>
      <c r="E700" s="667"/>
      <c r="F700" s="667"/>
      <c r="G700" s="741"/>
      <c r="H700" s="421"/>
    </row>
    <row r="701" spans="1:8" ht="12.75">
      <c r="A701" s="350"/>
      <c r="B701" s="289" t="s">
        <v>270</v>
      </c>
      <c r="C701" s="691"/>
      <c r="D701" s="691"/>
      <c r="E701" s="691">
        <v>571</v>
      </c>
      <c r="F701" s="691">
        <v>570</v>
      </c>
      <c r="G701" s="741">
        <f t="shared" si="243"/>
        <v>0.9982486865148862</v>
      </c>
      <c r="H701" s="422"/>
    </row>
    <row r="702" spans="1:8" ht="12.6" thickBot="1">
      <c r="A702" s="350"/>
      <c r="B702" s="406" t="s">
        <v>233</v>
      </c>
      <c r="C702" s="693"/>
      <c r="D702" s="693"/>
      <c r="E702" s="693"/>
      <c r="F702" s="693"/>
      <c r="G702" s="746"/>
      <c r="H702" s="423"/>
    </row>
    <row r="703" spans="1:8" ht="12" customHeight="1" thickBot="1">
      <c r="A703" s="359"/>
      <c r="B703" s="409" t="s">
        <v>122</v>
      </c>
      <c r="C703" s="678">
        <f aca="true" t="shared" si="258" ref="C703">SUM(C697:C702)</f>
        <v>20000</v>
      </c>
      <c r="D703" s="678">
        <f aca="true" t="shared" si="259" ref="D703">SUM(D697:D702)</f>
        <v>45835</v>
      </c>
      <c r="E703" s="678">
        <f aca="true" t="shared" si="260" ref="E703:F703">SUM(E697:E702)</f>
        <v>45835</v>
      </c>
      <c r="F703" s="678">
        <f t="shared" si="260"/>
        <v>7200</v>
      </c>
      <c r="G703" s="743">
        <f t="shared" si="243"/>
        <v>0.15708519690193085</v>
      </c>
      <c r="H703" s="461"/>
    </row>
    <row r="704" spans="1:8" ht="12" customHeight="1">
      <c r="A704" s="72">
        <v>3413</v>
      </c>
      <c r="B704" s="432" t="s">
        <v>126</v>
      </c>
      <c r="C704" s="690"/>
      <c r="D704" s="690"/>
      <c r="E704" s="690"/>
      <c r="F704" s="690"/>
      <c r="G704" s="394"/>
      <c r="H704" s="391"/>
    </row>
    <row r="705" spans="1:8" ht="12" customHeight="1">
      <c r="A705" s="350"/>
      <c r="B705" s="351" t="s">
        <v>106</v>
      </c>
      <c r="C705" s="691">
        <v>600</v>
      </c>
      <c r="D705" s="691">
        <f>600+46</f>
        <v>646</v>
      </c>
      <c r="E705" s="691">
        <f>600+46</f>
        <v>646</v>
      </c>
      <c r="F705" s="691"/>
      <c r="G705" s="744">
        <f t="shared" si="243"/>
        <v>0</v>
      </c>
      <c r="H705" s="421"/>
    </row>
    <row r="706" spans="1:8" ht="12" customHeight="1">
      <c r="A706" s="350"/>
      <c r="B706" s="176" t="s">
        <v>274</v>
      </c>
      <c r="C706" s="691">
        <v>400</v>
      </c>
      <c r="D706" s="691">
        <f>400+7</f>
        <v>407</v>
      </c>
      <c r="E706" s="691">
        <f>400+7</f>
        <v>407</v>
      </c>
      <c r="F706" s="691"/>
      <c r="G706" s="741">
        <f t="shared" si="243"/>
        <v>0</v>
      </c>
      <c r="H706" s="813" t="s">
        <v>520</v>
      </c>
    </row>
    <row r="707" spans="1:8" ht="12" customHeight="1">
      <c r="A707" s="350"/>
      <c r="B707" s="352" t="s">
        <v>263</v>
      </c>
      <c r="C707" s="667">
        <v>1000</v>
      </c>
      <c r="D707" s="667">
        <v>1000</v>
      </c>
      <c r="E707" s="667">
        <v>1000</v>
      </c>
      <c r="F707" s="667"/>
      <c r="G707" s="741">
        <f t="shared" si="243"/>
        <v>0</v>
      </c>
      <c r="H707" s="534"/>
    </row>
    <row r="708" spans="1:8" ht="12" customHeight="1">
      <c r="A708" s="350"/>
      <c r="B708" s="289" t="s">
        <v>111</v>
      </c>
      <c r="C708" s="667"/>
      <c r="D708" s="667"/>
      <c r="E708" s="667"/>
      <c r="F708" s="667"/>
      <c r="G708" s="741"/>
      <c r="H708" s="421"/>
    </row>
    <row r="709" spans="1:8" ht="12" customHeight="1">
      <c r="A709" s="350"/>
      <c r="B709" s="289" t="s">
        <v>270</v>
      </c>
      <c r="C709" s="691"/>
      <c r="D709" s="691"/>
      <c r="E709" s="691"/>
      <c r="F709" s="691"/>
      <c r="G709" s="741"/>
      <c r="H709" s="421"/>
    </row>
    <row r="710" spans="1:8" ht="12" customHeight="1" thickBot="1">
      <c r="A710" s="350"/>
      <c r="B710" s="406" t="s">
        <v>79</v>
      </c>
      <c r="C710" s="693"/>
      <c r="D710" s="693"/>
      <c r="E710" s="693"/>
      <c r="F710" s="693"/>
      <c r="G710" s="746"/>
      <c r="H710" s="439"/>
    </row>
    <row r="711" spans="1:8" ht="12" customHeight="1" thickBot="1">
      <c r="A711" s="359"/>
      <c r="B711" s="409" t="s">
        <v>122</v>
      </c>
      <c r="C711" s="678">
        <f aca="true" t="shared" si="261" ref="C711">SUM(C705:C710)</f>
        <v>2000</v>
      </c>
      <c r="D711" s="678">
        <f aca="true" t="shared" si="262" ref="D711">SUM(D705:D710)</f>
        <v>2053</v>
      </c>
      <c r="E711" s="678">
        <f aca="true" t="shared" si="263" ref="E711:F711">SUM(E705:E710)</f>
        <v>2053</v>
      </c>
      <c r="F711" s="678">
        <f t="shared" si="263"/>
        <v>0</v>
      </c>
      <c r="G711" s="743">
        <f t="shared" si="243"/>
        <v>0</v>
      </c>
      <c r="H711" s="461"/>
    </row>
    <row r="712" spans="1:8" ht="12" customHeight="1">
      <c r="A712" s="72">
        <v>3414</v>
      </c>
      <c r="B712" s="432" t="s">
        <v>74</v>
      </c>
      <c r="C712" s="690"/>
      <c r="D712" s="690"/>
      <c r="E712" s="690"/>
      <c r="F712" s="690"/>
      <c r="G712" s="394"/>
      <c r="H712" s="391"/>
    </row>
    <row r="713" spans="1:8" ht="12" customHeight="1">
      <c r="A713" s="350"/>
      <c r="B713" s="351" t="s">
        <v>106</v>
      </c>
      <c r="C713" s="691"/>
      <c r="D713" s="691"/>
      <c r="E713" s="691"/>
      <c r="F713" s="691"/>
      <c r="G713" s="394"/>
      <c r="H713" s="420" t="s">
        <v>493</v>
      </c>
    </row>
    <row r="714" spans="1:8" ht="12" customHeight="1">
      <c r="A714" s="350"/>
      <c r="B714" s="176" t="s">
        <v>274</v>
      </c>
      <c r="C714" s="691"/>
      <c r="D714" s="691"/>
      <c r="E714" s="691"/>
      <c r="F714" s="691"/>
      <c r="G714" s="394"/>
      <c r="H714" s="759" t="s">
        <v>492</v>
      </c>
    </row>
    <row r="715" spans="1:8" ht="12" customHeight="1">
      <c r="A715" s="350"/>
      <c r="B715" s="352" t="s">
        <v>263</v>
      </c>
      <c r="C715" s="667"/>
      <c r="D715" s="667"/>
      <c r="E715" s="667"/>
      <c r="F715" s="667"/>
      <c r="G715" s="394"/>
      <c r="H715" s="534"/>
    </row>
    <row r="716" spans="1:8" ht="12" customHeight="1">
      <c r="A716" s="350"/>
      <c r="B716" s="289" t="s">
        <v>111</v>
      </c>
      <c r="C716" s="667"/>
      <c r="D716" s="667"/>
      <c r="E716" s="667"/>
      <c r="F716" s="667"/>
      <c r="G716" s="394"/>
      <c r="H716" s="421"/>
    </row>
    <row r="717" spans="1:8" ht="12" customHeight="1">
      <c r="A717" s="350"/>
      <c r="B717" s="289" t="s">
        <v>270</v>
      </c>
      <c r="C717" s="691">
        <v>0</v>
      </c>
      <c r="D717" s="691">
        <v>1292</v>
      </c>
      <c r="E717" s="691">
        <v>1292</v>
      </c>
      <c r="F717" s="691">
        <v>285</v>
      </c>
      <c r="G717" s="741">
        <f aca="true" t="shared" si="264" ref="G717:G777">SUM(F717/E717)</f>
        <v>0.22058823529411764</v>
      </c>
      <c r="H717" s="421"/>
    </row>
    <row r="718" spans="1:8" ht="12" customHeight="1">
      <c r="A718" s="350"/>
      <c r="B718" s="289" t="s">
        <v>231</v>
      </c>
      <c r="C718" s="691"/>
      <c r="D718" s="691"/>
      <c r="E718" s="691"/>
      <c r="F718" s="691"/>
      <c r="G718" s="394"/>
      <c r="H718" s="422"/>
    </row>
    <row r="719" spans="1:8" ht="12" customHeight="1" thickBot="1">
      <c r="A719" s="350"/>
      <c r="B719" s="406" t="s">
        <v>251</v>
      </c>
      <c r="C719" s="663"/>
      <c r="D719" s="663"/>
      <c r="E719" s="663"/>
      <c r="F719" s="663"/>
      <c r="G719" s="742"/>
      <c r="H719" s="439"/>
    </row>
    <row r="720" spans="1:8" ht="12" customHeight="1" thickBot="1">
      <c r="A720" s="359"/>
      <c r="B720" s="409" t="s">
        <v>122</v>
      </c>
      <c r="C720" s="675">
        <f aca="true" t="shared" si="265" ref="C720">SUM(C713:C719)</f>
        <v>0</v>
      </c>
      <c r="D720" s="675">
        <f aca="true" t="shared" si="266" ref="D720">SUM(D713:D719)</f>
        <v>1292</v>
      </c>
      <c r="E720" s="675">
        <f aca="true" t="shared" si="267" ref="E720:F720">SUM(E713:E719)</f>
        <v>1292</v>
      </c>
      <c r="F720" s="675">
        <f t="shared" si="267"/>
        <v>285</v>
      </c>
      <c r="G720" s="743">
        <f t="shared" si="264"/>
        <v>0.22058823529411764</v>
      </c>
      <c r="H720" s="461"/>
    </row>
    <row r="721" spans="1:8" ht="12" customHeight="1">
      <c r="A721" s="72">
        <v>3416</v>
      </c>
      <c r="B721" s="432" t="s">
        <v>156</v>
      </c>
      <c r="C721" s="690"/>
      <c r="D721" s="690"/>
      <c r="E721" s="690"/>
      <c r="F721" s="690"/>
      <c r="G721" s="394"/>
      <c r="H721" s="391" t="s">
        <v>493</v>
      </c>
    </row>
    <row r="722" spans="1:8" ht="12" customHeight="1">
      <c r="A722" s="350"/>
      <c r="B722" s="351" t="s">
        <v>106</v>
      </c>
      <c r="C722" s="691"/>
      <c r="D722" s="691"/>
      <c r="E722" s="691"/>
      <c r="F722" s="691"/>
      <c r="G722" s="394"/>
      <c r="H722" s="759" t="s">
        <v>492</v>
      </c>
    </row>
    <row r="723" spans="1:8" ht="12" customHeight="1">
      <c r="A723" s="350"/>
      <c r="B723" s="176" t="s">
        <v>274</v>
      </c>
      <c r="C723" s="691"/>
      <c r="D723" s="691"/>
      <c r="E723" s="691"/>
      <c r="F723" s="691"/>
      <c r="G723" s="394"/>
      <c r="H723" s="421"/>
    </row>
    <row r="724" spans="1:8" ht="12" customHeight="1">
      <c r="A724" s="350"/>
      <c r="B724" s="352" t="s">
        <v>263</v>
      </c>
      <c r="C724" s="691"/>
      <c r="D724" s="691"/>
      <c r="E724" s="691"/>
      <c r="F724" s="691"/>
      <c r="G724" s="394"/>
      <c r="H724" s="534"/>
    </row>
    <row r="725" spans="1:8" ht="12" customHeight="1">
      <c r="A725" s="350"/>
      <c r="B725" s="289" t="s">
        <v>111</v>
      </c>
      <c r="C725" s="691"/>
      <c r="D725" s="691"/>
      <c r="E725" s="691"/>
      <c r="F725" s="691"/>
      <c r="G725" s="394"/>
      <c r="H725" s="534"/>
    </row>
    <row r="726" spans="1:8" ht="12" customHeight="1">
      <c r="A726" s="350"/>
      <c r="B726" s="289" t="s">
        <v>270</v>
      </c>
      <c r="C726" s="691">
        <v>20000</v>
      </c>
      <c r="D726" s="691">
        <f>20000+5000</f>
        <v>25000</v>
      </c>
      <c r="E726" s="691">
        <f>20000+5000</f>
        <v>25000</v>
      </c>
      <c r="F726" s="691">
        <v>13500</v>
      </c>
      <c r="G726" s="744">
        <f t="shared" si="264"/>
        <v>0.54</v>
      </c>
      <c r="H726" s="533"/>
    </row>
    <row r="727" spans="1:8" ht="12" customHeight="1" thickBot="1">
      <c r="A727" s="350"/>
      <c r="B727" s="406" t="s">
        <v>79</v>
      </c>
      <c r="C727" s="663"/>
      <c r="D727" s="663"/>
      <c r="E727" s="663"/>
      <c r="F727" s="663"/>
      <c r="G727" s="746"/>
      <c r="H727" s="535"/>
    </row>
    <row r="728" spans="1:8" ht="12" customHeight="1" thickBot="1">
      <c r="A728" s="359"/>
      <c r="B728" s="409" t="s">
        <v>122</v>
      </c>
      <c r="C728" s="675">
        <f aca="true" t="shared" si="268" ref="C728">SUM(C722:C727)</f>
        <v>20000</v>
      </c>
      <c r="D728" s="675">
        <f aca="true" t="shared" si="269" ref="D728">SUM(D722:D727)</f>
        <v>25000</v>
      </c>
      <c r="E728" s="675">
        <f aca="true" t="shared" si="270" ref="E728:F728">SUM(E722:E727)</f>
        <v>25000</v>
      </c>
      <c r="F728" s="675">
        <f t="shared" si="270"/>
        <v>13500</v>
      </c>
      <c r="G728" s="743">
        <f t="shared" si="264"/>
        <v>0.54</v>
      </c>
      <c r="H728" s="461"/>
    </row>
    <row r="729" spans="1:8" ht="12" customHeight="1">
      <c r="A729" s="72">
        <v>3420</v>
      </c>
      <c r="B729" s="362" t="s">
        <v>140</v>
      </c>
      <c r="C729" s="690">
        <f>SUM(C745+C753+C777+C761+C769+C785+C793+C801+C737)</f>
        <v>78788</v>
      </c>
      <c r="D729" s="690">
        <f>SUM(D745+D753+D777+D761+D769+D785+D793+D801+D737)</f>
        <v>143568</v>
      </c>
      <c r="E729" s="690">
        <f>SUM(E745+E753+E777+E761+E769+E785+E793+E801+E737)</f>
        <v>143568</v>
      </c>
      <c r="F729" s="690">
        <f>SUM(F745+F753+F777+F761+F769+F785+F793+F801+F737)</f>
        <v>76629</v>
      </c>
      <c r="G729" s="394">
        <f t="shared" si="264"/>
        <v>0.5337470745570043</v>
      </c>
      <c r="H729" s="391"/>
    </row>
    <row r="730" spans="1:8" ht="12" customHeight="1">
      <c r="A730" s="72">
        <v>3421</v>
      </c>
      <c r="B730" s="432" t="s">
        <v>371</v>
      </c>
      <c r="C730" s="690"/>
      <c r="D730" s="690"/>
      <c r="E730" s="690"/>
      <c r="F730" s="690"/>
      <c r="G730" s="394"/>
      <c r="H730" s="420"/>
    </row>
    <row r="731" spans="1:8" ht="12" customHeight="1">
      <c r="A731" s="350"/>
      <c r="B731" s="351" t="s">
        <v>106</v>
      </c>
      <c r="C731" s="691">
        <v>1700</v>
      </c>
      <c r="D731" s="691">
        <f>1700+4316</f>
        <v>6016</v>
      </c>
      <c r="E731" s="691">
        <f>1700+4316</f>
        <v>6016</v>
      </c>
      <c r="F731" s="691">
        <v>4424</v>
      </c>
      <c r="G731" s="744">
        <f t="shared" si="264"/>
        <v>0.7353723404255319</v>
      </c>
      <c r="H731" s="533"/>
    </row>
    <row r="732" spans="1:8" ht="12" customHeight="1">
      <c r="A732" s="350"/>
      <c r="B732" s="176" t="s">
        <v>274</v>
      </c>
      <c r="C732" s="691">
        <v>800</v>
      </c>
      <c r="D732" s="691">
        <f>800+689</f>
        <v>1489</v>
      </c>
      <c r="E732" s="691">
        <f>800+689</f>
        <v>1489</v>
      </c>
      <c r="F732" s="691">
        <v>533</v>
      </c>
      <c r="G732" s="741">
        <f t="shared" si="264"/>
        <v>0.3579583613163197</v>
      </c>
      <c r="H732" s="759" t="s">
        <v>523</v>
      </c>
    </row>
    <row r="733" spans="1:8" ht="12" customHeight="1">
      <c r="A733" s="350"/>
      <c r="B733" s="352" t="s">
        <v>263</v>
      </c>
      <c r="C733" s="691">
        <v>5500</v>
      </c>
      <c r="D733" s="691">
        <f>5500+4860</f>
        <v>10360</v>
      </c>
      <c r="E733" s="691">
        <f>5500+4860</f>
        <v>10360</v>
      </c>
      <c r="F733" s="691">
        <v>4632</v>
      </c>
      <c r="G733" s="741">
        <f t="shared" si="264"/>
        <v>0.4471042471042471</v>
      </c>
      <c r="H733" s="534"/>
    </row>
    <row r="734" spans="1:8" ht="12" customHeight="1">
      <c r="A734" s="350"/>
      <c r="B734" s="289" t="s">
        <v>111</v>
      </c>
      <c r="C734" s="691"/>
      <c r="D734" s="691"/>
      <c r="E734" s="691"/>
      <c r="F734" s="691"/>
      <c r="G734" s="741"/>
      <c r="H734" s="427"/>
    </row>
    <row r="735" spans="1:8" ht="12" customHeight="1">
      <c r="A735" s="350"/>
      <c r="B735" s="289" t="s">
        <v>270</v>
      </c>
      <c r="C735" s="691"/>
      <c r="D735" s="691"/>
      <c r="E735" s="691"/>
      <c r="F735" s="691"/>
      <c r="G735" s="741"/>
      <c r="H735" s="395"/>
    </row>
    <row r="736" spans="1:8" ht="12" customHeight="1" thickBot="1">
      <c r="A736" s="350"/>
      <c r="B736" s="406" t="s">
        <v>233</v>
      </c>
      <c r="C736" s="693">
        <v>12000</v>
      </c>
      <c r="D736" s="693">
        <v>12000</v>
      </c>
      <c r="E736" s="693">
        <v>12000</v>
      </c>
      <c r="F736" s="693"/>
      <c r="G736" s="746">
        <f t="shared" si="264"/>
        <v>0</v>
      </c>
      <c r="H736" s="439"/>
    </row>
    <row r="737" spans="1:8" ht="12" customHeight="1" thickBot="1">
      <c r="A737" s="359"/>
      <c r="B737" s="409" t="s">
        <v>122</v>
      </c>
      <c r="C737" s="675">
        <f aca="true" t="shared" si="271" ref="C737">SUM(C731:C736)</f>
        <v>20000</v>
      </c>
      <c r="D737" s="675">
        <f aca="true" t="shared" si="272" ref="D737">SUM(D731:D736)</f>
        <v>29865</v>
      </c>
      <c r="E737" s="675">
        <f aca="true" t="shared" si="273" ref="E737:F737">SUM(E731:E736)</f>
        <v>29865</v>
      </c>
      <c r="F737" s="675">
        <f t="shared" si="273"/>
        <v>9589</v>
      </c>
      <c r="G737" s="743">
        <f t="shared" si="264"/>
        <v>0.32107818516658293</v>
      </c>
      <c r="H737" s="425"/>
    </row>
    <row r="738" spans="1:8" ht="12" customHeight="1">
      <c r="A738" s="72">
        <v>3422</v>
      </c>
      <c r="B738" s="432" t="s">
        <v>128</v>
      </c>
      <c r="C738" s="690"/>
      <c r="D738" s="690"/>
      <c r="E738" s="690"/>
      <c r="F738" s="690"/>
      <c r="G738" s="394"/>
      <c r="H738" s="420"/>
    </row>
    <row r="739" spans="1:8" ht="12" customHeight="1">
      <c r="A739" s="350"/>
      <c r="B739" s="351" t="s">
        <v>106</v>
      </c>
      <c r="C739" s="691">
        <v>22000</v>
      </c>
      <c r="D739" s="691">
        <f>22000+1451</f>
        <v>23451</v>
      </c>
      <c r="E739" s="691">
        <f>22000+1451</f>
        <v>23451</v>
      </c>
      <c r="F739" s="691">
        <v>5760</v>
      </c>
      <c r="G739" s="744">
        <f t="shared" si="264"/>
        <v>0.24561852373033133</v>
      </c>
      <c r="H739" s="533"/>
    </row>
    <row r="740" spans="1:8" ht="12" customHeight="1">
      <c r="A740" s="350"/>
      <c r="B740" s="176" t="s">
        <v>274</v>
      </c>
      <c r="C740" s="691">
        <v>3410</v>
      </c>
      <c r="D740" s="691">
        <f>3410+1421</f>
        <v>4831</v>
      </c>
      <c r="E740" s="691">
        <f>3410+1421</f>
        <v>4831</v>
      </c>
      <c r="F740" s="691">
        <v>1979</v>
      </c>
      <c r="G740" s="741">
        <f t="shared" si="264"/>
        <v>0.4096460360173877</v>
      </c>
      <c r="H740" s="531" t="s">
        <v>522</v>
      </c>
    </row>
    <row r="741" spans="1:8" ht="12" customHeight="1">
      <c r="A741" s="350"/>
      <c r="B741" s="352" t="s">
        <v>263</v>
      </c>
      <c r="C741" s="691">
        <v>2590</v>
      </c>
      <c r="D741" s="691">
        <f>2590+19260</f>
        <v>21850</v>
      </c>
      <c r="E741" s="691">
        <f>21850-32</f>
        <v>21818</v>
      </c>
      <c r="F741" s="691">
        <v>19215</v>
      </c>
      <c r="G741" s="741">
        <f t="shared" si="264"/>
        <v>0.8806948391236593</v>
      </c>
      <c r="H741" s="759" t="s">
        <v>524</v>
      </c>
    </row>
    <row r="742" spans="1:8" ht="12" customHeight="1">
      <c r="A742" s="350"/>
      <c r="B742" s="289" t="s">
        <v>111</v>
      </c>
      <c r="C742" s="691"/>
      <c r="D742" s="691"/>
      <c r="E742" s="691"/>
      <c r="F742" s="691"/>
      <c r="G742" s="741"/>
      <c r="H742" s="427"/>
    </row>
    <row r="743" spans="1:8" ht="12" customHeight="1">
      <c r="A743" s="350"/>
      <c r="B743" s="289" t="s">
        <v>270</v>
      </c>
      <c r="C743" s="691"/>
      <c r="D743" s="691"/>
      <c r="E743" s="691"/>
      <c r="F743" s="691"/>
      <c r="G743" s="741"/>
      <c r="H743" s="395"/>
    </row>
    <row r="744" spans="1:8" ht="12" customHeight="1" thickBot="1">
      <c r="A744" s="350"/>
      <c r="B744" s="406" t="s">
        <v>19</v>
      </c>
      <c r="C744" s="693"/>
      <c r="D744" s="693"/>
      <c r="E744" s="693">
        <v>32</v>
      </c>
      <c r="F744" s="693">
        <v>32</v>
      </c>
      <c r="G744" s="746">
        <f t="shared" si="264"/>
        <v>1</v>
      </c>
      <c r="H744" s="439"/>
    </row>
    <row r="745" spans="1:8" ht="12" customHeight="1" thickBot="1">
      <c r="A745" s="359"/>
      <c r="B745" s="409" t="s">
        <v>122</v>
      </c>
      <c r="C745" s="675">
        <f aca="true" t="shared" si="274" ref="C745">SUM(C739:C744)</f>
        <v>28000</v>
      </c>
      <c r="D745" s="675">
        <f aca="true" t="shared" si="275" ref="D745">SUM(D739:D744)</f>
        <v>50132</v>
      </c>
      <c r="E745" s="675">
        <f aca="true" t="shared" si="276" ref="E745:F745">SUM(E739:E744)</f>
        <v>50132</v>
      </c>
      <c r="F745" s="675">
        <f t="shared" si="276"/>
        <v>26986</v>
      </c>
      <c r="G745" s="743">
        <f t="shared" si="264"/>
        <v>0.5382988909279502</v>
      </c>
      <c r="H745" s="425"/>
    </row>
    <row r="746" spans="1:8" ht="12" customHeight="1">
      <c r="A746" s="72">
        <v>3423</v>
      </c>
      <c r="B746" s="432" t="s">
        <v>127</v>
      </c>
      <c r="C746" s="690"/>
      <c r="D746" s="690"/>
      <c r="E746" s="690"/>
      <c r="F746" s="690"/>
      <c r="G746" s="394"/>
      <c r="H746" s="421"/>
    </row>
    <row r="747" spans="1:8" ht="12" customHeight="1">
      <c r="A747" s="350"/>
      <c r="B747" s="351" t="s">
        <v>106</v>
      </c>
      <c r="C747" s="691">
        <v>1000</v>
      </c>
      <c r="D747" s="691">
        <f>1000+499</f>
        <v>1499</v>
      </c>
      <c r="E747" s="691">
        <f>1000+499</f>
        <v>1499</v>
      </c>
      <c r="F747" s="691">
        <v>499</v>
      </c>
      <c r="G747" s="744">
        <f t="shared" si="264"/>
        <v>0.33288859239492996</v>
      </c>
      <c r="H747" s="421"/>
    </row>
    <row r="748" spans="1:8" ht="12" customHeight="1">
      <c r="A748" s="350"/>
      <c r="B748" s="176" t="s">
        <v>274</v>
      </c>
      <c r="C748" s="691">
        <v>155</v>
      </c>
      <c r="D748" s="691">
        <f>155+199</f>
        <v>354</v>
      </c>
      <c r="E748" s="691">
        <f>155+199</f>
        <v>354</v>
      </c>
      <c r="F748" s="691">
        <v>198</v>
      </c>
      <c r="G748" s="741">
        <f t="shared" si="264"/>
        <v>0.559322033898305</v>
      </c>
      <c r="H748" s="533"/>
    </row>
    <row r="749" spans="1:8" ht="12" customHeight="1">
      <c r="A749" s="350"/>
      <c r="B749" s="352" t="s">
        <v>263</v>
      </c>
      <c r="C749" s="691">
        <v>2345</v>
      </c>
      <c r="D749" s="691">
        <f>2345+52</f>
        <v>2397</v>
      </c>
      <c r="E749" s="691">
        <f>2345+52</f>
        <v>2397</v>
      </c>
      <c r="F749" s="691">
        <v>52</v>
      </c>
      <c r="G749" s="741">
        <f t="shared" si="264"/>
        <v>0.02169378389653734</v>
      </c>
      <c r="H749" s="436"/>
    </row>
    <row r="750" spans="1:8" ht="12" customHeight="1">
      <c r="A750" s="350"/>
      <c r="B750" s="289" t="s">
        <v>111</v>
      </c>
      <c r="C750" s="691"/>
      <c r="D750" s="691"/>
      <c r="E750" s="691"/>
      <c r="F750" s="691"/>
      <c r="G750" s="741"/>
      <c r="H750" s="421"/>
    </row>
    <row r="751" spans="1:8" ht="12" customHeight="1">
      <c r="A751" s="350"/>
      <c r="B751" s="289" t="s">
        <v>270</v>
      </c>
      <c r="C751" s="691">
        <v>3500</v>
      </c>
      <c r="D751" s="691">
        <v>3500</v>
      </c>
      <c r="E751" s="691">
        <v>3500</v>
      </c>
      <c r="F751" s="691"/>
      <c r="G751" s="741">
        <f t="shared" si="264"/>
        <v>0</v>
      </c>
      <c r="H751" s="421"/>
    </row>
    <row r="752" spans="1:8" ht="12" customHeight="1" thickBot="1">
      <c r="A752" s="350"/>
      <c r="B752" s="406" t="s">
        <v>251</v>
      </c>
      <c r="C752" s="693"/>
      <c r="D752" s="693"/>
      <c r="E752" s="693"/>
      <c r="F752" s="693"/>
      <c r="G752" s="746"/>
      <c r="H752" s="439"/>
    </row>
    <row r="753" spans="1:8" ht="12.75" customHeight="1" thickBot="1">
      <c r="A753" s="359"/>
      <c r="B753" s="409" t="s">
        <v>122</v>
      </c>
      <c r="C753" s="675">
        <f aca="true" t="shared" si="277" ref="C753">SUM(C747:C752)</f>
        <v>7000</v>
      </c>
      <c r="D753" s="675">
        <f aca="true" t="shared" si="278" ref="D753">SUM(D747:D752)</f>
        <v>7750</v>
      </c>
      <c r="E753" s="675">
        <f aca="true" t="shared" si="279" ref="E753:F753">SUM(E747:E752)</f>
        <v>7750</v>
      </c>
      <c r="F753" s="675">
        <f t="shared" si="279"/>
        <v>749</v>
      </c>
      <c r="G753" s="743">
        <f t="shared" si="264"/>
        <v>0.09664516129032258</v>
      </c>
      <c r="H753" s="425"/>
    </row>
    <row r="754" spans="1:8" ht="12.75" customHeight="1">
      <c r="A754" s="419">
        <v>3425</v>
      </c>
      <c r="B754" s="397" t="s">
        <v>35</v>
      </c>
      <c r="C754" s="687"/>
      <c r="D754" s="687"/>
      <c r="E754" s="687"/>
      <c r="F754" s="687"/>
      <c r="G754" s="394"/>
      <c r="H754" s="442"/>
    </row>
    <row r="755" spans="1:8" ht="12.75" customHeight="1">
      <c r="A755" s="415"/>
      <c r="B755" s="401" t="s">
        <v>106</v>
      </c>
      <c r="C755" s="686"/>
      <c r="D755" s="686"/>
      <c r="E755" s="686"/>
      <c r="F755" s="686"/>
      <c r="G755" s="394"/>
      <c r="H755" s="442"/>
    </row>
    <row r="756" spans="1:8" ht="12.75" customHeight="1">
      <c r="A756" s="415"/>
      <c r="B756" s="403" t="s">
        <v>274</v>
      </c>
      <c r="C756" s="686"/>
      <c r="D756" s="686"/>
      <c r="E756" s="686"/>
      <c r="F756" s="686"/>
      <c r="G756" s="394"/>
      <c r="H756" s="533"/>
    </row>
    <row r="757" spans="1:8" ht="12.75" customHeight="1">
      <c r="A757" s="415"/>
      <c r="B757" s="404" t="s">
        <v>263</v>
      </c>
      <c r="C757" s="686">
        <v>5000</v>
      </c>
      <c r="D757" s="686">
        <f>5000+4971</f>
        <v>9971</v>
      </c>
      <c r="E757" s="686">
        <f>5000+4971</f>
        <v>9971</v>
      </c>
      <c r="F757" s="686">
        <v>4971</v>
      </c>
      <c r="G757" s="744">
        <f t="shared" si="264"/>
        <v>0.4985457827700331</v>
      </c>
      <c r="H757" s="436"/>
    </row>
    <row r="758" spans="1:8" ht="12.75" customHeight="1">
      <c r="A758" s="415"/>
      <c r="B758" s="405" t="s">
        <v>111</v>
      </c>
      <c r="C758" s="686"/>
      <c r="D758" s="686"/>
      <c r="E758" s="686"/>
      <c r="F758" s="686"/>
      <c r="G758" s="741"/>
      <c r="H758" s="533"/>
    </row>
    <row r="759" spans="1:8" ht="12.75" customHeight="1">
      <c r="A759" s="415"/>
      <c r="B759" s="405" t="s">
        <v>270</v>
      </c>
      <c r="C759" s="686"/>
      <c r="D759" s="686"/>
      <c r="E759" s="686"/>
      <c r="F759" s="686"/>
      <c r="G759" s="741"/>
      <c r="H759" s="442"/>
    </row>
    <row r="760" spans="1:8" ht="12.75" customHeight="1" thickBot="1">
      <c r="A760" s="415"/>
      <c r="B760" s="406" t="s">
        <v>79</v>
      </c>
      <c r="C760" s="700"/>
      <c r="D760" s="700"/>
      <c r="E760" s="700"/>
      <c r="F760" s="700"/>
      <c r="G760" s="746"/>
      <c r="H760" s="468"/>
    </row>
    <row r="761" spans="1:8" ht="12.75" customHeight="1" thickBot="1">
      <c r="A761" s="417"/>
      <c r="B761" s="409" t="s">
        <v>122</v>
      </c>
      <c r="C761" s="676">
        <f aca="true" t="shared" si="280" ref="C761">SUM(C755:C760)</f>
        <v>5000</v>
      </c>
      <c r="D761" s="676">
        <f aca="true" t="shared" si="281" ref="D761">SUM(D755:D760)</f>
        <v>9971</v>
      </c>
      <c r="E761" s="676">
        <f aca="true" t="shared" si="282" ref="E761:F761">SUM(E755:E760)</f>
        <v>9971</v>
      </c>
      <c r="F761" s="676">
        <f t="shared" si="282"/>
        <v>4971</v>
      </c>
      <c r="G761" s="743">
        <f t="shared" si="264"/>
        <v>0.4985457827700331</v>
      </c>
      <c r="H761" s="469"/>
    </row>
    <row r="762" spans="1:8" ht="12.75" customHeight="1">
      <c r="A762" s="419">
        <v>3426</v>
      </c>
      <c r="B762" s="397" t="s">
        <v>335</v>
      </c>
      <c r="C762" s="687"/>
      <c r="D762" s="687"/>
      <c r="E762" s="687"/>
      <c r="F762" s="687"/>
      <c r="G762" s="394"/>
      <c r="H762" s="442"/>
    </row>
    <row r="763" spans="1:8" ht="12.75" customHeight="1">
      <c r="A763" s="415"/>
      <c r="B763" s="401" t="s">
        <v>106</v>
      </c>
      <c r="C763" s="686"/>
      <c r="D763" s="686">
        <v>1001</v>
      </c>
      <c r="E763" s="686">
        <v>1001</v>
      </c>
      <c r="F763" s="686">
        <v>945</v>
      </c>
      <c r="G763" s="744">
        <f t="shared" si="264"/>
        <v>0.9440559440559441</v>
      </c>
      <c r="H763" s="533"/>
    </row>
    <row r="764" spans="1:8" ht="12.75" customHeight="1">
      <c r="A764" s="415"/>
      <c r="B764" s="403" t="s">
        <v>274</v>
      </c>
      <c r="C764" s="686"/>
      <c r="D764" s="686">
        <v>153</v>
      </c>
      <c r="E764" s="686">
        <v>153</v>
      </c>
      <c r="F764" s="686">
        <v>132</v>
      </c>
      <c r="G764" s="741">
        <f t="shared" si="264"/>
        <v>0.8627450980392157</v>
      </c>
      <c r="H764" s="533"/>
    </row>
    <row r="765" spans="1:8" ht="12.75" customHeight="1">
      <c r="A765" s="415"/>
      <c r="B765" s="404" t="s">
        <v>263</v>
      </c>
      <c r="C765" s="686">
        <v>11288</v>
      </c>
      <c r="D765" s="686">
        <f>11288+18408</f>
        <v>29696</v>
      </c>
      <c r="E765" s="686">
        <f>11288+18408</f>
        <v>29696</v>
      </c>
      <c r="F765" s="686">
        <v>25757</v>
      </c>
      <c r="G765" s="741">
        <f t="shared" si="264"/>
        <v>0.8673558728448276</v>
      </c>
      <c r="H765" s="813" t="s">
        <v>521</v>
      </c>
    </row>
    <row r="766" spans="1:8" ht="12.75" customHeight="1">
      <c r="A766" s="415"/>
      <c r="B766" s="405" t="s">
        <v>111</v>
      </c>
      <c r="C766" s="686"/>
      <c r="D766" s="686"/>
      <c r="E766" s="686"/>
      <c r="F766" s="686"/>
      <c r="G766" s="741"/>
      <c r="H766" s="421"/>
    </row>
    <row r="767" spans="1:8" ht="12.75" customHeight="1">
      <c r="A767" s="415"/>
      <c r="B767" s="405" t="s">
        <v>270</v>
      </c>
      <c r="C767" s="686"/>
      <c r="D767" s="686"/>
      <c r="E767" s="686"/>
      <c r="F767" s="686"/>
      <c r="G767" s="741"/>
      <c r="H767" s="442"/>
    </row>
    <row r="768" spans="1:8" ht="12.75" customHeight="1" thickBot="1">
      <c r="A768" s="415"/>
      <c r="B768" s="406" t="s">
        <v>79</v>
      </c>
      <c r="C768" s="700"/>
      <c r="D768" s="700"/>
      <c r="E768" s="700"/>
      <c r="F768" s="700"/>
      <c r="G768" s="746"/>
      <c r="H768" s="470"/>
    </row>
    <row r="769" spans="1:8" ht="12.75" customHeight="1" thickBot="1">
      <c r="A769" s="417"/>
      <c r="B769" s="409" t="s">
        <v>122</v>
      </c>
      <c r="C769" s="676">
        <f aca="true" t="shared" si="283" ref="C769">SUM(C763:C768)</f>
        <v>11288</v>
      </c>
      <c r="D769" s="676">
        <f aca="true" t="shared" si="284" ref="D769">SUM(D763:D768)</f>
        <v>30850</v>
      </c>
      <c r="E769" s="676">
        <f aca="true" t="shared" si="285" ref="E769:F769">SUM(E763:E768)</f>
        <v>30850</v>
      </c>
      <c r="F769" s="676">
        <f t="shared" si="285"/>
        <v>26834</v>
      </c>
      <c r="G769" s="743">
        <f t="shared" si="264"/>
        <v>0.8698217179902755</v>
      </c>
      <c r="H769" s="469"/>
    </row>
    <row r="770" spans="1:8" ht="12.75" customHeight="1">
      <c r="A770" s="72">
        <v>3428</v>
      </c>
      <c r="B770" s="432" t="s">
        <v>7</v>
      </c>
      <c r="C770" s="690"/>
      <c r="D770" s="690"/>
      <c r="E770" s="690"/>
      <c r="F770" s="690"/>
      <c r="G770" s="394"/>
      <c r="H770" s="421"/>
    </row>
    <row r="771" spans="1:8" ht="12.75" customHeight="1">
      <c r="A771" s="350"/>
      <c r="B771" s="351" t="s">
        <v>106</v>
      </c>
      <c r="C771" s="691"/>
      <c r="D771" s="691"/>
      <c r="E771" s="691"/>
      <c r="F771" s="691"/>
      <c r="G771" s="394"/>
      <c r="H771" s="421"/>
    </row>
    <row r="772" spans="1:8" ht="12.75" customHeight="1">
      <c r="A772" s="350"/>
      <c r="B772" s="176" t="s">
        <v>274</v>
      </c>
      <c r="C772" s="691"/>
      <c r="D772" s="691"/>
      <c r="E772" s="691"/>
      <c r="F772" s="691"/>
      <c r="G772" s="394"/>
      <c r="H772" s="421"/>
    </row>
    <row r="773" spans="1:8" ht="12.75" customHeight="1">
      <c r="A773" s="350"/>
      <c r="B773" s="352" t="s">
        <v>263</v>
      </c>
      <c r="C773" s="691">
        <v>3000</v>
      </c>
      <c r="D773" s="691">
        <v>3000</v>
      </c>
      <c r="E773" s="691">
        <v>3000</v>
      </c>
      <c r="F773" s="691"/>
      <c r="G773" s="744">
        <f t="shared" si="264"/>
        <v>0</v>
      </c>
      <c r="H773" s="813" t="s">
        <v>521</v>
      </c>
    </row>
    <row r="774" spans="1:8" ht="12.75" customHeight="1">
      <c r="A774" s="350"/>
      <c r="B774" s="289" t="s">
        <v>111</v>
      </c>
      <c r="C774" s="691"/>
      <c r="D774" s="691"/>
      <c r="E774" s="691"/>
      <c r="F774" s="691"/>
      <c r="G774" s="741"/>
      <c r="H774" s="533"/>
    </row>
    <row r="775" spans="1:8" ht="12.75" customHeight="1">
      <c r="A775" s="350"/>
      <c r="B775" s="289" t="s">
        <v>270</v>
      </c>
      <c r="C775" s="691"/>
      <c r="D775" s="691"/>
      <c r="E775" s="691"/>
      <c r="F775" s="691"/>
      <c r="G775" s="741"/>
      <c r="H775" s="421"/>
    </row>
    <row r="776" spans="1:8" ht="12.75" customHeight="1" thickBot="1">
      <c r="A776" s="350"/>
      <c r="B776" s="406" t="s">
        <v>79</v>
      </c>
      <c r="C776" s="663"/>
      <c r="D776" s="663"/>
      <c r="E776" s="663"/>
      <c r="F776" s="663"/>
      <c r="G776" s="746"/>
      <c r="H776" s="439"/>
    </row>
    <row r="777" spans="1:8" ht="12.75" customHeight="1" thickBot="1">
      <c r="A777" s="359"/>
      <c r="B777" s="409" t="s">
        <v>122</v>
      </c>
      <c r="C777" s="675">
        <f aca="true" t="shared" si="286" ref="C777">SUM(C771:C776)</f>
        <v>3000</v>
      </c>
      <c r="D777" s="675">
        <f aca="true" t="shared" si="287" ref="D777">SUM(D771:D776)</f>
        <v>3000</v>
      </c>
      <c r="E777" s="675">
        <f aca="true" t="shared" si="288" ref="E777:F777">SUM(E771:E776)</f>
        <v>3000</v>
      </c>
      <c r="F777" s="675">
        <f t="shared" si="288"/>
        <v>0</v>
      </c>
      <c r="G777" s="743">
        <f t="shared" si="264"/>
        <v>0</v>
      </c>
      <c r="H777" s="425"/>
    </row>
    <row r="778" spans="1:8" ht="12.75" customHeight="1">
      <c r="A778" s="419">
        <v>3429</v>
      </c>
      <c r="B778" s="397" t="s">
        <v>26</v>
      </c>
      <c r="C778" s="687"/>
      <c r="D778" s="687"/>
      <c r="E778" s="687"/>
      <c r="F778" s="687"/>
      <c r="G778" s="394"/>
      <c r="H778" s="442"/>
    </row>
    <row r="779" spans="1:8" ht="12.75" customHeight="1">
      <c r="A779" s="415"/>
      <c r="B779" s="401" t="s">
        <v>106</v>
      </c>
      <c r="C779" s="686"/>
      <c r="D779" s="686"/>
      <c r="E779" s="686"/>
      <c r="F779" s="686"/>
      <c r="G779" s="394"/>
      <c r="H779" s="442"/>
    </row>
    <row r="780" spans="1:8" ht="12.75" customHeight="1">
      <c r="A780" s="415"/>
      <c r="B780" s="403" t="s">
        <v>274</v>
      </c>
      <c r="C780" s="686"/>
      <c r="D780" s="686"/>
      <c r="E780" s="686"/>
      <c r="F780" s="686"/>
      <c r="G780" s="394"/>
      <c r="H780" s="442"/>
    </row>
    <row r="781" spans="1:8" ht="12.75" customHeight="1">
      <c r="A781" s="415"/>
      <c r="B781" s="404" t="s">
        <v>263</v>
      </c>
      <c r="C781" s="686">
        <v>2500</v>
      </c>
      <c r="D781" s="686">
        <f>2500+2500</f>
        <v>5000</v>
      </c>
      <c r="E781" s="686">
        <f>2500+2500</f>
        <v>5000</v>
      </c>
      <c r="F781" s="686">
        <v>2500</v>
      </c>
      <c r="G781" s="744">
        <f aca="true" t="shared" si="289" ref="G781:G831">SUM(F781/E781)</f>
        <v>0.5</v>
      </c>
      <c r="H781" s="813" t="s">
        <v>521</v>
      </c>
    </row>
    <row r="782" spans="1:8" ht="12.75" customHeight="1">
      <c r="A782" s="415"/>
      <c r="B782" s="405" t="s">
        <v>111</v>
      </c>
      <c r="C782" s="686"/>
      <c r="D782" s="686"/>
      <c r="E782" s="686"/>
      <c r="F782" s="686"/>
      <c r="G782" s="741"/>
      <c r="H782" s="421"/>
    </row>
    <row r="783" spans="1:8" ht="12.75" customHeight="1">
      <c r="A783" s="415"/>
      <c r="B783" s="405" t="s">
        <v>270</v>
      </c>
      <c r="C783" s="686"/>
      <c r="D783" s="686"/>
      <c r="E783" s="686"/>
      <c r="F783" s="686"/>
      <c r="G783" s="741"/>
      <c r="H783" s="442"/>
    </row>
    <row r="784" spans="1:8" ht="12.75" customHeight="1" thickBot="1">
      <c r="A784" s="415"/>
      <c r="B784" s="406" t="s">
        <v>79</v>
      </c>
      <c r="C784" s="700"/>
      <c r="D784" s="700"/>
      <c r="E784" s="700"/>
      <c r="F784" s="700"/>
      <c r="G784" s="746"/>
      <c r="H784" s="468"/>
    </row>
    <row r="785" spans="1:8" ht="12.75" customHeight="1" thickBot="1">
      <c r="A785" s="417"/>
      <c r="B785" s="409" t="s">
        <v>122</v>
      </c>
      <c r="C785" s="676">
        <f aca="true" t="shared" si="290" ref="C785">SUM(C779:C784)</f>
        <v>2500</v>
      </c>
      <c r="D785" s="676">
        <f aca="true" t="shared" si="291" ref="D785">SUM(D779:D784)</f>
        <v>5000</v>
      </c>
      <c r="E785" s="676">
        <f aca="true" t="shared" si="292" ref="E785:F785">SUM(E779:E784)</f>
        <v>5000</v>
      </c>
      <c r="F785" s="676">
        <f t="shared" si="292"/>
        <v>2500</v>
      </c>
      <c r="G785" s="743">
        <f t="shared" si="289"/>
        <v>0.5</v>
      </c>
      <c r="H785" s="469"/>
    </row>
    <row r="786" spans="1:8" ht="12.75" customHeight="1">
      <c r="A786" s="419">
        <v>3431</v>
      </c>
      <c r="B786" s="397" t="s">
        <v>154</v>
      </c>
      <c r="C786" s="687"/>
      <c r="D786" s="687"/>
      <c r="E786" s="687"/>
      <c r="F786" s="687"/>
      <c r="G786" s="394"/>
      <c r="H786" s="442"/>
    </row>
    <row r="787" spans="1:8" ht="12.75" customHeight="1">
      <c r="A787" s="415"/>
      <c r="B787" s="401" t="s">
        <v>106</v>
      </c>
      <c r="C787" s="686"/>
      <c r="D787" s="686"/>
      <c r="E787" s="686"/>
      <c r="F787" s="686"/>
      <c r="G787" s="394"/>
      <c r="H787" s="442"/>
    </row>
    <row r="788" spans="1:8" ht="12.75" customHeight="1">
      <c r="A788" s="415"/>
      <c r="B788" s="403" t="s">
        <v>274</v>
      </c>
      <c r="C788" s="686"/>
      <c r="D788" s="686"/>
      <c r="E788" s="686"/>
      <c r="F788" s="686"/>
      <c r="G788" s="394"/>
      <c r="H788" s="442"/>
    </row>
    <row r="789" spans="1:8" ht="12.75" customHeight="1">
      <c r="A789" s="415"/>
      <c r="B789" s="404" t="s">
        <v>263</v>
      </c>
      <c r="C789" s="686">
        <v>1000</v>
      </c>
      <c r="D789" s="686">
        <v>1000</v>
      </c>
      <c r="E789" s="686">
        <v>1000</v>
      </c>
      <c r="F789" s="686"/>
      <c r="G789" s="744">
        <f t="shared" si="289"/>
        <v>0</v>
      </c>
      <c r="H789" s="813" t="s">
        <v>521</v>
      </c>
    </row>
    <row r="790" spans="1:8" ht="12.75" customHeight="1">
      <c r="A790" s="415"/>
      <c r="B790" s="405" t="s">
        <v>111</v>
      </c>
      <c r="C790" s="686"/>
      <c r="D790" s="686"/>
      <c r="E790" s="686"/>
      <c r="F790" s="686"/>
      <c r="G790" s="741"/>
      <c r="H790" s="442"/>
    </row>
    <row r="791" spans="1:8" ht="12.75" customHeight="1">
      <c r="A791" s="415"/>
      <c r="B791" s="405" t="s">
        <v>270</v>
      </c>
      <c r="C791" s="686"/>
      <c r="D791" s="686"/>
      <c r="E791" s="686"/>
      <c r="F791" s="686"/>
      <c r="G791" s="741"/>
      <c r="H791" s="442"/>
    </row>
    <row r="792" spans="1:8" ht="12.75" customHeight="1" thickBot="1">
      <c r="A792" s="415"/>
      <c r="B792" s="406" t="s">
        <v>79</v>
      </c>
      <c r="C792" s="700"/>
      <c r="D792" s="700"/>
      <c r="E792" s="700"/>
      <c r="F792" s="700"/>
      <c r="G792" s="746"/>
      <c r="H792" s="468"/>
    </row>
    <row r="793" spans="1:8" ht="12.75" customHeight="1" thickBot="1">
      <c r="A793" s="417"/>
      <c r="B793" s="409" t="s">
        <v>122</v>
      </c>
      <c r="C793" s="676">
        <f aca="true" t="shared" si="293" ref="C793">SUM(C787:C792)</f>
        <v>1000</v>
      </c>
      <c r="D793" s="676">
        <f aca="true" t="shared" si="294" ref="D793">SUM(D787:D792)</f>
        <v>1000</v>
      </c>
      <c r="E793" s="676">
        <f aca="true" t="shared" si="295" ref="E793:F793">SUM(E787:E792)</f>
        <v>1000</v>
      </c>
      <c r="F793" s="676">
        <f t="shared" si="295"/>
        <v>0</v>
      </c>
      <c r="G793" s="743">
        <f t="shared" si="289"/>
        <v>0</v>
      </c>
      <c r="H793" s="469"/>
    </row>
    <row r="794" spans="1:8" ht="12.75" customHeight="1">
      <c r="A794" s="419">
        <v>3432</v>
      </c>
      <c r="B794" s="397" t="s">
        <v>351</v>
      </c>
      <c r="C794" s="687"/>
      <c r="D794" s="687"/>
      <c r="E794" s="687"/>
      <c r="F794" s="687"/>
      <c r="G794" s="394"/>
      <c r="H794" s="442"/>
    </row>
    <row r="795" spans="1:8" ht="12.75" customHeight="1">
      <c r="A795" s="415"/>
      <c r="B795" s="401" t="s">
        <v>106</v>
      </c>
      <c r="C795" s="686"/>
      <c r="D795" s="686"/>
      <c r="E795" s="686"/>
      <c r="F795" s="686"/>
      <c r="G795" s="394"/>
      <c r="H795" s="442"/>
    </row>
    <row r="796" spans="1:8" ht="12.75" customHeight="1">
      <c r="A796" s="415"/>
      <c r="B796" s="403" t="s">
        <v>274</v>
      </c>
      <c r="C796" s="686"/>
      <c r="D796" s="686"/>
      <c r="E796" s="686"/>
      <c r="F796" s="686"/>
      <c r="G796" s="744"/>
      <c r="H796" s="534"/>
    </row>
    <row r="797" spans="1:8" ht="12.75" customHeight="1">
      <c r="A797" s="415"/>
      <c r="B797" s="404" t="s">
        <v>263</v>
      </c>
      <c r="C797" s="686">
        <v>1000</v>
      </c>
      <c r="D797" s="686">
        <f>1000+5000</f>
        <v>6000</v>
      </c>
      <c r="E797" s="686">
        <f>1000+5000</f>
        <v>6000</v>
      </c>
      <c r="F797" s="686">
        <v>5000</v>
      </c>
      <c r="G797" s="741">
        <f t="shared" si="289"/>
        <v>0.8333333333333334</v>
      </c>
      <c r="H797" s="813" t="s">
        <v>521</v>
      </c>
    </row>
    <row r="798" spans="1:8" ht="12.75" customHeight="1">
      <c r="A798" s="415"/>
      <c r="B798" s="405" t="s">
        <v>111</v>
      </c>
      <c r="C798" s="686"/>
      <c r="D798" s="686"/>
      <c r="E798" s="686"/>
      <c r="F798" s="686"/>
      <c r="G798" s="741"/>
      <c r="H798" s="421"/>
    </row>
    <row r="799" spans="1:8" ht="12.75" customHeight="1">
      <c r="A799" s="415"/>
      <c r="B799" s="405" t="s">
        <v>270</v>
      </c>
      <c r="C799" s="686"/>
      <c r="D799" s="686"/>
      <c r="E799" s="686"/>
      <c r="F799" s="686"/>
      <c r="G799" s="741"/>
      <c r="H799" s="442"/>
    </row>
    <row r="800" spans="1:8" ht="12.75" customHeight="1" thickBot="1">
      <c r="A800" s="415"/>
      <c r="B800" s="406" t="s">
        <v>79</v>
      </c>
      <c r="C800" s="700"/>
      <c r="D800" s="700"/>
      <c r="E800" s="700"/>
      <c r="F800" s="700"/>
      <c r="G800" s="746"/>
      <c r="H800" s="468"/>
    </row>
    <row r="801" spans="1:8" ht="12.75" customHeight="1" thickBot="1">
      <c r="A801" s="417"/>
      <c r="B801" s="409" t="s">
        <v>122</v>
      </c>
      <c r="C801" s="676">
        <f aca="true" t="shared" si="296" ref="C801">SUM(C795:C800)</f>
        <v>1000</v>
      </c>
      <c r="D801" s="676">
        <f aca="true" t="shared" si="297" ref="D801">SUM(D795:D800)</f>
        <v>6000</v>
      </c>
      <c r="E801" s="676">
        <f aca="true" t="shared" si="298" ref="E801:F801">SUM(E795:E800)</f>
        <v>6000</v>
      </c>
      <c r="F801" s="676">
        <f t="shared" si="298"/>
        <v>5000</v>
      </c>
      <c r="G801" s="743">
        <f t="shared" si="289"/>
        <v>0.8333333333333334</v>
      </c>
      <c r="H801" s="469"/>
    </row>
    <row r="802" spans="1:8" ht="12.75" customHeight="1">
      <c r="A802" s="419">
        <v>3451</v>
      </c>
      <c r="B802" s="397" t="s">
        <v>121</v>
      </c>
      <c r="C802" s="687"/>
      <c r="D802" s="687"/>
      <c r="E802" s="687"/>
      <c r="F802" s="687"/>
      <c r="G802" s="394"/>
      <c r="H802" s="452"/>
    </row>
    <row r="803" spans="1:8" ht="12.75" customHeight="1">
      <c r="A803" s="415"/>
      <c r="B803" s="401" t="s">
        <v>106</v>
      </c>
      <c r="C803" s="686"/>
      <c r="D803" s="686"/>
      <c r="E803" s="686"/>
      <c r="F803" s="686"/>
      <c r="G803" s="394"/>
      <c r="H803" s="442"/>
    </row>
    <row r="804" spans="1:8" ht="12.75" customHeight="1">
      <c r="A804" s="415"/>
      <c r="B804" s="403" t="s">
        <v>274</v>
      </c>
      <c r="C804" s="686"/>
      <c r="D804" s="686"/>
      <c r="E804" s="686"/>
      <c r="F804" s="686"/>
      <c r="G804" s="744"/>
      <c r="H804" s="441"/>
    </row>
    <row r="805" spans="1:8" ht="12.75" customHeight="1">
      <c r="A805" s="415"/>
      <c r="B805" s="404" t="s">
        <v>263</v>
      </c>
      <c r="C805" s="686">
        <v>1500</v>
      </c>
      <c r="D805" s="686">
        <f>1500+187</f>
        <v>1687</v>
      </c>
      <c r="E805" s="686">
        <f>1500+187</f>
        <v>1687</v>
      </c>
      <c r="F805" s="686">
        <v>694</v>
      </c>
      <c r="G805" s="741">
        <f t="shared" si="289"/>
        <v>0.41138114997036157</v>
      </c>
      <c r="H805" s="540"/>
    </row>
    <row r="806" spans="1:8" ht="12.75" customHeight="1">
      <c r="A806" s="415"/>
      <c r="B806" s="405" t="s">
        <v>111</v>
      </c>
      <c r="C806" s="686"/>
      <c r="D806" s="686"/>
      <c r="E806" s="686"/>
      <c r="F806" s="686"/>
      <c r="G806" s="741"/>
      <c r="H806" s="540"/>
    </row>
    <row r="807" spans="1:8" ht="12.75" customHeight="1">
      <c r="A807" s="415"/>
      <c r="B807" s="405" t="s">
        <v>270</v>
      </c>
      <c r="C807" s="686"/>
      <c r="D807" s="686"/>
      <c r="E807" s="686"/>
      <c r="F807" s="686"/>
      <c r="G807" s="741"/>
      <c r="H807" s="442"/>
    </row>
    <row r="808" spans="1:8" ht="12.75" customHeight="1" thickBot="1">
      <c r="A808" s="415"/>
      <c r="B808" s="406" t="s">
        <v>79</v>
      </c>
      <c r="C808" s="700"/>
      <c r="D808" s="700"/>
      <c r="E808" s="700"/>
      <c r="F808" s="700"/>
      <c r="G808" s="746"/>
      <c r="H808" s="468"/>
    </row>
    <row r="809" spans="1:8" ht="12.75" customHeight="1" thickBot="1">
      <c r="A809" s="417"/>
      <c r="B809" s="409" t="s">
        <v>122</v>
      </c>
      <c r="C809" s="676">
        <f aca="true" t="shared" si="299" ref="C809">SUM(C803:C808)</f>
        <v>1500</v>
      </c>
      <c r="D809" s="676">
        <f aca="true" t="shared" si="300" ref="D809">SUM(D803:D808)</f>
        <v>1687</v>
      </c>
      <c r="E809" s="676">
        <f aca="true" t="shared" si="301" ref="E809:F809">SUM(E803:E808)</f>
        <v>1687</v>
      </c>
      <c r="F809" s="676">
        <f t="shared" si="301"/>
        <v>694</v>
      </c>
      <c r="G809" s="743">
        <f t="shared" si="289"/>
        <v>0.41138114997036157</v>
      </c>
      <c r="H809" s="469"/>
    </row>
    <row r="810" spans="1:8" ht="12.75" customHeight="1">
      <c r="A810" s="419">
        <v>3452</v>
      </c>
      <c r="B810" s="397" t="s">
        <v>479</v>
      </c>
      <c r="C810" s="687"/>
      <c r="D810" s="687"/>
      <c r="E810" s="687"/>
      <c r="F810" s="687"/>
      <c r="G810" s="394"/>
      <c r="H810" s="442"/>
    </row>
    <row r="811" spans="1:8" ht="12.75" customHeight="1">
      <c r="A811" s="415"/>
      <c r="B811" s="401" t="s">
        <v>106</v>
      </c>
      <c r="C811" s="686"/>
      <c r="D811" s="686"/>
      <c r="E811" s="686"/>
      <c r="F811" s="686"/>
      <c r="G811" s="394"/>
      <c r="H811" s="442"/>
    </row>
    <row r="812" spans="1:8" ht="12.75" customHeight="1">
      <c r="A812" s="415"/>
      <c r="B812" s="403" t="s">
        <v>274</v>
      </c>
      <c r="C812" s="686"/>
      <c r="D812" s="686"/>
      <c r="E812" s="686"/>
      <c r="F812" s="686"/>
      <c r="G812" s="394"/>
      <c r="H812" s="441"/>
    </row>
    <row r="813" spans="1:8" ht="11.1" customHeight="1">
      <c r="A813" s="415"/>
      <c r="B813" s="404" t="s">
        <v>263</v>
      </c>
      <c r="C813" s="686">
        <v>700</v>
      </c>
      <c r="D813" s="686">
        <v>700</v>
      </c>
      <c r="E813" s="686">
        <v>700</v>
      </c>
      <c r="F813" s="686"/>
      <c r="G813" s="744">
        <f t="shared" si="289"/>
        <v>0</v>
      </c>
      <c r="H813" s="441"/>
    </row>
    <row r="814" spans="1:8" ht="10.5" customHeight="1">
      <c r="A814" s="415"/>
      <c r="B814" s="405" t="s">
        <v>111</v>
      </c>
      <c r="C814" s="686"/>
      <c r="D814" s="686"/>
      <c r="E814" s="686"/>
      <c r="F814" s="686"/>
      <c r="G814" s="741"/>
      <c r="H814" s="442"/>
    </row>
    <row r="815" spans="1:8" ht="10.5" customHeight="1">
      <c r="A815" s="415"/>
      <c r="B815" s="405" t="s">
        <v>270</v>
      </c>
      <c r="C815" s="686"/>
      <c r="D815" s="686"/>
      <c r="E815" s="686"/>
      <c r="F815" s="686"/>
      <c r="G815" s="741"/>
      <c r="H815" s="471"/>
    </row>
    <row r="816" spans="1:8" ht="12.75" customHeight="1" thickBot="1">
      <c r="A816" s="415"/>
      <c r="B816" s="406" t="s">
        <v>233</v>
      </c>
      <c r="C816" s="696"/>
      <c r="D816" s="696"/>
      <c r="E816" s="696"/>
      <c r="F816" s="696"/>
      <c r="G816" s="746"/>
      <c r="H816" s="468"/>
    </row>
    <row r="817" spans="1:8" ht="12.75" customHeight="1" thickBot="1">
      <c r="A817" s="417"/>
      <c r="B817" s="409" t="s">
        <v>122</v>
      </c>
      <c r="C817" s="676">
        <f aca="true" t="shared" si="302" ref="C817">SUM(C811:C816)</f>
        <v>700</v>
      </c>
      <c r="D817" s="676">
        <f aca="true" t="shared" si="303" ref="D817">SUM(D811:D816)</f>
        <v>700</v>
      </c>
      <c r="E817" s="676">
        <f aca="true" t="shared" si="304" ref="E817:F817">SUM(E811:E816)</f>
        <v>700</v>
      </c>
      <c r="F817" s="676">
        <f t="shared" si="304"/>
        <v>0</v>
      </c>
      <c r="G817" s="743">
        <f t="shared" si="289"/>
        <v>0</v>
      </c>
      <c r="H817" s="469"/>
    </row>
    <row r="818" spans="1:8" ht="12" customHeight="1">
      <c r="A818" s="339">
        <v>3600</v>
      </c>
      <c r="B818" s="432" t="s">
        <v>46</v>
      </c>
      <c r="C818" s="690"/>
      <c r="D818" s="690"/>
      <c r="E818" s="690"/>
      <c r="F818" s="690"/>
      <c r="G818" s="394"/>
      <c r="H818" s="420"/>
    </row>
    <row r="819" spans="1:8" ht="12" customHeight="1">
      <c r="A819" s="339"/>
      <c r="B819" s="363" t="s">
        <v>61</v>
      </c>
      <c r="C819" s="690"/>
      <c r="D819" s="690"/>
      <c r="E819" s="690"/>
      <c r="F819" s="690"/>
      <c r="G819" s="394"/>
      <c r="H819" s="420"/>
    </row>
    <row r="820" spans="1:8" ht="12" customHeight="1">
      <c r="A820" s="282"/>
      <c r="B820" s="351" t="s">
        <v>106</v>
      </c>
      <c r="C820" s="691">
        <f aca="true" t="shared" si="305" ref="C820:E821">SUM(C11+C55+C63+C80+C90+C106+C133+C141+C149+C157+C167+C175+C185+C193+C201+C228+C236+C244+C252+C260+C280+C288+C296+C306+C316+C326+C334+C360+C370+C378+C440+C448+C456+C498+C507+C515+C556+C564+C572+C581+C589+C597+C605+C613+C621+C645+C663+C671+C679+C697+C705+C713+C722+C739+C747+C755+C763+C771+C779+C787+C795+C803+C811+C209+C687+C731)</f>
        <v>193360</v>
      </c>
      <c r="D820" s="691">
        <f t="shared" si="305"/>
        <v>206546</v>
      </c>
      <c r="E820" s="288">
        <f t="shared" si="305"/>
        <v>209623</v>
      </c>
      <c r="F820" s="691">
        <f aca="true" t="shared" si="306" ref="F820">SUM(F11+F55+F63+F80+F90+F106+F133+F141+F149+F157+F167+F175+F185+F193+F201+F228+F236+F244+F252+F260+F280+F288+F296+F306+F316+F326+F334+F360+F370+F378+F440+F448+F456+F498+F507+F515+F556+F564+F572+F581+F589+F597+F605+F613+F621+F645+F663+F671+F679+F697+F705+F713+F722+F739+F747+F755+F763+F771+F779+F787+F795+F803+F811+F209+F687+F731)</f>
        <v>125358</v>
      </c>
      <c r="G820" s="744">
        <f t="shared" si="289"/>
        <v>0.5980164390357928</v>
      </c>
      <c r="H820" s="395"/>
    </row>
    <row r="821" spans="1:8" ht="12" customHeight="1">
      <c r="A821" s="282"/>
      <c r="B821" s="289" t="s">
        <v>101</v>
      </c>
      <c r="C821" s="691">
        <f t="shared" si="305"/>
        <v>30605</v>
      </c>
      <c r="D821" s="691">
        <f t="shared" si="305"/>
        <v>34580</v>
      </c>
      <c r="E821" s="288">
        <f t="shared" si="305"/>
        <v>34169</v>
      </c>
      <c r="F821" s="691">
        <f aca="true" t="shared" si="307" ref="F821">SUM(F12+F56+F64+F81+F91+F107+F134+F142+F150+F158+F168+F176+F186+F194+F202+F229+F237+F245+F253+F261+F281+F289+F297+F307+F317+F327+F335+F361+F371+F379+F441+F449+F457+F499+F508+F516+F557+F565+F573+F582+F590+F598+F606+F614+F622+F646+F664+F672+F680+F698+F706+F714+F723+F740+F748+F756+F764+F772+F780+F788+F796+F804+F812+F210+F688+F732)</f>
        <v>16397</v>
      </c>
      <c r="G821" s="741">
        <f t="shared" si="289"/>
        <v>0.4798794228686821</v>
      </c>
      <c r="H821" s="395"/>
    </row>
    <row r="822" spans="1:8" ht="12" customHeight="1">
      <c r="A822" s="282"/>
      <c r="B822" s="289" t="s">
        <v>272</v>
      </c>
      <c r="C822" s="691">
        <f>SUM(C13+C57+C65+C82+C92+C108+C135+C143+C151+C159+C169+C177+C187+C195+C203+C230+C238+C246+C254+C262+C282+C290+C298+C308+C318+C328+C336+C362+C372+C380+C442+C450+C458+C500+C509+C517+C558+C566+C574+C583+C591+C599+C607+C615+C623+C647+C665+C673+C681+C699+C707+C715+C724+C741+C749+C757+C765+C773+C781+C789+C797+C805+C813+C631+C689+C475+C467+C492+C211+C416+C118+C733+C100+C21+C126+C220+C29+C526+C639+C353+C397+C272+C38+C47+C344)</f>
        <v>3371870</v>
      </c>
      <c r="D822" s="691">
        <f>SUM(D13+D57+D65+D82+D92+D108+D135+D143+D151+D159+D169+D177+D187+D195+D203+D230+D238+D246+D254+D262+D282+D290+D298+D308+D318+D328+D336+D362+D372+D380+D442+D450+D458+D500+D509+D517+D558+D566+D574+D583+D591+D599+D607+D615+D623+D647+D665+D673+D681+D699+D707+D715+D724+D741+D749+D757+D765+D773+D781+D789+D797+D805+D813+D631+D689+D475+D467+D492+D211+D416+D118+D733+D100+D21+D126+D220+D29+D526+D639+D353+D397+D272+D38+D47+D344)+D388+D656</f>
        <v>3957519</v>
      </c>
      <c r="E822" s="288">
        <f>SUM(E13+E57+E65+E82+E92+E108+E135+E143+E151+E159+E169+E177+E187+E195+E203+E230+E238+E246+E254+E262+E282+E290+E298+E308+E318+E328+E336+E362+E372+E380+E442+E450+E458+E500+E509+E517+E558+E566+E574+E583+E591+E599+E607+E615+E623+E647+E665+E673+E681+E699+E707+E715+E724+E741+E749+E757+E765+E773+E781+E789+E797+E805+E813+E631+E689+E475+E467+E492+E211+E416+E118+E733+E100+E21+E126+E220+E29+E526+E639+E353+E397+E272+E38+E47+E344)+E388+E656</f>
        <v>3971364</v>
      </c>
      <c r="F822" s="691">
        <f>SUM(F13+F57+F65+F82+F92+F108+F135+F143+F151+F159+F169+F177+F187+F195+F203+F230+F238+F246+F254+F262+F282+F290+F298+F308+F318+F328+F336+F362+F372+F380+F442+F450+F458+F500+F509+F517+F558+F566+F574+F583+F591+F599+F607+F615+F623+F647+F665+F673+F681+F699+F707+F715+F724+F741+F749+F757+F765+F773+F781+F789+F797+F805+F813+F631+F689+F475+F467+F492+F211+F416+F118+F733+F100+F21+F126+F220+F29+F526+F639+F353+F397+F272+F38+F47+F344)+F388+F656</f>
        <v>2357424</v>
      </c>
      <c r="G822" s="741">
        <f t="shared" si="289"/>
        <v>0.5936056226525698</v>
      </c>
      <c r="H822" s="395"/>
    </row>
    <row r="823" spans="1:8" ht="12" customHeight="1">
      <c r="A823" s="282"/>
      <c r="B823" s="176" t="s">
        <v>111</v>
      </c>
      <c r="C823" s="691">
        <f>SUM(C14+C58+C66+C83+C93+C109+C136+C144+C152+C160+C170+C178+C188+C196+C204+C231+C239+C247+C255+C263+C283+C291+C299+C309+C319+C329+C337+C363+C373+C381+C443+C451+C459+C501+C510+C518+C559+C567+C575+C584+C592+C600+C608+C616+C624+C648+C666+C674+C682+C700+C708+C716+C725+C742+C750+C758+C766+C774+C782+C790+C798+C806+C814+C407+C417+C426+C476+C468+C484+C493+C527+C535+C543+C435)</f>
        <v>239894</v>
      </c>
      <c r="D823" s="691">
        <f>SUM(D14+D58+D66+D83+D93+D109+D136+D144+D152+D160+D170+D178+D188+D196+D204+D231+D239+D247+D255+D263+D283+D291+D299+D309+D319+D329+D337+D363+D373+D381+D443+D451+D459+D501+D510+D518+D559+D567+D575+D584+D592+D600+D608+D616+D624+D648+D666+D674+D682+D700+D708+D716+D725+D742+D750+D758+D766+D774+D782+D790+D798+D806+D814+D407+D417+D426+D476+D468+D484+D493+D527+D535+D543+D435)</f>
        <v>252687</v>
      </c>
      <c r="E823" s="288">
        <f>SUM(E14+E58+E66+E83+E93+E109+E136+E144+E152+E160+E170+E178+E188+E196+E204+E231+E239+E247+E255+E263+E283+E291+E299+E309+E319+E329+E337+E363+E373+E381+E443+E451+E459+E501+E510+E518+E559+E567+E575+E584+E592+E600+E608+E616+E624+E648+E666+E674+E682+E700+E708+E716+E725+E742+E750+E758+E766+E774+E782+E790+E798+E806+E814+E407+E417+E426+E476+E468+E484+E493+E527+E535+E543+E435)</f>
        <v>257687</v>
      </c>
      <c r="F823" s="691">
        <f>SUM(F14+F58+F66+F83+F93+F109+F136+F144+F152+F160+F170+F178+F188+F196+F204+F231+F239+F247+F255+F263+F283+F291+F299+F309+F319+F329+F337+F363+F373+F381+F443+F451+F459+F501+F510+F518+F559+F567+F575+F584+F592+F600+F608+F616+F624+F648+F666+F674+F682+F700+F708+F716+F725+F742+F750+F758+F766+F774+F782+F790+F798+F806+F814+F407+F417+F426+F476+F468+F484+F493+F527+F535+F543+F435)</f>
        <v>112239</v>
      </c>
      <c r="G823" s="741">
        <f t="shared" si="289"/>
        <v>0.43556329966199303</v>
      </c>
      <c r="H823" s="395"/>
    </row>
    <row r="824" spans="1:8" ht="12" customHeight="1" thickBot="1">
      <c r="A824" s="282"/>
      <c r="B824" s="472" t="s">
        <v>270</v>
      </c>
      <c r="C824" s="695">
        <f>SUM(C15+C59+C67+C84+C94+C110+C137+C145+C153+C161+C171+C179+C189+C197+C205+C232+C240+C248+C256+C264+C284+C292+C300+C310+C320+C330+C364+C374+C382+C427+C444+C452+C460+C502+C511+C519+C560+C568+C576+C585+C593+C601+C609+C617+C625+C649+C667+C675+C683+C701+C709+C717+C726+C743+C751+C759+C767+C775+C783+C791+C799+C807+C815+C213+C691+C735)</f>
        <v>51700</v>
      </c>
      <c r="D824" s="693">
        <f>SUM(D15+D59+D67+D84+D94+D110+D137+D145+D153+D161+D171+D179+D189+D197+D205+D232+D240+D248+D256+D264+D284+D292+D300+D310+D320+D330+D364+D374+D382+D427+D444+D452+D460+D502+D511+D519+D560+D568+D576+D585+D593+D601+D609+D617+D625+D649+D667+D675+D683+D701+D709+D717+D726+D743+D751+D759+D767+D775+D783+D791+D799+D807+D815+D213+D691+D735)</f>
        <v>69911</v>
      </c>
      <c r="E824" s="976">
        <f>SUM(E15+E59+E67+E84+E94+E110+E137+E145+E153+E161+E171+E179+E189+E197+E205+E232+E240+E248+E256+E264+E284+E292+E300+E310+E320+E330+E364+E374+E382+E427+E444+E452+E460+E502+E511+E519+E560+E568+E576+E585+E593+E601+E609+E617+E625+E649+E667+E675+E683+E701+E709+E717+E726+E743+E751+E759+E767+E775+E783+E791+E799+E807+E815+E213+E691+E735)</f>
        <v>66915</v>
      </c>
      <c r="F824" s="693">
        <f>SUM(F15+F59+F67+F84+F94+F110+F137+F145+F153+F161+F171+F179+F189+F197+F205+F232+F240+F248+F256+F264+F284+F292+F300+F310+F320+F330+F364+F374+F382+F427+F444+F452+F460+F502+F511+F519+F560+F568+F576+F585+F593+F601+F609+F617+F625+F649+F667+F675+F683+F701+F709+F717+F726+F743+F751+F759+F767+F775+F783+F791+F799+F807+F815+F213+F691+F735)</f>
        <v>21156</v>
      </c>
      <c r="G824" s="746">
        <f t="shared" si="289"/>
        <v>0.3161622954494508</v>
      </c>
      <c r="H824" s="423"/>
    </row>
    <row r="825" spans="1:8" ht="12" customHeight="1" thickBot="1">
      <c r="A825" s="282"/>
      <c r="B825" s="473" t="s">
        <v>51</v>
      </c>
      <c r="C825" s="701">
        <f aca="true" t="shared" si="308" ref="C825">SUM(C820:C824)</f>
        <v>3887429</v>
      </c>
      <c r="D825" s="701">
        <f aca="true" t="shared" si="309" ref="D825">SUM(D820:D824)</f>
        <v>4521243</v>
      </c>
      <c r="E825" s="977">
        <f aca="true" t="shared" si="310" ref="E825:F825">SUM(E820:E824)</f>
        <v>4539758</v>
      </c>
      <c r="F825" s="701">
        <f t="shared" si="310"/>
        <v>2632574</v>
      </c>
      <c r="G825" s="743">
        <f t="shared" si="289"/>
        <v>0.57989302513482</v>
      </c>
      <c r="H825" s="425"/>
    </row>
    <row r="826" spans="1:8" ht="12" customHeight="1">
      <c r="A826" s="282"/>
      <c r="B826" s="474" t="s">
        <v>62</v>
      </c>
      <c r="C826" s="691"/>
      <c r="D826" s="691"/>
      <c r="E826" s="288"/>
      <c r="F826" s="691"/>
      <c r="G826" s="394"/>
      <c r="H826" s="420"/>
    </row>
    <row r="827" spans="1:8" ht="12" customHeight="1">
      <c r="A827" s="282"/>
      <c r="B827" s="289" t="s">
        <v>228</v>
      </c>
      <c r="C827" s="691">
        <f>SUM(C816+C60+C241+C702+C339+C744+C121+C214+C668+C180+C684+C111+C301+C718+C736+C33+C365)</f>
        <v>13945</v>
      </c>
      <c r="D827" s="691">
        <f>SUM(D816+D60+D241+D702+D339+D744+D121+D214+D668+D180+D684+D111+D301+D718+D736+D33+D365)</f>
        <v>39006</v>
      </c>
      <c r="E827" s="288">
        <f>SUM(E816+E60+E241+E266+E702+E339+E744+E121+E214+E668+E180+E684+E111+E301+E718+E736+E33+E365)</f>
        <v>40321</v>
      </c>
      <c r="F827" s="691">
        <f>SUM(F816+F60+F241+F266+F702+F339+F744+F121+F214+F668+F180+F684+F111+F301+F718+F736+F33+F365)</f>
        <v>6364</v>
      </c>
      <c r="G827" s="744">
        <f t="shared" si="289"/>
        <v>0.1578333870687731</v>
      </c>
      <c r="H827" s="395"/>
    </row>
    <row r="828" spans="1:8" ht="12" customHeight="1">
      <c r="A828" s="282"/>
      <c r="B828" s="289" t="s">
        <v>229</v>
      </c>
      <c r="C828" s="691">
        <f>SUM(C112)</f>
        <v>0</v>
      </c>
      <c r="D828" s="691">
        <f>SUM(D112)</f>
        <v>1264</v>
      </c>
      <c r="E828" s="288">
        <f>SUM(E112)</f>
        <v>1264</v>
      </c>
      <c r="F828" s="691">
        <f>SUM(F112)</f>
        <v>0</v>
      </c>
      <c r="G828" s="741">
        <f t="shared" si="289"/>
        <v>0</v>
      </c>
      <c r="H828" s="395"/>
    </row>
    <row r="829" spans="1:8" ht="12" customHeight="1" thickBot="1">
      <c r="A829" s="282"/>
      <c r="B829" s="472" t="s">
        <v>302</v>
      </c>
      <c r="C829" s="695">
        <f>SUM(C95+C249+C190+C375+C692+C267+C752+C181+C366+C719+C215+C302+C113)</f>
        <v>99200</v>
      </c>
      <c r="D829" s="693">
        <f>SUM(D95+D249+D190+D375+D692+D267+D752+D181+D366+D719+D215+D302+D113)+D206</f>
        <v>879818</v>
      </c>
      <c r="E829" s="693">
        <f>SUM(E95+E249+E190+E375+E692+E267+E752+E181+E366+E719+E215+E302+E113)+E206</f>
        <v>875845</v>
      </c>
      <c r="F829" s="693">
        <f>SUM(F95+F249+F190+F375+F692+F267+F752+F181+F366+F719+F215+F302+F113)+F206</f>
        <v>287287</v>
      </c>
      <c r="G829" s="746">
        <f t="shared" si="289"/>
        <v>0.3280112348646165</v>
      </c>
      <c r="H829" s="423"/>
    </row>
    <row r="830" spans="1:8" ht="12" customHeight="1" thickBot="1">
      <c r="A830" s="282"/>
      <c r="B830" s="473" t="s">
        <v>57</v>
      </c>
      <c r="C830" s="701">
        <f aca="true" t="shared" si="311" ref="C830">SUM(C827:C829)</f>
        <v>113145</v>
      </c>
      <c r="D830" s="701">
        <f aca="true" t="shared" si="312" ref="D830">SUM(D827:D829)</f>
        <v>920088</v>
      </c>
      <c r="E830" s="701">
        <f aca="true" t="shared" si="313" ref="E830:F830">SUM(E827:E829)</f>
        <v>917430</v>
      </c>
      <c r="F830" s="701">
        <f t="shared" si="313"/>
        <v>293651</v>
      </c>
      <c r="G830" s="743">
        <f t="shared" si="289"/>
        <v>0.32008000610400794</v>
      </c>
      <c r="H830" s="425"/>
    </row>
    <row r="831" spans="1:8" ht="11.1" customHeight="1" thickBot="1">
      <c r="A831" s="341"/>
      <c r="B831" s="355" t="s">
        <v>236</v>
      </c>
      <c r="C831" s="702">
        <f aca="true" t="shared" si="314" ref="C831">SUM(C830+C825)</f>
        <v>4000574</v>
      </c>
      <c r="D831" s="702">
        <f>SUM(D830+D825)</f>
        <v>5441331</v>
      </c>
      <c r="E831" s="702">
        <f>SUM(E830+E825)</f>
        <v>5457188</v>
      </c>
      <c r="F831" s="702">
        <f>SUM(F830+F825)</f>
        <v>2926225</v>
      </c>
      <c r="G831" s="743">
        <f t="shared" si="289"/>
        <v>0.5362148051340727</v>
      </c>
      <c r="H831" s="425"/>
    </row>
  </sheetData>
  <mergeCells count="7">
    <mergeCell ref="A1:H1"/>
    <mergeCell ref="A2:H2"/>
    <mergeCell ref="G5:G7"/>
    <mergeCell ref="C5:C7"/>
    <mergeCell ref="D5:D7"/>
    <mergeCell ref="E5:E7"/>
    <mergeCell ref="F5:F7"/>
  </mergeCells>
  <printOptions horizontalCentered="1"/>
  <pageMargins left="0.5905511811023623" right="0" top="0.1968503937007874" bottom="0" header="0.1968503937007874" footer="0"/>
  <pageSetup firstPageNumber="24" useFirstPageNumber="1" horizontalDpi="600" verticalDpi="600" orientation="landscape" paperSize="9" scale="73" r:id="rId1"/>
  <headerFooter alignWithMargins="0">
    <oddFooter>&amp;C&amp;P. oldal</oddFooter>
  </headerFooter>
  <rowBreaks count="15" manualBreakCount="15">
    <brk id="52" max="16383" man="1"/>
    <brk id="114" max="16383" man="1"/>
    <brk id="163" max="16383" man="1"/>
    <brk id="216" max="16383" man="1"/>
    <brk id="268" max="16383" man="1"/>
    <brk id="324" max="16383" man="1"/>
    <brk id="376" max="16383" man="1"/>
    <brk id="430" max="16383" man="1"/>
    <brk id="487" max="16383" man="1"/>
    <brk id="530" max="16383" man="1"/>
    <brk id="579" max="16383" man="1"/>
    <brk id="643" max="16383" man="1"/>
    <brk id="703" max="16383" man="1"/>
    <brk id="761" max="16383" man="1"/>
    <brk id="81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5"/>
  <sheetViews>
    <sheetView showZeros="0" zoomScale="95" zoomScaleNormal="95" workbookViewId="0" topLeftCell="A1">
      <selection activeCell="F58" sqref="F58"/>
    </sheetView>
  </sheetViews>
  <sheetFormatPr defaultColWidth="9.125" defaultRowHeight="12.75" customHeight="1"/>
  <cols>
    <col min="1" max="1" width="6.875" style="8" customWidth="1"/>
    <col min="2" max="2" width="51.00390625" style="8" customWidth="1"/>
    <col min="3" max="6" width="13.625" style="9" customWidth="1"/>
    <col min="7" max="7" width="8.625" style="9" customWidth="1"/>
    <col min="8" max="8" width="50.875" style="8" customWidth="1"/>
    <col min="9" max="16384" width="9.125" style="8" customWidth="1"/>
  </cols>
  <sheetData>
    <row r="1" spans="1:8" ht="12.9" customHeight="1">
      <c r="A1" s="1128" t="s">
        <v>273</v>
      </c>
      <c r="B1" s="1127"/>
      <c r="C1" s="1127"/>
      <c r="D1" s="1127"/>
      <c r="E1" s="1127"/>
      <c r="F1" s="1127"/>
      <c r="G1" s="1127"/>
      <c r="H1" s="1127"/>
    </row>
    <row r="2" spans="1:8" ht="12.9" customHeight="1">
      <c r="A2" s="1126" t="s">
        <v>611</v>
      </c>
      <c r="B2" s="1127"/>
      <c r="C2" s="1127"/>
      <c r="D2" s="1127"/>
      <c r="E2" s="1127"/>
      <c r="F2" s="1127"/>
      <c r="G2" s="1127"/>
      <c r="H2" s="1127"/>
    </row>
    <row r="3" spans="3:8" ht="12.6" customHeight="1">
      <c r="C3" s="66"/>
      <c r="D3" s="66"/>
      <c r="E3" s="66"/>
      <c r="F3" s="66"/>
      <c r="G3" s="66"/>
      <c r="H3" s="75" t="s">
        <v>164</v>
      </c>
    </row>
    <row r="4" spans="1:8" ht="12.9" customHeight="1">
      <c r="A4" s="47"/>
      <c r="B4" s="48"/>
      <c r="C4" s="1102" t="s">
        <v>617</v>
      </c>
      <c r="D4" s="1102" t="s">
        <v>651</v>
      </c>
      <c r="E4" s="1102" t="s">
        <v>657</v>
      </c>
      <c r="F4" s="1102" t="s">
        <v>660</v>
      </c>
      <c r="G4" s="1067" t="s">
        <v>666</v>
      </c>
      <c r="H4" s="84" t="s">
        <v>510</v>
      </c>
    </row>
    <row r="5" spans="1:8" ht="13.2">
      <c r="A5" s="49" t="s">
        <v>258</v>
      </c>
      <c r="B5" s="83" t="s">
        <v>130</v>
      </c>
      <c r="C5" s="1117"/>
      <c r="D5" s="1117"/>
      <c r="E5" s="1117"/>
      <c r="F5" s="1105"/>
      <c r="G5" s="1129"/>
      <c r="H5" s="50" t="s">
        <v>131</v>
      </c>
    </row>
    <row r="6" spans="1:8" ht="13.8" thickBot="1">
      <c r="A6" s="51"/>
      <c r="B6" s="52"/>
      <c r="C6" s="1118"/>
      <c r="D6" s="1118"/>
      <c r="E6" s="1118"/>
      <c r="F6" s="1106"/>
      <c r="G6" s="1130"/>
      <c r="H6" s="53"/>
    </row>
    <row r="7" spans="1:8" ht="15" customHeight="1">
      <c r="A7" s="189" t="s">
        <v>149</v>
      </c>
      <c r="B7" s="190" t="s">
        <v>150</v>
      </c>
      <c r="C7" s="191" t="s">
        <v>151</v>
      </c>
      <c r="D7" s="191" t="s">
        <v>561</v>
      </c>
      <c r="E7" s="191" t="s">
        <v>562</v>
      </c>
      <c r="F7" s="191" t="s">
        <v>582</v>
      </c>
      <c r="G7" s="191" t="s">
        <v>583</v>
      </c>
      <c r="H7" s="191" t="s">
        <v>461</v>
      </c>
    </row>
    <row r="8" spans="1:8" ht="12.75" customHeight="1">
      <c r="A8" s="99"/>
      <c r="B8" s="81" t="s">
        <v>243</v>
      </c>
      <c r="C8" s="580"/>
      <c r="D8" s="580"/>
      <c r="E8" s="580"/>
      <c r="F8" s="580"/>
      <c r="G8" s="580"/>
      <c r="H8" s="581"/>
    </row>
    <row r="9" spans="1:8" ht="12.75" customHeight="1" thickBot="1">
      <c r="A9" s="41">
        <v>3911</v>
      </c>
      <c r="B9" s="34" t="s">
        <v>169</v>
      </c>
      <c r="C9" s="888">
        <v>10000</v>
      </c>
      <c r="D9" s="888">
        <f>10000+193</f>
        <v>10193</v>
      </c>
      <c r="E9" s="888">
        <f>10000+193-3999</f>
        <v>6194</v>
      </c>
      <c r="F9" s="888">
        <v>193</v>
      </c>
      <c r="G9" s="736">
        <f>SUM(F9/E9)</f>
        <v>0.03115918630933161</v>
      </c>
      <c r="H9" s="553"/>
    </row>
    <row r="10" spans="1:8" ht="12.75" customHeight="1" thickBot="1">
      <c r="A10" s="61">
        <v>3910</v>
      </c>
      <c r="B10" s="35" t="s">
        <v>160</v>
      </c>
      <c r="C10" s="889">
        <f>SUM(C9:C9)</f>
        <v>10000</v>
      </c>
      <c r="D10" s="931">
        <f>SUM(D9:D9)</f>
        <v>10193</v>
      </c>
      <c r="E10" s="931">
        <f>SUM(E9:E9)</f>
        <v>6194</v>
      </c>
      <c r="F10" s="931">
        <f>SUM(F9:F9)</f>
        <v>193</v>
      </c>
      <c r="G10" s="747">
        <f aca="true" t="shared" si="0" ref="G10:G63">SUM(F10/E10)</f>
        <v>0.03115918630933161</v>
      </c>
      <c r="H10" s="553"/>
    </row>
    <row r="11" spans="1:8" s="12" customFormat="1" ht="12.75" customHeight="1">
      <c r="A11" s="10"/>
      <c r="B11" s="37" t="s">
        <v>242</v>
      </c>
      <c r="C11" s="801"/>
      <c r="D11" s="801"/>
      <c r="E11" s="801"/>
      <c r="F11" s="801"/>
      <c r="G11" s="825"/>
      <c r="H11" s="554"/>
    </row>
    <row r="12" spans="1:8" s="12" customFormat="1" ht="12.75" customHeight="1">
      <c r="A12" s="41">
        <v>3922</v>
      </c>
      <c r="B12" s="34" t="s">
        <v>441</v>
      </c>
      <c r="C12" s="890"/>
      <c r="D12" s="890">
        <v>3450</v>
      </c>
      <c r="E12" s="890">
        <v>3450</v>
      </c>
      <c r="F12" s="890">
        <v>3450</v>
      </c>
      <c r="G12" s="825">
        <f t="shared" si="0"/>
        <v>1</v>
      </c>
      <c r="H12" s="556" t="s">
        <v>495</v>
      </c>
    </row>
    <row r="13" spans="1:8" s="12" customFormat="1" ht="12.75" customHeight="1">
      <c r="A13" s="41">
        <v>3924</v>
      </c>
      <c r="B13" s="34" t="s">
        <v>507</v>
      </c>
      <c r="C13" s="890">
        <v>3000</v>
      </c>
      <c r="D13" s="890">
        <v>3000</v>
      </c>
      <c r="E13" s="890">
        <v>3000</v>
      </c>
      <c r="F13" s="890"/>
      <c r="G13" s="825">
        <f t="shared" si="0"/>
        <v>0</v>
      </c>
      <c r="H13" s="556"/>
    </row>
    <row r="14" spans="1:8" s="12" customFormat="1" ht="12.75" customHeight="1">
      <c r="A14" s="41">
        <v>3925</v>
      </c>
      <c r="B14" s="34" t="s">
        <v>23</v>
      </c>
      <c r="C14" s="890">
        <v>127200</v>
      </c>
      <c r="D14" s="890">
        <v>127200</v>
      </c>
      <c r="E14" s="890">
        <v>127200</v>
      </c>
      <c r="F14" s="890">
        <v>84798</v>
      </c>
      <c r="G14" s="825">
        <f t="shared" si="0"/>
        <v>0.6666509433962264</v>
      </c>
      <c r="H14" s="812" t="s">
        <v>526</v>
      </c>
    </row>
    <row r="15" spans="1:8" s="12" customFormat="1" ht="12.75" customHeight="1">
      <c r="A15" s="41">
        <v>3927</v>
      </c>
      <c r="B15" s="34" t="s">
        <v>508</v>
      </c>
      <c r="C15" s="890">
        <v>3000</v>
      </c>
      <c r="D15" s="890">
        <v>3000</v>
      </c>
      <c r="E15" s="890">
        <v>3000</v>
      </c>
      <c r="F15" s="890">
        <v>3000</v>
      </c>
      <c r="G15" s="825">
        <f t="shared" si="0"/>
        <v>1</v>
      </c>
      <c r="H15" s="560" t="s">
        <v>496</v>
      </c>
    </row>
    <row r="16" spans="1:8" s="12" customFormat="1" ht="12.75" customHeight="1">
      <c r="A16" s="41">
        <v>3928</v>
      </c>
      <c r="B16" s="34" t="s">
        <v>139</v>
      </c>
      <c r="C16" s="890">
        <f>SUM(C21+C17)</f>
        <v>5000</v>
      </c>
      <c r="D16" s="890">
        <f>SUM(D21+D17)</f>
        <v>219588</v>
      </c>
      <c r="E16" s="890">
        <f>SUM(E21+E17)</f>
        <v>219588</v>
      </c>
      <c r="F16" s="890">
        <f>SUM(F21+F17)</f>
        <v>138329</v>
      </c>
      <c r="G16" s="825">
        <f t="shared" si="0"/>
        <v>0.62994790243547</v>
      </c>
      <c r="H16" s="556" t="s">
        <v>496</v>
      </c>
    </row>
    <row r="17" spans="1:8" s="12" customFormat="1" ht="12.75" customHeight="1">
      <c r="A17" s="41"/>
      <c r="B17" s="183" t="s">
        <v>71</v>
      </c>
      <c r="C17" s="823">
        <f>SUM(C18:C20)</f>
        <v>5000</v>
      </c>
      <c r="D17" s="823">
        <f>SUM(D18:D20)</f>
        <v>5961</v>
      </c>
      <c r="E17" s="823">
        <f>SUM(E18:E20)</f>
        <v>5961</v>
      </c>
      <c r="F17" s="823">
        <f>SUM(F18:F20)</f>
        <v>3784</v>
      </c>
      <c r="G17" s="825">
        <f t="shared" si="0"/>
        <v>0.6347928199966448</v>
      </c>
      <c r="H17" s="894"/>
    </row>
    <row r="18" spans="1:8" s="12" customFormat="1" ht="12.75" customHeight="1">
      <c r="A18" s="41"/>
      <c r="B18" s="183" t="s">
        <v>434</v>
      </c>
      <c r="C18" s="823">
        <v>5000</v>
      </c>
      <c r="D18" s="823">
        <f>5000+575</f>
        <v>5575</v>
      </c>
      <c r="E18" s="823">
        <f>5000+575</f>
        <v>5575</v>
      </c>
      <c r="F18" s="823">
        <v>3784</v>
      </c>
      <c r="G18" s="825">
        <f t="shared" si="0"/>
        <v>0.6787443946188341</v>
      </c>
      <c r="H18" s="557"/>
    </row>
    <row r="19" spans="1:8" s="12" customFormat="1" ht="12.75" customHeight="1">
      <c r="A19" s="41"/>
      <c r="B19" s="183" t="s">
        <v>435</v>
      </c>
      <c r="C19" s="823"/>
      <c r="D19" s="823"/>
      <c r="E19" s="823"/>
      <c r="F19" s="823"/>
      <c r="G19" s="825"/>
      <c r="H19" s="557"/>
    </row>
    <row r="20" spans="1:8" s="12" customFormat="1" ht="12.75" customHeight="1">
      <c r="A20" s="41"/>
      <c r="B20" s="183" t="s">
        <v>436</v>
      </c>
      <c r="C20" s="823"/>
      <c r="D20" s="823">
        <v>386</v>
      </c>
      <c r="E20" s="823">
        <v>386</v>
      </c>
      <c r="F20" s="823"/>
      <c r="G20" s="825">
        <f t="shared" si="0"/>
        <v>0</v>
      </c>
      <c r="H20" s="557"/>
    </row>
    <row r="21" spans="1:8" s="12" customFormat="1" ht="12.75" customHeight="1" thickBot="1">
      <c r="A21" s="41"/>
      <c r="B21" s="183" t="s">
        <v>361</v>
      </c>
      <c r="C21" s="823"/>
      <c r="D21" s="967">
        <v>213627</v>
      </c>
      <c r="E21" s="967">
        <v>213627</v>
      </c>
      <c r="F21" s="967">
        <v>134545</v>
      </c>
      <c r="G21" s="736">
        <f t="shared" si="0"/>
        <v>0.6298127109400965</v>
      </c>
      <c r="H21" s="968"/>
    </row>
    <row r="22" spans="1:8" s="12" customFormat="1" ht="12.75" customHeight="1" thickBot="1">
      <c r="A22" s="61">
        <v>3920</v>
      </c>
      <c r="B22" s="35" t="s">
        <v>160</v>
      </c>
      <c r="C22" s="889">
        <f>SUM(C12:C16)</f>
        <v>138200</v>
      </c>
      <c r="D22" s="889">
        <f>SUM(D12:D16)</f>
        <v>356238</v>
      </c>
      <c r="E22" s="889">
        <f>SUM(E12:E16)</f>
        <v>356238</v>
      </c>
      <c r="F22" s="889">
        <f>SUM(F12:F16)</f>
        <v>229577</v>
      </c>
      <c r="G22" s="747">
        <f t="shared" si="0"/>
        <v>0.6444483744013834</v>
      </c>
      <c r="H22" s="558"/>
    </row>
    <row r="23" spans="1:8" s="12" customFormat="1" ht="12.75" customHeight="1">
      <c r="A23" s="10"/>
      <c r="B23" s="37" t="s">
        <v>117</v>
      </c>
      <c r="C23" s="801"/>
      <c r="D23" s="801"/>
      <c r="E23" s="801"/>
      <c r="F23" s="801"/>
      <c r="G23" s="825"/>
      <c r="H23" s="554"/>
    </row>
    <row r="24" spans="1:8" s="12" customFormat="1" ht="12.75" customHeight="1">
      <c r="A24" s="64">
        <v>3931</v>
      </c>
      <c r="B24" s="82" t="s">
        <v>143</v>
      </c>
      <c r="C24" s="664">
        <v>2000</v>
      </c>
      <c r="D24" s="664">
        <v>2000</v>
      </c>
      <c r="E24" s="664">
        <v>2000</v>
      </c>
      <c r="F24" s="664">
        <v>500</v>
      </c>
      <c r="G24" s="825">
        <f t="shared" si="0"/>
        <v>0.25</v>
      </c>
      <c r="H24" s="556" t="s">
        <v>521</v>
      </c>
    </row>
    <row r="25" spans="1:8" s="12" customFormat="1" ht="12.75" customHeight="1" thickBot="1">
      <c r="A25" s="64">
        <v>3932</v>
      </c>
      <c r="B25" s="82" t="s">
        <v>503</v>
      </c>
      <c r="C25" s="664">
        <v>12500</v>
      </c>
      <c r="D25" s="664">
        <v>12500</v>
      </c>
      <c r="E25" s="664">
        <v>12500</v>
      </c>
      <c r="F25" s="664">
        <v>12500</v>
      </c>
      <c r="G25" s="736">
        <f t="shared" si="0"/>
        <v>1</v>
      </c>
      <c r="H25" s="556" t="s">
        <v>521</v>
      </c>
    </row>
    <row r="26" spans="1:8" s="12" customFormat="1" ht="12.75" customHeight="1" thickBot="1">
      <c r="A26" s="61">
        <v>3930</v>
      </c>
      <c r="B26" s="35" t="s">
        <v>160</v>
      </c>
      <c r="C26" s="889">
        <f>SUM(C24:C25)</f>
        <v>14500</v>
      </c>
      <c r="D26" s="889">
        <f>SUM(D24:D25)</f>
        <v>14500</v>
      </c>
      <c r="E26" s="889">
        <f>SUM(E24:E25)</f>
        <v>14500</v>
      </c>
      <c r="F26" s="889">
        <f>SUM(F24:F25)</f>
        <v>13000</v>
      </c>
      <c r="G26" s="747">
        <f t="shared" si="0"/>
        <v>0.896551724137931</v>
      </c>
      <c r="H26" s="561"/>
    </row>
    <row r="27" spans="1:8" ht="12.75" customHeight="1">
      <c r="A27" s="10"/>
      <c r="B27" s="37" t="s">
        <v>48</v>
      </c>
      <c r="C27" s="891"/>
      <c r="D27" s="891"/>
      <c r="E27" s="891"/>
      <c r="F27" s="891"/>
      <c r="G27" s="825"/>
      <c r="H27" s="562"/>
    </row>
    <row r="28" spans="1:8" ht="12.75" customHeight="1">
      <c r="A28" s="41">
        <v>3941</v>
      </c>
      <c r="B28" s="34" t="s">
        <v>428</v>
      </c>
      <c r="C28" s="890">
        <v>487000</v>
      </c>
      <c r="D28" s="890">
        <v>487000</v>
      </c>
      <c r="E28" s="890">
        <v>487000</v>
      </c>
      <c r="F28" s="890">
        <v>365247</v>
      </c>
      <c r="G28" s="825">
        <f t="shared" si="0"/>
        <v>0.749993839835729</v>
      </c>
      <c r="H28" s="812" t="s">
        <v>527</v>
      </c>
    </row>
    <row r="29" spans="1:8" ht="12.75" customHeight="1">
      <c r="A29" s="41">
        <v>3943</v>
      </c>
      <c r="B29" s="34" t="s">
        <v>6</v>
      </c>
      <c r="C29" s="890">
        <f>SUM(C30:C33)</f>
        <v>1000</v>
      </c>
      <c r="D29" s="890">
        <f>SUM(D30:D33)</f>
        <v>1000</v>
      </c>
      <c r="E29" s="890">
        <f>SUM(E30:E33)</f>
        <v>1000</v>
      </c>
      <c r="F29" s="890">
        <f>SUM(F30:F33)</f>
        <v>0</v>
      </c>
      <c r="G29" s="825">
        <f t="shared" si="0"/>
        <v>0</v>
      </c>
      <c r="H29" s="556" t="s">
        <v>497</v>
      </c>
    </row>
    <row r="30" spans="1:8" ht="12.75" customHeight="1">
      <c r="A30" s="41"/>
      <c r="B30" s="183" t="s">
        <v>362</v>
      </c>
      <c r="C30" s="823">
        <v>350</v>
      </c>
      <c r="D30" s="823">
        <v>350</v>
      </c>
      <c r="E30" s="823">
        <v>350</v>
      </c>
      <c r="F30" s="823"/>
      <c r="G30" s="825">
        <f t="shared" si="0"/>
        <v>0</v>
      </c>
      <c r="H30" s="556"/>
    </row>
    <row r="31" spans="1:8" ht="12.75" customHeight="1">
      <c r="A31" s="41"/>
      <c r="B31" s="183" t="s">
        <v>363</v>
      </c>
      <c r="C31" s="823">
        <v>150</v>
      </c>
      <c r="D31" s="823">
        <v>150</v>
      </c>
      <c r="E31" s="823">
        <v>150</v>
      </c>
      <c r="F31" s="823"/>
      <c r="G31" s="825">
        <f t="shared" si="0"/>
        <v>0</v>
      </c>
      <c r="H31" s="556"/>
    </row>
    <row r="32" spans="1:8" ht="12.75" customHeight="1">
      <c r="A32" s="41"/>
      <c r="B32" s="629" t="s">
        <v>92</v>
      </c>
      <c r="C32" s="823"/>
      <c r="D32" s="823"/>
      <c r="E32" s="823"/>
      <c r="F32" s="823"/>
      <c r="G32" s="825"/>
      <c r="H32" s="556"/>
    </row>
    <row r="33" spans="1:8" ht="12.75" customHeight="1" thickBot="1">
      <c r="A33" s="41"/>
      <c r="B33" s="629" t="s">
        <v>361</v>
      </c>
      <c r="C33" s="823">
        <v>500</v>
      </c>
      <c r="D33" s="823">
        <v>500</v>
      </c>
      <c r="E33" s="823">
        <v>500</v>
      </c>
      <c r="F33" s="823"/>
      <c r="G33" s="736">
        <f t="shared" si="0"/>
        <v>0</v>
      </c>
      <c r="H33" s="556"/>
    </row>
    <row r="34" spans="1:8" s="12" customFormat="1" ht="12.75" customHeight="1" thickBot="1">
      <c r="A34" s="61">
        <v>3940</v>
      </c>
      <c r="B34" s="35" t="s">
        <v>158</v>
      </c>
      <c r="C34" s="889">
        <f>SUM(C28:C29)</f>
        <v>488000</v>
      </c>
      <c r="D34" s="889">
        <f>SUM(D28:D29)</f>
        <v>488000</v>
      </c>
      <c r="E34" s="889">
        <f>SUM(E28:E29)</f>
        <v>488000</v>
      </c>
      <c r="F34" s="889">
        <f>SUM(F28:F29)</f>
        <v>365247</v>
      </c>
      <c r="G34" s="747">
        <f t="shared" si="0"/>
        <v>0.7484569672131147</v>
      </c>
      <c r="H34" s="563"/>
    </row>
    <row r="35" spans="1:8" s="12" customFormat="1" ht="12.75" customHeight="1">
      <c r="A35" s="194"/>
      <c r="B35" s="195" t="s">
        <v>47</v>
      </c>
      <c r="C35" s="892"/>
      <c r="D35" s="892"/>
      <c r="E35" s="892"/>
      <c r="F35" s="892"/>
      <c r="G35" s="825"/>
      <c r="H35" s="564"/>
    </row>
    <row r="36" spans="1:8" s="12" customFormat="1" ht="12.75" customHeight="1">
      <c r="A36" s="63">
        <v>3961</v>
      </c>
      <c r="B36" s="79" t="s">
        <v>365</v>
      </c>
      <c r="C36" s="665">
        <v>217170</v>
      </c>
      <c r="D36" s="665">
        <v>217170</v>
      </c>
      <c r="E36" s="665">
        <v>217170</v>
      </c>
      <c r="F36" s="665">
        <v>147675</v>
      </c>
      <c r="G36" s="825">
        <f t="shared" si="0"/>
        <v>0.6799972371874569</v>
      </c>
      <c r="H36" s="628"/>
    </row>
    <row r="37" spans="1:8" s="12" customFormat="1" ht="12.75" customHeight="1">
      <c r="A37" s="63">
        <v>3972</v>
      </c>
      <c r="B37" s="199" t="s">
        <v>604</v>
      </c>
      <c r="C37" s="665">
        <v>30000</v>
      </c>
      <c r="D37" s="665">
        <f>30000+2575</f>
        <v>32575</v>
      </c>
      <c r="E37" s="665">
        <f>30000+2575</f>
        <v>32575</v>
      </c>
      <c r="F37" s="665">
        <v>7490</v>
      </c>
      <c r="G37" s="825">
        <f t="shared" si="0"/>
        <v>0.22993092862624712</v>
      </c>
      <c r="H37" s="555" t="s">
        <v>645</v>
      </c>
    </row>
    <row r="38" spans="1:8" s="12" customFormat="1" ht="12.75" customHeight="1">
      <c r="A38" s="63">
        <v>3973</v>
      </c>
      <c r="B38" s="199" t="s">
        <v>641</v>
      </c>
      <c r="C38" s="665"/>
      <c r="D38" s="665">
        <v>3000</v>
      </c>
      <c r="E38" s="665">
        <v>3400</v>
      </c>
      <c r="F38" s="665"/>
      <c r="G38" s="825">
        <f t="shared" si="0"/>
        <v>0</v>
      </c>
      <c r="H38" s="555"/>
    </row>
    <row r="39" spans="1:8" s="12" customFormat="1" ht="12.75" customHeight="1" thickBot="1">
      <c r="A39" s="63">
        <v>3974</v>
      </c>
      <c r="B39" s="199" t="s">
        <v>642</v>
      </c>
      <c r="C39" s="665"/>
      <c r="D39" s="665">
        <v>10000</v>
      </c>
      <c r="E39" s="665">
        <v>10000</v>
      </c>
      <c r="F39" s="665"/>
      <c r="G39" s="736">
        <f t="shared" si="0"/>
        <v>0</v>
      </c>
      <c r="H39" s="555"/>
    </row>
    <row r="40" spans="1:8" s="12" customFormat="1" ht="12.75" customHeight="1" thickBot="1">
      <c r="A40" s="196">
        <v>3970</v>
      </c>
      <c r="B40" s="197" t="s">
        <v>138</v>
      </c>
      <c r="C40" s="893">
        <f>SUM(C36:C37)</f>
        <v>247170</v>
      </c>
      <c r="D40" s="893">
        <f>SUM(D36:D39)</f>
        <v>262745</v>
      </c>
      <c r="E40" s="893">
        <f>SUM(E36:E39)</f>
        <v>263145</v>
      </c>
      <c r="F40" s="893">
        <f>SUM(F36:F39)</f>
        <v>155165</v>
      </c>
      <c r="G40" s="747">
        <f t="shared" si="0"/>
        <v>0.5896558931387638</v>
      </c>
      <c r="H40" s="563"/>
    </row>
    <row r="41" spans="1:8" s="12" customFormat="1" ht="12.75" customHeight="1">
      <c r="A41" s="198"/>
      <c r="B41" s="200" t="s">
        <v>241</v>
      </c>
      <c r="C41" s="892"/>
      <c r="D41" s="892"/>
      <c r="E41" s="892"/>
      <c r="F41" s="892"/>
      <c r="G41" s="825"/>
      <c r="H41" s="554"/>
    </row>
    <row r="42" spans="1:8" s="12" customFormat="1" ht="12.75" customHeight="1">
      <c r="A42" s="63">
        <v>3988</v>
      </c>
      <c r="B42" s="79" t="s">
        <v>15</v>
      </c>
      <c r="C42" s="665">
        <v>800</v>
      </c>
      <c r="D42" s="665">
        <v>800</v>
      </c>
      <c r="E42" s="665">
        <v>800</v>
      </c>
      <c r="F42" s="665"/>
      <c r="G42" s="825">
        <f t="shared" si="0"/>
        <v>0</v>
      </c>
      <c r="H42" s="565"/>
    </row>
    <row r="43" spans="1:8" s="12" customFormat="1" ht="12.75" customHeight="1">
      <c r="A43" s="63">
        <v>3989</v>
      </c>
      <c r="B43" s="79" t="s">
        <v>333</v>
      </c>
      <c r="C43" s="665">
        <v>3000</v>
      </c>
      <c r="D43" s="665">
        <f>3000+500</f>
        <v>3500</v>
      </c>
      <c r="E43" s="665">
        <f>3000+500</f>
        <v>3500</v>
      </c>
      <c r="F43" s="665">
        <v>3200</v>
      </c>
      <c r="G43" s="825">
        <f t="shared" si="0"/>
        <v>0.9142857142857143</v>
      </c>
      <c r="H43" s="555" t="s">
        <v>498</v>
      </c>
    </row>
    <row r="44" spans="1:8" s="12" customFormat="1" ht="12.75" customHeight="1">
      <c r="A44" s="64">
        <v>3990</v>
      </c>
      <c r="B44" s="82" t="s">
        <v>285</v>
      </c>
      <c r="C44" s="664">
        <v>1000</v>
      </c>
      <c r="D44" s="664">
        <f>1000+769</f>
        <v>1769</v>
      </c>
      <c r="E44" s="664">
        <f>1000+769</f>
        <v>1769</v>
      </c>
      <c r="F44" s="664">
        <v>1769</v>
      </c>
      <c r="G44" s="825">
        <f t="shared" si="0"/>
        <v>1</v>
      </c>
      <c r="H44" s="565"/>
    </row>
    <row r="45" spans="1:8" s="12" customFormat="1" ht="12.75" customHeight="1">
      <c r="A45" s="64">
        <v>3991</v>
      </c>
      <c r="B45" s="82" t="s">
        <v>329</v>
      </c>
      <c r="C45" s="664">
        <v>4820</v>
      </c>
      <c r="D45" s="664">
        <v>4820</v>
      </c>
      <c r="E45" s="664">
        <v>4820</v>
      </c>
      <c r="F45" s="664"/>
      <c r="G45" s="825">
        <f t="shared" si="0"/>
        <v>0</v>
      </c>
      <c r="H45" s="565"/>
    </row>
    <row r="46" spans="1:8" s="12" customFormat="1" ht="12.75" customHeight="1">
      <c r="A46" s="64">
        <v>3992</v>
      </c>
      <c r="B46" s="82" t="s">
        <v>286</v>
      </c>
      <c r="C46" s="664">
        <v>1400</v>
      </c>
      <c r="D46" s="664">
        <v>1400</v>
      </c>
      <c r="E46" s="664">
        <v>1400</v>
      </c>
      <c r="F46" s="664">
        <v>1400</v>
      </c>
      <c r="G46" s="825">
        <f t="shared" si="0"/>
        <v>1</v>
      </c>
      <c r="H46" s="565"/>
    </row>
    <row r="47" spans="1:8" s="12" customFormat="1" ht="12.75" customHeight="1">
      <c r="A47" s="64">
        <v>3993</v>
      </c>
      <c r="B47" s="82" t="s">
        <v>287</v>
      </c>
      <c r="C47" s="664">
        <v>900</v>
      </c>
      <c r="D47" s="664">
        <v>900</v>
      </c>
      <c r="E47" s="664">
        <v>900</v>
      </c>
      <c r="F47" s="664"/>
      <c r="G47" s="825">
        <f t="shared" si="0"/>
        <v>0</v>
      </c>
      <c r="H47" s="565"/>
    </row>
    <row r="48" spans="1:8" s="12" customFormat="1" ht="12.75" customHeight="1">
      <c r="A48" s="64">
        <v>3994</v>
      </c>
      <c r="B48" s="82" t="s">
        <v>94</v>
      </c>
      <c r="C48" s="664">
        <v>900</v>
      </c>
      <c r="D48" s="664">
        <v>900</v>
      </c>
      <c r="E48" s="664">
        <v>900</v>
      </c>
      <c r="F48" s="664">
        <v>900</v>
      </c>
      <c r="G48" s="825">
        <f t="shared" si="0"/>
        <v>1</v>
      </c>
      <c r="H48" s="660"/>
    </row>
    <row r="49" spans="1:8" s="12" customFormat="1" ht="12.75" customHeight="1">
      <c r="A49" s="64">
        <v>3995</v>
      </c>
      <c r="B49" s="82" t="s">
        <v>95</v>
      </c>
      <c r="C49" s="664">
        <v>900</v>
      </c>
      <c r="D49" s="664">
        <v>900</v>
      </c>
      <c r="E49" s="664">
        <v>900</v>
      </c>
      <c r="F49" s="664">
        <v>900</v>
      </c>
      <c r="G49" s="825">
        <f t="shared" si="0"/>
        <v>1</v>
      </c>
      <c r="H49" s="660"/>
    </row>
    <row r="50" spans="1:8" s="12" customFormat="1" ht="12.75" customHeight="1">
      <c r="A50" s="64">
        <v>3997</v>
      </c>
      <c r="B50" s="82" t="s">
        <v>96</v>
      </c>
      <c r="C50" s="664">
        <v>900</v>
      </c>
      <c r="D50" s="664">
        <v>900</v>
      </c>
      <c r="E50" s="664">
        <v>900</v>
      </c>
      <c r="F50" s="664">
        <v>900</v>
      </c>
      <c r="G50" s="825">
        <f t="shared" si="0"/>
        <v>1</v>
      </c>
      <c r="H50" s="565"/>
    </row>
    <row r="51" spans="1:8" s="12" customFormat="1" ht="12.75" customHeight="1">
      <c r="A51" s="64">
        <v>3998</v>
      </c>
      <c r="B51" s="82" t="s">
        <v>97</v>
      </c>
      <c r="C51" s="664">
        <v>900</v>
      </c>
      <c r="D51" s="664">
        <v>900</v>
      </c>
      <c r="E51" s="664">
        <v>900</v>
      </c>
      <c r="F51" s="664">
        <v>900</v>
      </c>
      <c r="G51" s="825">
        <f t="shared" si="0"/>
        <v>1</v>
      </c>
      <c r="H51" s="565"/>
    </row>
    <row r="52" spans="1:8" s="12" customFormat="1" ht="12.75" customHeight="1" thickBot="1">
      <c r="A52" s="96">
        <v>3999</v>
      </c>
      <c r="B52" s="82" t="s">
        <v>98</v>
      </c>
      <c r="C52" s="664">
        <v>1000</v>
      </c>
      <c r="D52" s="664">
        <v>1000</v>
      </c>
      <c r="E52" s="664">
        <v>1000</v>
      </c>
      <c r="F52" s="664">
        <v>1000</v>
      </c>
      <c r="G52" s="736">
        <f t="shared" si="0"/>
        <v>1</v>
      </c>
      <c r="H52" s="565"/>
    </row>
    <row r="53" spans="1:8" s="12" customFormat="1" ht="12.75" customHeight="1" thickBot="1">
      <c r="A53" s="61"/>
      <c r="B53" s="35" t="s">
        <v>138</v>
      </c>
      <c r="C53" s="889">
        <f>SUM(C42:C52)</f>
        <v>16520</v>
      </c>
      <c r="D53" s="889">
        <f>SUM(D42:D52)</f>
        <v>17789</v>
      </c>
      <c r="E53" s="889">
        <f>SUM(E42:E52)</f>
        <v>17789</v>
      </c>
      <c r="F53" s="889">
        <f>SUM(F42:F52)</f>
        <v>10969</v>
      </c>
      <c r="G53" s="747">
        <f t="shared" si="0"/>
        <v>0.6166170105121143</v>
      </c>
      <c r="H53" s="563"/>
    </row>
    <row r="54" spans="1:8" s="12" customFormat="1" ht="12.75" customHeight="1" thickBot="1">
      <c r="A54" s="61">
        <v>3900</v>
      </c>
      <c r="B54" s="35" t="s">
        <v>132</v>
      </c>
      <c r="C54" s="889">
        <f>C34+C22+C10+C26+C40+C53</f>
        <v>914390</v>
      </c>
      <c r="D54" s="889">
        <f>D34+D22+D10+D26+D40+D53</f>
        <v>1149465</v>
      </c>
      <c r="E54" s="889">
        <f>E34+E22+E10+E26+E40+E53</f>
        <v>1145866</v>
      </c>
      <c r="F54" s="889">
        <f>F34+F22+F10+F26+F40+F53</f>
        <v>774151</v>
      </c>
      <c r="G54" s="721">
        <f t="shared" si="0"/>
        <v>0.6756034300694845</v>
      </c>
      <c r="H54" s="563"/>
    </row>
    <row r="55" spans="1:8" s="12" customFormat="1" ht="12.75" customHeight="1">
      <c r="A55" s="45"/>
      <c r="B55" s="79" t="s">
        <v>155</v>
      </c>
      <c r="C55" s="664">
        <f aca="true" t="shared" si="1" ref="C55">SUM(C30)</f>
        <v>350</v>
      </c>
      <c r="D55" s="664">
        <f aca="true" t="shared" si="2" ref="D55:F55">SUM(D30)</f>
        <v>350</v>
      </c>
      <c r="E55" s="664">
        <f t="shared" si="2"/>
        <v>350</v>
      </c>
      <c r="F55" s="664">
        <f t="shared" si="2"/>
        <v>0</v>
      </c>
      <c r="G55" s="825">
        <f t="shared" si="0"/>
        <v>0</v>
      </c>
      <c r="H55" s="559"/>
    </row>
    <row r="56" spans="1:8" s="12" customFormat="1" ht="12.75" customHeight="1">
      <c r="A56" s="45"/>
      <c r="B56" s="23" t="s">
        <v>101</v>
      </c>
      <c r="C56" s="664">
        <f aca="true" t="shared" si="3" ref="C56">SUM(C31)</f>
        <v>150</v>
      </c>
      <c r="D56" s="664">
        <f aca="true" t="shared" si="4" ref="D56:E56">SUM(D31)</f>
        <v>150</v>
      </c>
      <c r="E56" s="664">
        <f t="shared" si="4"/>
        <v>150</v>
      </c>
      <c r="F56" s="664">
        <f aca="true" t="shared" si="5" ref="F56">SUM(F31)</f>
        <v>0</v>
      </c>
      <c r="G56" s="825">
        <f t="shared" si="0"/>
        <v>0</v>
      </c>
      <c r="H56" s="559"/>
    </row>
    <row r="57" spans="1:8" s="12" customFormat="1" ht="12.75" customHeight="1">
      <c r="A57" s="45"/>
      <c r="B57" s="79" t="s">
        <v>272</v>
      </c>
      <c r="C57" s="664">
        <f>SUM(C18)</f>
        <v>5000</v>
      </c>
      <c r="D57" s="664">
        <f>SUM(D18)</f>
        <v>5575</v>
      </c>
      <c r="E57" s="664">
        <f>SUM(E18)</f>
        <v>5575</v>
      </c>
      <c r="F57" s="664">
        <f>SUM(F18)</f>
        <v>3784</v>
      </c>
      <c r="G57" s="825">
        <f t="shared" si="0"/>
        <v>0.6787443946188341</v>
      </c>
      <c r="H57" s="559"/>
    </row>
    <row r="58" spans="1:8" s="12" customFormat="1" ht="12.75" customHeight="1">
      <c r="A58" s="44"/>
      <c r="B58" s="23" t="s">
        <v>270</v>
      </c>
      <c r="C58" s="890">
        <f>SUM(C10+C22+C26+C34+C40+C53)-C62-C55-C56-C57-C61</f>
        <v>895390</v>
      </c>
      <c r="D58" s="890">
        <f>SUM(D10+D22+D26+D34+D40+D53)-D62-D55-D56-D57-D61</f>
        <v>915684</v>
      </c>
      <c r="E58" s="890">
        <f>SUM(E10+E22+E26+E34+E40+E53)-E62-E55-E56-E57-E61</f>
        <v>916084</v>
      </c>
      <c r="F58" s="890">
        <f>SUM(F10+F22+F26+F34+F40+F53)-F62-F55-F56-F57-F61</f>
        <v>632629</v>
      </c>
      <c r="G58" s="825">
        <f t="shared" si="0"/>
        <v>0.6905796848323953</v>
      </c>
      <c r="H58" s="559"/>
    </row>
    <row r="59" spans="1:8" s="12" customFormat="1" ht="12.75" customHeight="1">
      <c r="A59" s="44"/>
      <c r="B59" s="864" t="s">
        <v>556</v>
      </c>
      <c r="C59" s="823">
        <v>16520</v>
      </c>
      <c r="D59" s="823">
        <v>77789</v>
      </c>
      <c r="E59" s="823">
        <v>77789</v>
      </c>
      <c r="F59" s="1057">
        <v>7969</v>
      </c>
      <c r="G59" s="825">
        <f t="shared" si="0"/>
        <v>0.10244379025312061</v>
      </c>
      <c r="H59" s="559"/>
    </row>
    <row r="60" spans="1:8" s="12" customFormat="1" ht="12.75" customHeight="1">
      <c r="A60" s="44"/>
      <c r="B60" s="864" t="s">
        <v>557</v>
      </c>
      <c r="C60" s="823">
        <f>SUM(C12+C14+C15+C24+C25+C28+C36+C37+C38+C39)</f>
        <v>878870</v>
      </c>
      <c r="D60" s="823">
        <f>SUM(D12+D14+D15+D24+D25+D28+D36+D37+D38+D39)</f>
        <v>897895</v>
      </c>
      <c r="E60" s="823">
        <f>SUM(E12+E14+E15+E24+E25+E28+E36+E37+E38+E39)</f>
        <v>898295</v>
      </c>
      <c r="F60" s="823">
        <f>SUM(F12+F14+F15+F24+F25+F28+F36+F37+F38+F39)+F19</f>
        <v>624660</v>
      </c>
      <c r="G60" s="825">
        <f t="shared" si="0"/>
        <v>0.6953840330848997</v>
      </c>
      <c r="H60" s="559"/>
    </row>
    <row r="61" spans="1:8" s="12" customFormat="1" ht="12.75" customHeight="1">
      <c r="A61" s="44"/>
      <c r="B61" s="23" t="s">
        <v>19</v>
      </c>
      <c r="C61" s="890">
        <f>SUM(C20)</f>
        <v>0</v>
      </c>
      <c r="D61" s="890">
        <f>SUM(D20)</f>
        <v>386</v>
      </c>
      <c r="E61" s="890">
        <f>SUM(E20)</f>
        <v>386</v>
      </c>
      <c r="F61" s="890">
        <f>SUM(F20)</f>
        <v>0</v>
      </c>
      <c r="G61" s="825">
        <f t="shared" si="0"/>
        <v>0</v>
      </c>
      <c r="H61" s="559"/>
    </row>
    <row r="62" spans="1:8" s="12" customFormat="1" ht="12.75" customHeight="1">
      <c r="A62" s="44"/>
      <c r="B62" s="86" t="s">
        <v>555</v>
      </c>
      <c r="C62" s="890">
        <f>SUM(C9+C21+C33+C15)</f>
        <v>13500</v>
      </c>
      <c r="D62" s="890">
        <f>SUM(D9+D21+D33+D15)</f>
        <v>227320</v>
      </c>
      <c r="E62" s="890">
        <f>SUM(E9+E21+E33+E15)</f>
        <v>223321</v>
      </c>
      <c r="F62" s="890">
        <f>SUM(F9+F21+F33+F15)</f>
        <v>137738</v>
      </c>
      <c r="G62" s="825">
        <f t="shared" si="0"/>
        <v>0.616771373941546</v>
      </c>
      <c r="H62" s="566"/>
    </row>
    <row r="63" spans="1:8" s="12" customFormat="1" ht="12.75" customHeight="1">
      <c r="A63" s="210"/>
      <c r="B63" s="211" t="s">
        <v>451</v>
      </c>
      <c r="C63" s="708">
        <f>SUM(C10+C22+C26+C34+C40+C53)</f>
        <v>914390</v>
      </c>
      <c r="D63" s="708">
        <f>SUM(D10+D22+D26+D34+D40+D53)</f>
        <v>1149465</v>
      </c>
      <c r="E63" s="708">
        <f>SUM(E10+E22+E26+E34+E40+E53)</f>
        <v>1145866</v>
      </c>
      <c r="F63" s="708">
        <f>SUM(F10+F22+F26+F34+F40+F53)</f>
        <v>774151</v>
      </c>
      <c r="G63" s="181">
        <f t="shared" si="0"/>
        <v>0.6756034300694845</v>
      </c>
      <c r="H63" s="566"/>
    </row>
    <row r="64" spans="1:8" ht="12.9" customHeight="1">
      <c r="A64" s="39"/>
      <c r="B64" s="40"/>
      <c r="C64" s="17"/>
      <c r="D64" s="17"/>
      <c r="E64" s="17"/>
      <c r="F64" s="17"/>
      <c r="G64" s="17"/>
      <c r="H64" s="40"/>
    </row>
    <row r="65" ht="12.9" customHeight="1">
      <c r="A65" s="54"/>
    </row>
  </sheetData>
  <mergeCells count="7">
    <mergeCell ref="A2:H2"/>
    <mergeCell ref="A1:H1"/>
    <mergeCell ref="C4:C6"/>
    <mergeCell ref="G4:G6"/>
    <mergeCell ref="D4:D6"/>
    <mergeCell ref="E4:E6"/>
    <mergeCell ref="F4:F6"/>
  </mergeCells>
  <printOptions horizontalCentered="1"/>
  <pageMargins left="0" right="0" top="0" bottom="0" header="0.5905511811023623" footer="0"/>
  <pageSetup firstPageNumber="40" useFirstPageNumber="1" horizontalDpi="300" verticalDpi="300" orientation="landscape" paperSize="9" scale="6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5"/>
  <sheetViews>
    <sheetView showZeros="0" workbookViewId="0" topLeftCell="A16">
      <selection activeCell="D40" sqref="D40"/>
    </sheetView>
  </sheetViews>
  <sheetFormatPr defaultColWidth="9.125" defaultRowHeight="12.75" customHeight="1"/>
  <cols>
    <col min="1" max="1" width="5.875" style="39" customWidth="1"/>
    <col min="2" max="2" width="66.125" style="40" customWidth="1"/>
    <col min="3" max="6" width="13.375" style="46" customWidth="1"/>
    <col min="7" max="7" width="9.50390625" style="46" customWidth="1"/>
    <col min="8" max="8" width="52.125" style="40" customWidth="1"/>
    <col min="9" max="16384" width="9.125" style="40" customWidth="1"/>
  </cols>
  <sheetData>
    <row r="1" spans="1:8" s="15" customFormat="1" ht="12.9" customHeight="1">
      <c r="A1" s="1131" t="s">
        <v>133</v>
      </c>
      <c r="B1" s="1127"/>
      <c r="C1" s="1127"/>
      <c r="D1" s="1127"/>
      <c r="E1" s="1127"/>
      <c r="F1" s="1127"/>
      <c r="G1" s="1127"/>
      <c r="H1" s="1127"/>
    </row>
    <row r="2" spans="1:8" s="15" customFormat="1" ht="12.9" customHeight="1">
      <c r="A2" s="1132" t="s">
        <v>612</v>
      </c>
      <c r="B2" s="1133"/>
      <c r="C2" s="1133"/>
      <c r="D2" s="1133"/>
      <c r="E2" s="1133"/>
      <c r="F2" s="1133"/>
      <c r="G2" s="1133"/>
      <c r="H2" s="1133"/>
    </row>
    <row r="3" spans="1:8" ht="10.5" customHeight="1">
      <c r="A3" s="334"/>
      <c r="B3" s="333"/>
      <c r="C3" s="476"/>
      <c r="D3" s="476"/>
      <c r="E3" s="476"/>
      <c r="F3" s="476"/>
      <c r="G3" s="476"/>
      <c r="H3" s="477" t="s">
        <v>164</v>
      </c>
    </row>
    <row r="4" spans="1:8" ht="12.9" customHeight="1">
      <c r="A4" s="467"/>
      <c r="B4" s="478"/>
      <c r="C4" s="1102" t="s">
        <v>617</v>
      </c>
      <c r="D4" s="1102" t="s">
        <v>651</v>
      </c>
      <c r="E4" s="1102" t="s">
        <v>657</v>
      </c>
      <c r="F4" s="1102" t="s">
        <v>660</v>
      </c>
      <c r="G4" s="1102" t="s">
        <v>663</v>
      </c>
      <c r="H4" s="479"/>
    </row>
    <row r="5" spans="1:8" ht="12" customHeight="1">
      <c r="A5" s="339" t="s">
        <v>258</v>
      </c>
      <c r="B5" s="480" t="s">
        <v>130</v>
      </c>
      <c r="C5" s="1117"/>
      <c r="D5" s="1117"/>
      <c r="E5" s="1117"/>
      <c r="F5" s="1105"/>
      <c r="G5" s="1134"/>
      <c r="H5" s="390" t="s">
        <v>575</v>
      </c>
    </row>
    <row r="6" spans="1:8" ht="12.75" customHeight="1" thickBot="1">
      <c r="A6" s="481"/>
      <c r="B6" s="482"/>
      <c r="C6" s="1118"/>
      <c r="D6" s="1118"/>
      <c r="E6" s="1118"/>
      <c r="F6" s="1106"/>
      <c r="G6" s="1135"/>
      <c r="H6" s="359" t="s">
        <v>131</v>
      </c>
    </row>
    <row r="7" spans="1:8" ht="12.9" customHeight="1">
      <c r="A7" s="483" t="s">
        <v>149</v>
      </c>
      <c r="B7" s="344" t="s">
        <v>150</v>
      </c>
      <c r="C7" s="484" t="s">
        <v>151</v>
      </c>
      <c r="D7" s="484" t="s">
        <v>561</v>
      </c>
      <c r="E7" s="484" t="s">
        <v>562</v>
      </c>
      <c r="F7" s="484" t="s">
        <v>582</v>
      </c>
      <c r="G7" s="484" t="s">
        <v>583</v>
      </c>
      <c r="H7" s="484" t="s">
        <v>461</v>
      </c>
    </row>
    <row r="8" spans="1:8" ht="16.5" customHeight="1">
      <c r="A8" s="437"/>
      <c r="B8" s="485" t="s">
        <v>247</v>
      </c>
      <c r="C8" s="395"/>
      <c r="D8" s="395"/>
      <c r="E8" s="395"/>
      <c r="F8" s="395"/>
      <c r="G8" s="395"/>
      <c r="H8" s="486"/>
    </row>
    <row r="9" spans="1:8" ht="12">
      <c r="A9" s="339"/>
      <c r="B9" s="487" t="s">
        <v>237</v>
      </c>
      <c r="C9" s="488"/>
      <c r="D9" s="488"/>
      <c r="E9" s="488"/>
      <c r="F9" s="488"/>
      <c r="G9" s="488"/>
      <c r="H9" s="354"/>
    </row>
    <row r="10" spans="1:8" ht="11.4">
      <c r="A10" s="502">
        <v>4012</v>
      </c>
      <c r="B10" s="618" t="s">
        <v>454</v>
      </c>
      <c r="C10" s="666"/>
      <c r="D10" s="666">
        <f>SUM(D11:D12)</f>
        <v>22248</v>
      </c>
      <c r="E10" s="666">
        <f>SUM(E11:E12)</f>
        <v>22248</v>
      </c>
      <c r="F10" s="666">
        <f>SUM(F11:F12)</f>
        <v>0</v>
      </c>
      <c r="G10" s="285">
        <f>F10/E10</f>
        <v>0</v>
      </c>
      <c r="H10" s="350" t="s">
        <v>516</v>
      </c>
    </row>
    <row r="11" spans="1:8" ht="11.4">
      <c r="A11" s="502"/>
      <c r="B11" s="944" t="s">
        <v>619</v>
      </c>
      <c r="C11" s="666"/>
      <c r="D11" s="943">
        <v>2248</v>
      </c>
      <c r="E11" s="943">
        <v>2248</v>
      </c>
      <c r="F11" s="943"/>
      <c r="G11" s="285">
        <f aca="true" t="shared" si="0" ref="G11:G74">F11/E11</f>
        <v>0</v>
      </c>
      <c r="H11" s="350"/>
    </row>
    <row r="12" spans="1:8" ht="11.4">
      <c r="A12" s="502"/>
      <c r="B12" s="944" t="s">
        <v>625</v>
      </c>
      <c r="C12" s="666"/>
      <c r="D12" s="943">
        <v>20000</v>
      </c>
      <c r="E12" s="943">
        <v>20000</v>
      </c>
      <c r="F12" s="943"/>
      <c r="G12" s="285">
        <f t="shared" si="0"/>
        <v>0</v>
      </c>
      <c r="H12" s="350"/>
    </row>
    <row r="13" spans="1:8" ht="12">
      <c r="A13" s="489">
        <v>4014</v>
      </c>
      <c r="B13" s="283" t="s">
        <v>453</v>
      </c>
      <c r="C13" s="666">
        <v>20000</v>
      </c>
      <c r="D13" s="666">
        <v>70000</v>
      </c>
      <c r="E13" s="666">
        <v>70000</v>
      </c>
      <c r="F13" s="666"/>
      <c r="G13" s="285">
        <f t="shared" si="0"/>
        <v>0</v>
      </c>
      <c r="H13" s="814" t="s">
        <v>529</v>
      </c>
    </row>
    <row r="14" spans="1:8" ht="12">
      <c r="A14" s="489">
        <v>4017</v>
      </c>
      <c r="B14" s="283" t="s">
        <v>598</v>
      </c>
      <c r="C14" s="666">
        <v>2000</v>
      </c>
      <c r="D14" s="666">
        <v>2000</v>
      </c>
      <c r="E14" s="666">
        <v>2000</v>
      </c>
      <c r="F14" s="666"/>
      <c r="G14" s="285">
        <f t="shared" si="0"/>
        <v>0</v>
      </c>
      <c r="H14" s="814"/>
    </row>
    <row r="15" spans="1:8" ht="12">
      <c r="A15" s="489">
        <v>4018</v>
      </c>
      <c r="B15" s="283" t="s">
        <v>584</v>
      </c>
      <c r="C15" s="666">
        <v>60000</v>
      </c>
      <c r="D15" s="666">
        <v>60000</v>
      </c>
      <c r="E15" s="666">
        <v>60000</v>
      </c>
      <c r="F15" s="666">
        <v>13284</v>
      </c>
      <c r="G15" s="285">
        <f t="shared" si="0"/>
        <v>0.2214</v>
      </c>
      <c r="H15" s="814"/>
    </row>
    <row r="16" spans="1:8" ht="12">
      <c r="A16" s="489">
        <v>4020</v>
      </c>
      <c r="B16" s="283" t="s">
        <v>629</v>
      </c>
      <c r="C16" s="667"/>
      <c r="D16" s="667">
        <v>10000</v>
      </c>
      <c r="E16" s="667">
        <f>10000+10000</f>
        <v>20000</v>
      </c>
      <c r="F16" s="667"/>
      <c r="G16" s="285">
        <f t="shared" si="0"/>
        <v>0</v>
      </c>
      <c r="H16" s="814"/>
    </row>
    <row r="17" spans="1:8" s="36" customFormat="1" ht="12">
      <c r="A17" s="437">
        <v>4010</v>
      </c>
      <c r="B17" s="491" t="s">
        <v>238</v>
      </c>
      <c r="C17" s="703">
        <f>SUM(C10:C15)</f>
        <v>82000</v>
      </c>
      <c r="D17" s="703">
        <f>D10+D13+D14+D15+D16</f>
        <v>164248</v>
      </c>
      <c r="E17" s="703">
        <f>E10+E13+E14+E15+E16</f>
        <v>174248</v>
      </c>
      <c r="F17" s="703">
        <f>F10+F13+F14+F15+F16</f>
        <v>13284</v>
      </c>
      <c r="G17" s="729">
        <f t="shared" si="0"/>
        <v>0.07623616913823975</v>
      </c>
      <c r="H17" s="492"/>
    </row>
    <row r="18" spans="1:8" s="36" customFormat="1" ht="12">
      <c r="A18" s="72"/>
      <c r="B18" s="493" t="s">
        <v>239</v>
      </c>
      <c r="C18" s="664"/>
      <c r="D18" s="664"/>
      <c r="E18" s="664"/>
      <c r="F18" s="664"/>
      <c r="G18" s="285"/>
      <c r="H18" s="350"/>
    </row>
    <row r="19" spans="1:8" s="36" customFormat="1" ht="12">
      <c r="A19" s="437">
        <v>4030</v>
      </c>
      <c r="B19" s="491" t="s">
        <v>240</v>
      </c>
      <c r="C19" s="704"/>
      <c r="D19" s="704"/>
      <c r="E19" s="704"/>
      <c r="F19" s="704"/>
      <c r="G19" s="730"/>
      <c r="H19" s="494"/>
    </row>
    <row r="20" spans="1:8" s="36" customFormat="1" ht="13.2">
      <c r="A20" s="72"/>
      <c r="B20" s="495" t="s">
        <v>244</v>
      </c>
      <c r="C20" s="705"/>
      <c r="D20" s="705"/>
      <c r="E20" s="705"/>
      <c r="F20" s="705"/>
      <c r="G20" s="285"/>
      <c r="H20" s="496"/>
    </row>
    <row r="21" spans="1:9" s="36" customFormat="1" ht="12">
      <c r="A21" s="489">
        <v>4112</v>
      </c>
      <c r="B21" s="497" t="s">
        <v>218</v>
      </c>
      <c r="C21" s="664"/>
      <c r="D21" s="664">
        <v>4886</v>
      </c>
      <c r="E21" s="664">
        <v>4886</v>
      </c>
      <c r="F21" s="664">
        <v>4886</v>
      </c>
      <c r="G21" s="285">
        <f t="shared" si="0"/>
        <v>1</v>
      </c>
      <c r="H21" s="350" t="s">
        <v>516</v>
      </c>
      <c r="I21" s="1066"/>
    </row>
    <row r="22" spans="1:8" s="36" customFormat="1" ht="12">
      <c r="A22" s="489">
        <v>4113</v>
      </c>
      <c r="B22" s="497" t="s">
        <v>574</v>
      </c>
      <c r="C22" s="664">
        <v>31000</v>
      </c>
      <c r="D22" s="664">
        <v>31000</v>
      </c>
      <c r="E22" s="664">
        <v>31000</v>
      </c>
      <c r="F22" s="664">
        <v>27852</v>
      </c>
      <c r="G22" s="285">
        <f t="shared" si="0"/>
        <v>0.8984516129032258</v>
      </c>
      <c r="H22" s="350"/>
    </row>
    <row r="23" spans="1:8" s="36" customFormat="1" ht="12">
      <c r="A23" s="489">
        <v>4120</v>
      </c>
      <c r="B23" s="283" t="s">
        <v>220</v>
      </c>
      <c r="C23" s="666">
        <v>698500</v>
      </c>
      <c r="D23" s="666">
        <f>D26+D27</f>
        <v>1251159</v>
      </c>
      <c r="E23" s="666">
        <f>E24+E25+E26+E27</f>
        <v>1190311</v>
      </c>
      <c r="F23" s="666">
        <f>F24+F25+F26+F27</f>
        <v>19097</v>
      </c>
      <c r="G23" s="285">
        <f t="shared" si="0"/>
        <v>0.016043706224675738</v>
      </c>
      <c r="H23" s="490"/>
    </row>
    <row r="24" spans="1:8" s="36" customFormat="1" ht="12">
      <c r="A24" s="489"/>
      <c r="B24" s="942" t="s">
        <v>277</v>
      </c>
      <c r="C24" s="666"/>
      <c r="D24" s="666"/>
      <c r="E24" s="943">
        <v>70</v>
      </c>
      <c r="F24" s="943">
        <v>70</v>
      </c>
      <c r="G24" s="285">
        <f t="shared" si="0"/>
        <v>1</v>
      </c>
      <c r="H24" s="490"/>
    </row>
    <row r="25" spans="1:8" s="36" customFormat="1" ht="12">
      <c r="A25" s="489"/>
      <c r="B25" s="942" t="s">
        <v>363</v>
      </c>
      <c r="C25" s="666"/>
      <c r="D25" s="666"/>
      <c r="E25" s="943">
        <v>11</v>
      </c>
      <c r="F25" s="943">
        <v>10</v>
      </c>
      <c r="G25" s="285">
        <f t="shared" si="0"/>
        <v>0.9090909090909091</v>
      </c>
      <c r="H25" s="490"/>
    </row>
    <row r="26" spans="1:8" s="36" customFormat="1" ht="12">
      <c r="A26" s="489"/>
      <c r="B26" s="942" t="s">
        <v>278</v>
      </c>
      <c r="C26" s="666"/>
      <c r="D26" s="943">
        <v>5479</v>
      </c>
      <c r="E26" s="943">
        <f>5479+14400</f>
        <v>19879</v>
      </c>
      <c r="F26" s="943">
        <v>9873</v>
      </c>
      <c r="G26" s="285">
        <f t="shared" si="0"/>
        <v>0.4966547613059007</v>
      </c>
      <c r="H26" s="490"/>
    </row>
    <row r="27" spans="1:8" s="36" customFormat="1" ht="12">
      <c r="A27" s="489"/>
      <c r="B27" s="942" t="s">
        <v>227</v>
      </c>
      <c r="C27" s="666"/>
      <c r="D27" s="943">
        <v>1245680</v>
      </c>
      <c r="E27" s="943">
        <f>1245680-14481-55000-5848</f>
        <v>1170351</v>
      </c>
      <c r="F27" s="943">
        <v>9144</v>
      </c>
      <c r="G27" s="285">
        <f t="shared" si="0"/>
        <v>0.007813040703173664</v>
      </c>
      <c r="H27" s="490"/>
    </row>
    <row r="28" spans="1:8" s="33" customFormat="1" ht="12">
      <c r="A28" s="350">
        <v>4121</v>
      </c>
      <c r="B28" s="498" t="s">
        <v>118</v>
      </c>
      <c r="C28" s="663">
        <v>10000</v>
      </c>
      <c r="D28" s="663">
        <f>D29+D30</f>
        <v>110500</v>
      </c>
      <c r="E28" s="663">
        <f>E29+E30</f>
        <v>110500</v>
      </c>
      <c r="F28" s="663">
        <f>F29+F30</f>
        <v>1071</v>
      </c>
      <c r="G28" s="285">
        <f t="shared" si="0"/>
        <v>0.009692307692307693</v>
      </c>
      <c r="H28" s="814" t="s">
        <v>536</v>
      </c>
    </row>
    <row r="29" spans="1:8" s="33" customFormat="1" ht="12">
      <c r="A29" s="350"/>
      <c r="B29" s="945" t="s">
        <v>226</v>
      </c>
      <c r="C29" s="663"/>
      <c r="D29" s="943">
        <v>500</v>
      </c>
      <c r="E29" s="943">
        <f>500+572</f>
        <v>1072</v>
      </c>
      <c r="F29" s="943">
        <v>1071</v>
      </c>
      <c r="G29" s="285">
        <f t="shared" si="0"/>
        <v>0.9990671641791045</v>
      </c>
      <c r="H29" s="814"/>
    </row>
    <row r="30" spans="1:8" s="33" customFormat="1" ht="12">
      <c r="A30" s="350"/>
      <c r="B30" s="945" t="s">
        <v>227</v>
      </c>
      <c r="C30" s="663"/>
      <c r="D30" s="943">
        <v>110000</v>
      </c>
      <c r="E30" s="943">
        <f>110000-572</f>
        <v>109428</v>
      </c>
      <c r="F30" s="943"/>
      <c r="G30" s="285">
        <f t="shared" si="0"/>
        <v>0</v>
      </c>
      <c r="H30" s="814"/>
    </row>
    <row r="31" spans="1:8" s="33" customFormat="1" ht="11.4">
      <c r="A31" s="350">
        <v>4122</v>
      </c>
      <c r="B31" s="499" t="s">
        <v>170</v>
      </c>
      <c r="C31" s="664"/>
      <c r="D31" s="664">
        <v>10000</v>
      </c>
      <c r="E31" s="664"/>
      <c r="F31" s="664"/>
      <c r="G31" s="285"/>
      <c r="H31" s="490"/>
    </row>
    <row r="32" spans="1:8" s="33" customFormat="1" ht="12">
      <c r="A32" s="350">
        <v>4124</v>
      </c>
      <c r="B32" s="499" t="s">
        <v>480</v>
      </c>
      <c r="C32" s="664"/>
      <c r="D32" s="664">
        <f>D33+D34</f>
        <v>46216</v>
      </c>
      <c r="E32" s="664">
        <f>E33+E34</f>
        <v>46216</v>
      </c>
      <c r="F32" s="664">
        <f>F33+F34</f>
        <v>40982</v>
      </c>
      <c r="G32" s="285">
        <f t="shared" si="0"/>
        <v>0.8867491777739311</v>
      </c>
      <c r="H32" s="814" t="s">
        <v>517</v>
      </c>
    </row>
    <row r="33" spans="1:8" s="33" customFormat="1" ht="12">
      <c r="A33" s="350"/>
      <c r="B33" s="945" t="s">
        <v>278</v>
      </c>
      <c r="C33" s="664"/>
      <c r="D33" s="823">
        <v>354</v>
      </c>
      <c r="E33" s="823">
        <v>354</v>
      </c>
      <c r="F33" s="823">
        <v>354</v>
      </c>
      <c r="G33" s="285">
        <f t="shared" si="0"/>
        <v>1</v>
      </c>
      <c r="H33" s="814"/>
    </row>
    <row r="34" spans="1:8" s="33" customFormat="1" ht="12">
      <c r="A34" s="350"/>
      <c r="B34" s="945" t="s">
        <v>227</v>
      </c>
      <c r="C34" s="664"/>
      <c r="D34" s="823">
        <v>45862</v>
      </c>
      <c r="E34" s="823">
        <v>45862</v>
      </c>
      <c r="F34" s="823">
        <v>40628</v>
      </c>
      <c r="G34" s="285">
        <f t="shared" si="0"/>
        <v>0.885875016353408</v>
      </c>
      <c r="H34" s="814"/>
    </row>
    <row r="35" spans="1:8" s="33" customFormat="1" ht="12">
      <c r="A35" s="415">
        <v>4125</v>
      </c>
      <c r="B35" s="497" t="s">
        <v>506</v>
      </c>
      <c r="C35" s="665"/>
      <c r="D35" s="665">
        <f>SUM(D36:D37)</f>
        <v>52977</v>
      </c>
      <c r="E35" s="665">
        <f>SUM(E36:E37)</f>
        <v>52977</v>
      </c>
      <c r="F35" s="665">
        <f>SUM(F36:F37)</f>
        <v>0</v>
      </c>
      <c r="G35" s="285">
        <f t="shared" si="0"/>
        <v>0</v>
      </c>
      <c r="H35" s="814" t="s">
        <v>517</v>
      </c>
    </row>
    <row r="36" spans="1:8" s="33" customFormat="1" ht="12">
      <c r="A36" s="415"/>
      <c r="B36" s="945" t="s">
        <v>278</v>
      </c>
      <c r="C36" s="665"/>
      <c r="D36" s="946">
        <v>2177</v>
      </c>
      <c r="E36" s="946">
        <v>2177</v>
      </c>
      <c r="F36" s="946"/>
      <c r="G36" s="285">
        <f t="shared" si="0"/>
        <v>0</v>
      </c>
      <c r="H36" s="814"/>
    </row>
    <row r="37" spans="1:8" s="33" customFormat="1" ht="12">
      <c r="A37" s="415"/>
      <c r="B37" s="945" t="s">
        <v>227</v>
      </c>
      <c r="C37" s="665"/>
      <c r="D37" s="946">
        <v>50800</v>
      </c>
      <c r="E37" s="946">
        <v>50800</v>
      </c>
      <c r="F37" s="946"/>
      <c r="G37" s="285">
        <f t="shared" si="0"/>
        <v>0</v>
      </c>
      <c r="H37" s="814"/>
    </row>
    <row r="38" spans="1:8" s="33" customFormat="1" ht="12">
      <c r="A38" s="415">
        <v>4126</v>
      </c>
      <c r="B38" s="497" t="s">
        <v>615</v>
      </c>
      <c r="C38" s="665">
        <v>125000</v>
      </c>
      <c r="D38" s="665">
        <v>125000</v>
      </c>
      <c r="E38" s="665">
        <f>E39+E40</f>
        <v>125000</v>
      </c>
      <c r="F38" s="665">
        <f>F39+F40</f>
        <v>41781</v>
      </c>
      <c r="G38" s="285">
        <f t="shared" si="0"/>
        <v>0.334248</v>
      </c>
      <c r="H38" s="814"/>
    </row>
    <row r="39" spans="1:8" s="33" customFormat="1" ht="12">
      <c r="A39" s="415"/>
      <c r="B39" s="942" t="s">
        <v>278</v>
      </c>
      <c r="C39" s="665"/>
      <c r="D39" s="665"/>
      <c r="E39" s="946">
        <v>1245</v>
      </c>
      <c r="F39" s="946">
        <v>1795</v>
      </c>
      <c r="G39" s="285">
        <f t="shared" si="0"/>
        <v>1.4417670682730923</v>
      </c>
      <c r="H39" s="814"/>
    </row>
    <row r="40" spans="1:8" s="33" customFormat="1" ht="12">
      <c r="A40" s="415"/>
      <c r="B40" s="942" t="s">
        <v>227</v>
      </c>
      <c r="C40" s="665"/>
      <c r="D40" s="665"/>
      <c r="E40" s="946">
        <f>125000-1245</f>
        <v>123755</v>
      </c>
      <c r="F40" s="946">
        <v>39986</v>
      </c>
      <c r="G40" s="285">
        <f t="shared" si="0"/>
        <v>0.3231061371257727</v>
      </c>
      <c r="H40" s="814"/>
    </row>
    <row r="41" spans="1:8" s="33" customFormat="1" ht="12">
      <c r="A41" s="415">
        <v>4127</v>
      </c>
      <c r="B41" s="497" t="s">
        <v>623</v>
      </c>
      <c r="C41" s="665"/>
      <c r="D41" s="665">
        <v>40000</v>
      </c>
      <c r="E41" s="665">
        <v>40000</v>
      </c>
      <c r="F41" s="665"/>
      <c r="G41" s="285">
        <f t="shared" si="0"/>
        <v>0</v>
      </c>
      <c r="H41" s="814"/>
    </row>
    <row r="42" spans="1:8" s="33" customFormat="1" ht="12">
      <c r="A42" s="400">
        <v>4128</v>
      </c>
      <c r="B42" s="283" t="s">
        <v>624</v>
      </c>
      <c r="C42" s="665"/>
      <c r="D42" s="665">
        <v>15000</v>
      </c>
      <c r="E42" s="665">
        <v>15000</v>
      </c>
      <c r="F42" s="665"/>
      <c r="G42" s="285">
        <f t="shared" si="0"/>
        <v>0</v>
      </c>
      <c r="H42" s="814"/>
    </row>
    <row r="43" spans="1:8" s="33" customFormat="1" ht="12">
      <c r="A43" s="400">
        <v>4029</v>
      </c>
      <c r="B43" s="283" t="s">
        <v>630</v>
      </c>
      <c r="C43" s="665"/>
      <c r="D43" s="665">
        <v>5000</v>
      </c>
      <c r="E43" s="665">
        <v>5000</v>
      </c>
      <c r="F43" s="665"/>
      <c r="G43" s="285">
        <f t="shared" si="0"/>
        <v>0</v>
      </c>
      <c r="H43" s="814"/>
    </row>
    <row r="44" spans="1:8" s="33" customFormat="1" ht="12">
      <c r="A44" s="510"/>
      <c r="B44" s="966" t="s">
        <v>134</v>
      </c>
      <c r="C44" s="706">
        <f>SUM(C21:C38)</f>
        <v>864500</v>
      </c>
      <c r="D44" s="706">
        <f>D21+D22+D23+D28+D31+D32+D35+D38+D41+D42+D43</f>
        <v>1691738</v>
      </c>
      <c r="E44" s="706">
        <f>E21+E22+E23+E28+E31+E32+E35+E38+E41+E42+E43</f>
        <v>1620890</v>
      </c>
      <c r="F44" s="706">
        <f>F21+F22+F23+F28+F31+F32+F35+F38+F41+F42+F43</f>
        <v>135669</v>
      </c>
      <c r="G44" s="731">
        <f t="shared" si="0"/>
        <v>0.08370031279112093</v>
      </c>
      <c r="H44" s="351"/>
    </row>
    <row r="45" spans="1:8" s="33" customFormat="1" ht="11.4">
      <c r="A45" s="282">
        <v>4131</v>
      </c>
      <c r="B45" s="863" t="s">
        <v>265</v>
      </c>
      <c r="C45" s="664">
        <v>30000</v>
      </c>
      <c r="D45" s="664">
        <f>D46+D47</f>
        <v>73424</v>
      </c>
      <c r="E45" s="664">
        <f>E46+E47</f>
        <v>73424</v>
      </c>
      <c r="F45" s="664">
        <f>F46+F47</f>
        <v>48020</v>
      </c>
      <c r="G45" s="285">
        <f t="shared" si="0"/>
        <v>0.6540095881455655</v>
      </c>
      <c r="H45" s="350" t="s">
        <v>516</v>
      </c>
    </row>
    <row r="46" spans="1:8" s="33" customFormat="1" ht="11.4">
      <c r="A46" s="282"/>
      <c r="B46" s="822" t="s">
        <v>278</v>
      </c>
      <c r="C46" s="664"/>
      <c r="D46" s="823">
        <v>972</v>
      </c>
      <c r="E46" s="823">
        <f>972+3000</f>
        <v>3972</v>
      </c>
      <c r="F46" s="823">
        <v>3631</v>
      </c>
      <c r="G46" s="285">
        <f t="shared" si="0"/>
        <v>0.9141490433031219</v>
      </c>
      <c r="H46" s="350"/>
    </row>
    <row r="47" spans="1:8" s="33" customFormat="1" ht="11.4">
      <c r="A47" s="282"/>
      <c r="B47" s="822" t="s">
        <v>227</v>
      </c>
      <c r="C47" s="664"/>
      <c r="D47" s="823">
        <v>72452</v>
      </c>
      <c r="E47" s="823">
        <f>72452-3000</f>
        <v>69452</v>
      </c>
      <c r="F47" s="823">
        <v>44389</v>
      </c>
      <c r="G47" s="285">
        <f t="shared" si="0"/>
        <v>0.6391320624316075</v>
      </c>
      <c r="H47" s="350"/>
    </row>
    <row r="48" spans="1:8" s="33" customFormat="1" ht="11.25" customHeight="1">
      <c r="A48" s="282">
        <v>4132</v>
      </c>
      <c r="B48" s="286" t="s">
        <v>115</v>
      </c>
      <c r="C48" s="664">
        <v>6000</v>
      </c>
      <c r="D48" s="664">
        <v>23486</v>
      </c>
      <c r="E48" s="664">
        <v>23486</v>
      </c>
      <c r="F48" s="664">
        <v>9660</v>
      </c>
      <c r="G48" s="285">
        <f t="shared" si="0"/>
        <v>0.4113088648556587</v>
      </c>
      <c r="H48" s="350" t="s">
        <v>516</v>
      </c>
    </row>
    <row r="49" spans="1:8" s="33" customFormat="1" ht="12.9" customHeight="1">
      <c r="A49" s="282">
        <v>4133</v>
      </c>
      <c r="B49" s="286" t="s">
        <v>266</v>
      </c>
      <c r="C49" s="664">
        <v>30000</v>
      </c>
      <c r="D49" s="664">
        <v>91741</v>
      </c>
      <c r="E49" s="664">
        <v>91741</v>
      </c>
      <c r="F49" s="664"/>
      <c r="G49" s="285">
        <f t="shared" si="0"/>
        <v>0</v>
      </c>
      <c r="H49" s="350" t="s">
        <v>516</v>
      </c>
    </row>
    <row r="50" spans="1:8" s="33" customFormat="1" ht="11.4">
      <c r="A50" s="282">
        <v>4136</v>
      </c>
      <c r="B50" s="286" t="s">
        <v>366</v>
      </c>
      <c r="C50" s="664"/>
      <c r="D50" s="664">
        <f>D51</f>
        <v>375</v>
      </c>
      <c r="E50" s="664">
        <f>E51</f>
        <v>375</v>
      </c>
      <c r="F50" s="664">
        <f>F51</f>
        <v>375</v>
      </c>
      <c r="G50" s="285">
        <f t="shared" si="0"/>
        <v>1</v>
      </c>
      <c r="H50" s="816" t="s">
        <v>525</v>
      </c>
    </row>
    <row r="51" spans="1:8" s="33" customFormat="1" ht="11.4">
      <c r="A51" s="282"/>
      <c r="B51" s="822" t="s">
        <v>226</v>
      </c>
      <c r="C51" s="664"/>
      <c r="D51" s="823">
        <v>375</v>
      </c>
      <c r="E51" s="823">
        <v>375</v>
      </c>
      <c r="F51" s="823">
        <v>375</v>
      </c>
      <c r="G51" s="285">
        <f t="shared" si="0"/>
        <v>1</v>
      </c>
      <c r="H51" s="816"/>
    </row>
    <row r="52" spans="1:8" s="33" customFormat="1" ht="11.4">
      <c r="A52" s="282">
        <v>4141</v>
      </c>
      <c r="B52" s="737" t="s">
        <v>354</v>
      </c>
      <c r="C52" s="682">
        <v>10000</v>
      </c>
      <c r="D52" s="682">
        <v>10000</v>
      </c>
      <c r="E52" s="682">
        <v>10000</v>
      </c>
      <c r="F52" s="682"/>
      <c r="G52" s="285">
        <f t="shared" si="0"/>
        <v>0</v>
      </c>
      <c r="H52" s="500" t="s">
        <v>516</v>
      </c>
    </row>
    <row r="53" spans="1:8" s="33" customFormat="1" ht="12">
      <c r="A53" s="437">
        <v>4100</v>
      </c>
      <c r="B53" s="639" t="s">
        <v>158</v>
      </c>
      <c r="C53" s="690">
        <f>SUM(C44+C45+C48+C49+C50+C52)</f>
        <v>940500</v>
      </c>
      <c r="D53" s="690">
        <f>SUM(D44+D45+D48+D49+D50+D52)</f>
        <v>1890764</v>
      </c>
      <c r="E53" s="690">
        <f>SUM(E44+E45+E48+E49+E50+E52)</f>
        <v>1819916</v>
      </c>
      <c r="F53" s="690">
        <f>SUM(F44+F45+F48+F49+F50+F52)</f>
        <v>193724</v>
      </c>
      <c r="G53" s="729">
        <f t="shared" si="0"/>
        <v>0.10644667116504278</v>
      </c>
      <c r="H53" s="757"/>
    </row>
    <row r="54" spans="1:8" s="33" customFormat="1" ht="12">
      <c r="A54" s="467"/>
      <c r="B54" s="501" t="s">
        <v>117</v>
      </c>
      <c r="C54" s="664"/>
      <c r="D54" s="664"/>
      <c r="E54" s="664"/>
      <c r="F54" s="664"/>
      <c r="G54" s="285"/>
      <c r="H54" s="354"/>
    </row>
    <row r="55" spans="1:8" s="33" customFormat="1" ht="11.4">
      <c r="A55" s="489">
        <v>4211</v>
      </c>
      <c r="B55" s="283" t="s">
        <v>654</v>
      </c>
      <c r="C55" s="664"/>
      <c r="D55" s="664">
        <v>25000</v>
      </c>
      <c r="E55" s="664">
        <v>9000</v>
      </c>
      <c r="F55" s="664"/>
      <c r="G55" s="285">
        <f t="shared" si="0"/>
        <v>0</v>
      </c>
      <c r="H55" s="354"/>
    </row>
    <row r="56" spans="1:8" s="33" customFormat="1" ht="11.4">
      <c r="A56" s="489">
        <v>4213</v>
      </c>
      <c r="B56" s="283" t="s">
        <v>119</v>
      </c>
      <c r="C56" s="664"/>
      <c r="D56" s="664"/>
      <c r="E56" s="664"/>
      <c r="F56" s="664"/>
      <c r="G56" s="285"/>
      <c r="H56" s="354"/>
    </row>
    <row r="57" spans="1:8" s="33" customFormat="1" ht="11.4">
      <c r="A57" s="489">
        <v>4215</v>
      </c>
      <c r="B57" s="283" t="s">
        <v>631</v>
      </c>
      <c r="C57" s="664"/>
      <c r="D57" s="664">
        <v>9000</v>
      </c>
      <c r="E57" s="664">
        <v>9000</v>
      </c>
      <c r="F57" s="664"/>
      <c r="G57" s="285">
        <f t="shared" si="0"/>
        <v>0</v>
      </c>
      <c r="H57" s="354"/>
    </row>
    <row r="58" spans="1:8" s="33" customFormat="1" ht="11.4">
      <c r="A58" s="489">
        <v>4217</v>
      </c>
      <c r="B58" s="283" t="s">
        <v>632</v>
      </c>
      <c r="C58" s="664"/>
      <c r="D58" s="664">
        <v>10000</v>
      </c>
      <c r="E58" s="664">
        <v>10000</v>
      </c>
      <c r="F58" s="664"/>
      <c r="G58" s="285">
        <f t="shared" si="0"/>
        <v>0</v>
      </c>
      <c r="H58" s="354"/>
    </row>
    <row r="59" spans="1:8" s="33" customFormat="1" ht="11.4">
      <c r="A59" s="489">
        <v>4219</v>
      </c>
      <c r="B59" s="283" t="s">
        <v>120</v>
      </c>
      <c r="C59" s="664"/>
      <c r="D59" s="664"/>
      <c r="E59" s="664"/>
      <c r="F59" s="664"/>
      <c r="G59" s="285"/>
      <c r="H59" s="354"/>
    </row>
    <row r="60" spans="1:8" s="33" customFormat="1" ht="11.4">
      <c r="A60" s="489">
        <v>4221</v>
      </c>
      <c r="B60" s="283" t="s">
        <v>633</v>
      </c>
      <c r="C60" s="664"/>
      <c r="D60" s="664">
        <v>2000</v>
      </c>
      <c r="E60" s="664"/>
      <c r="F60" s="664"/>
      <c r="G60" s="285"/>
      <c r="H60" s="354"/>
    </row>
    <row r="61" spans="1:8" s="33" customFormat="1" ht="11.4">
      <c r="A61" s="489">
        <v>4223</v>
      </c>
      <c r="B61" s="283" t="s">
        <v>634</v>
      </c>
      <c r="C61" s="664"/>
      <c r="D61" s="664">
        <v>9000</v>
      </c>
      <c r="E61" s="664">
        <v>9000</v>
      </c>
      <c r="F61" s="664"/>
      <c r="G61" s="285">
        <f t="shared" si="0"/>
        <v>0</v>
      </c>
      <c r="H61" s="354"/>
    </row>
    <row r="62" spans="1:8" s="33" customFormat="1" ht="11.4">
      <c r="A62" s="489">
        <v>4225</v>
      </c>
      <c r="B62" s="283" t="s">
        <v>546</v>
      </c>
      <c r="C62" s="664"/>
      <c r="D62" s="664">
        <v>325</v>
      </c>
      <c r="E62" s="664">
        <v>325</v>
      </c>
      <c r="F62" s="664"/>
      <c r="G62" s="285">
        <f t="shared" si="0"/>
        <v>0</v>
      </c>
      <c r="H62" s="354"/>
    </row>
    <row r="63" spans="1:8" s="33" customFormat="1" ht="11.4">
      <c r="A63" s="489">
        <v>4227</v>
      </c>
      <c r="B63" s="283" t="s">
        <v>635</v>
      </c>
      <c r="C63" s="664"/>
      <c r="D63" s="664">
        <v>13000</v>
      </c>
      <c r="E63" s="664">
        <v>9000</v>
      </c>
      <c r="F63" s="664"/>
      <c r="G63" s="285">
        <f t="shared" si="0"/>
        <v>0</v>
      </c>
      <c r="H63" s="354"/>
    </row>
    <row r="64" spans="1:8" s="33" customFormat="1" ht="11.4">
      <c r="A64" s="502">
        <v>4230</v>
      </c>
      <c r="B64" s="503" t="s">
        <v>465</v>
      </c>
      <c r="C64" s="664"/>
      <c r="D64" s="664"/>
      <c r="E64" s="664"/>
      <c r="F64" s="664"/>
      <c r="G64" s="285"/>
      <c r="H64" s="685"/>
    </row>
    <row r="65" spans="1:8" s="33" customFormat="1" ht="11.4">
      <c r="A65" s="502">
        <v>4265</v>
      </c>
      <c r="B65" s="503" t="s">
        <v>448</v>
      </c>
      <c r="C65" s="664"/>
      <c r="D65" s="664">
        <f>SUM(D66:D67)</f>
        <v>14211</v>
      </c>
      <c r="E65" s="664">
        <f>SUM(E66:E67)</f>
        <v>24211</v>
      </c>
      <c r="F65" s="664">
        <f>SUM(F66:F67)</f>
        <v>0</v>
      </c>
      <c r="G65" s="285">
        <f t="shared" si="0"/>
        <v>0</v>
      </c>
      <c r="H65" s="826" t="s">
        <v>500</v>
      </c>
    </row>
    <row r="66" spans="1:8" s="33" customFormat="1" ht="11.4">
      <c r="A66" s="502"/>
      <c r="B66" s="947" t="s">
        <v>625</v>
      </c>
      <c r="C66" s="664"/>
      <c r="D66" s="823">
        <v>14000</v>
      </c>
      <c r="E66" s="823">
        <f>14000+10000</f>
        <v>24000</v>
      </c>
      <c r="F66" s="823"/>
      <c r="G66" s="285">
        <f t="shared" si="0"/>
        <v>0</v>
      </c>
      <c r="H66" s="826"/>
    </row>
    <row r="67" spans="1:8" s="33" customFormat="1" ht="11.4">
      <c r="A67" s="502"/>
      <c r="B67" s="947" t="s">
        <v>226</v>
      </c>
      <c r="C67" s="664"/>
      <c r="D67" s="823">
        <v>211</v>
      </c>
      <c r="E67" s="823">
        <v>211</v>
      </c>
      <c r="F67" s="823"/>
      <c r="G67" s="285">
        <f t="shared" si="0"/>
        <v>0</v>
      </c>
      <c r="H67" s="826"/>
    </row>
    <row r="68" spans="1:8" s="33" customFormat="1" ht="12">
      <c r="A68" s="683">
        <v>4200</v>
      </c>
      <c r="B68" s="684" t="s">
        <v>452</v>
      </c>
      <c r="C68" s="707">
        <f>SUM(C55+C62+C64+C65)</f>
        <v>0</v>
      </c>
      <c r="D68" s="707">
        <f>SUM(D55+D57+D58+D60+D61+D62+D63+D65)</f>
        <v>82536</v>
      </c>
      <c r="E68" s="707">
        <f>SUM(E55+E57+E58+E60+E61+E62+E63+E65)</f>
        <v>70536</v>
      </c>
      <c r="F68" s="707">
        <f>SUM(F55+F57+F58+F60+F61+F62+F63+F65)</f>
        <v>0</v>
      </c>
      <c r="G68" s="730">
        <f t="shared" si="0"/>
        <v>0</v>
      </c>
      <c r="H68" s="494"/>
    </row>
    <row r="69" spans="1:8" s="36" customFormat="1" ht="12">
      <c r="A69" s="72"/>
      <c r="B69" s="493" t="s">
        <v>245</v>
      </c>
      <c r="C69" s="664"/>
      <c r="D69" s="664"/>
      <c r="E69" s="664"/>
      <c r="F69" s="664"/>
      <c r="G69" s="285"/>
      <c r="H69" s="496"/>
    </row>
    <row r="70" spans="1:8" s="33" customFormat="1" ht="12.75" customHeight="1">
      <c r="A70" s="350">
        <v>4310</v>
      </c>
      <c r="B70" s="286" t="s">
        <v>345</v>
      </c>
      <c r="C70" s="664"/>
      <c r="D70" s="664"/>
      <c r="E70" s="664"/>
      <c r="F70" s="664"/>
      <c r="G70" s="285"/>
      <c r="H70" s="808" t="s">
        <v>497</v>
      </c>
    </row>
    <row r="71" spans="1:8" s="33" customFormat="1" ht="11.4">
      <c r="A71" s="350">
        <v>4323</v>
      </c>
      <c r="B71" s="286" t="s">
        <v>478</v>
      </c>
      <c r="C71" s="664">
        <v>95000</v>
      </c>
      <c r="D71" s="664">
        <v>95000</v>
      </c>
      <c r="E71" s="664">
        <v>95000</v>
      </c>
      <c r="F71" s="664"/>
      <c r="G71" s="285">
        <f t="shared" si="0"/>
        <v>0</v>
      </c>
      <c r="H71" s="808" t="s">
        <v>519</v>
      </c>
    </row>
    <row r="72" spans="1:8" s="33" customFormat="1" ht="11.4">
      <c r="A72" s="350">
        <v>4324</v>
      </c>
      <c r="B72" s="286" t="s">
        <v>554</v>
      </c>
      <c r="C72" s="664">
        <v>794374</v>
      </c>
      <c r="D72" s="664">
        <v>794374</v>
      </c>
      <c r="E72" s="664">
        <f>E73+E74+E75</f>
        <v>794374</v>
      </c>
      <c r="F72" s="664">
        <f>F73+F74+F75</f>
        <v>59614</v>
      </c>
      <c r="G72" s="285">
        <f t="shared" si="0"/>
        <v>0.07504525576114023</v>
      </c>
      <c r="H72" s="808"/>
    </row>
    <row r="73" spans="1:8" s="33" customFormat="1" ht="11.4">
      <c r="A73" s="350"/>
      <c r="B73" s="822" t="s">
        <v>278</v>
      </c>
      <c r="C73" s="823">
        <v>60000</v>
      </c>
      <c r="D73" s="823">
        <v>60000</v>
      </c>
      <c r="E73" s="823">
        <v>60000</v>
      </c>
      <c r="F73" s="823">
        <v>14605</v>
      </c>
      <c r="G73" s="285">
        <f t="shared" si="0"/>
        <v>0.24341666666666667</v>
      </c>
      <c r="H73" s="808"/>
    </row>
    <row r="74" spans="1:8" s="33" customFormat="1" ht="11.4">
      <c r="A74" s="350"/>
      <c r="B74" s="947" t="s">
        <v>226</v>
      </c>
      <c r="C74" s="823"/>
      <c r="D74" s="823"/>
      <c r="E74" s="823">
        <v>664480</v>
      </c>
      <c r="F74" s="823">
        <v>45009</v>
      </c>
      <c r="G74" s="285">
        <f t="shared" si="0"/>
        <v>0.06773567300746448</v>
      </c>
      <c r="H74" s="808"/>
    </row>
    <row r="75" spans="1:8" s="33" customFormat="1" ht="11.4">
      <c r="A75" s="350"/>
      <c r="B75" s="822" t="s">
        <v>460</v>
      </c>
      <c r="C75" s="823">
        <v>734374</v>
      </c>
      <c r="D75" s="823">
        <v>734374</v>
      </c>
      <c r="E75" s="823">
        <v>69894</v>
      </c>
      <c r="F75" s="823"/>
      <c r="G75" s="285">
        <f aca="true" t="shared" si="1" ref="G75:G93">F75/E75</f>
        <v>0</v>
      </c>
      <c r="H75" s="808"/>
    </row>
    <row r="76" spans="1:8" s="33" customFormat="1" ht="11.4">
      <c r="A76" s="350">
        <v>4325</v>
      </c>
      <c r="B76" s="283" t="s">
        <v>636</v>
      </c>
      <c r="C76" s="823"/>
      <c r="D76" s="664">
        <v>9000</v>
      </c>
      <c r="E76" s="664">
        <v>9000</v>
      </c>
      <c r="F76" s="664"/>
      <c r="G76" s="285">
        <f t="shared" si="1"/>
        <v>0</v>
      </c>
      <c r="H76" s="808"/>
    </row>
    <row r="77" spans="1:8" s="33" customFormat="1" ht="11.4">
      <c r="A77" s="350">
        <v>4326</v>
      </c>
      <c r="B77" s="283" t="s">
        <v>637</v>
      </c>
      <c r="C77" s="823"/>
      <c r="D77" s="664">
        <v>6000</v>
      </c>
      <c r="E77" s="664"/>
      <c r="F77" s="664"/>
      <c r="G77" s="285"/>
      <c r="H77" s="808"/>
    </row>
    <row r="78" spans="1:8" s="33" customFormat="1" ht="11.4">
      <c r="A78" s="350">
        <v>4327</v>
      </c>
      <c r="B78" s="283" t="s">
        <v>638</v>
      </c>
      <c r="C78" s="823"/>
      <c r="D78" s="664">
        <v>11000</v>
      </c>
      <c r="E78" s="664">
        <v>0</v>
      </c>
      <c r="F78" s="664"/>
      <c r="G78" s="285"/>
      <c r="H78" s="808"/>
    </row>
    <row r="79" spans="1:8" s="33" customFormat="1" ht="11.4">
      <c r="A79" s="350">
        <v>4328</v>
      </c>
      <c r="B79" s="283" t="s">
        <v>639</v>
      </c>
      <c r="C79" s="823"/>
      <c r="D79" s="664">
        <v>1000</v>
      </c>
      <c r="E79" s="664">
        <v>0</v>
      </c>
      <c r="F79" s="664"/>
      <c r="G79" s="285"/>
      <c r="H79" s="808"/>
    </row>
    <row r="80" spans="1:8" s="36" customFormat="1" ht="12">
      <c r="A80" s="486">
        <v>4300</v>
      </c>
      <c r="B80" s="501" t="s">
        <v>246</v>
      </c>
      <c r="C80" s="708">
        <f>SUM(C70:C72)</f>
        <v>889374</v>
      </c>
      <c r="D80" s="708">
        <f>SUM(D70:D72)+D76+D77+D78+D79</f>
        <v>916374</v>
      </c>
      <c r="E80" s="708">
        <f>SUM(E70:E72)+E76+E77+E78+E79</f>
        <v>898374</v>
      </c>
      <c r="F80" s="708">
        <f>SUM(F70:F72)+F76+F77+F78+F79</f>
        <v>59614</v>
      </c>
      <c r="G80" s="729">
        <f t="shared" si="1"/>
        <v>0.06635766395732735</v>
      </c>
      <c r="H80" s="433"/>
    </row>
    <row r="81" spans="1:8" s="36" customFormat="1" ht="16.5" customHeight="1">
      <c r="A81" s="486"/>
      <c r="B81" s="485" t="s">
        <v>248</v>
      </c>
      <c r="C81" s="708">
        <f>SUM(C80+C68+C53+C19+C17)</f>
        <v>1911874</v>
      </c>
      <c r="D81" s="708">
        <f>SUM(D80+D68+D53+D19+D17)</f>
        <v>3053922</v>
      </c>
      <c r="E81" s="708">
        <f>SUM(E80+E68+E53+E19+E17)</f>
        <v>2963074</v>
      </c>
      <c r="F81" s="708">
        <f>SUM(F80+F68+F53+F19+F17)</f>
        <v>266622</v>
      </c>
      <c r="G81" s="729">
        <f t="shared" si="1"/>
        <v>0.08998155294130353</v>
      </c>
      <c r="H81" s="433"/>
    </row>
    <row r="82" spans="1:8" s="36" customFormat="1" ht="12">
      <c r="A82" s="505"/>
      <c r="B82" s="506" t="s">
        <v>61</v>
      </c>
      <c r="C82" s="709"/>
      <c r="D82" s="709"/>
      <c r="E82" s="709"/>
      <c r="F82" s="709"/>
      <c r="G82" s="285"/>
      <c r="H82" s="496"/>
    </row>
    <row r="83" spans="1:8" s="36" customFormat="1" ht="12">
      <c r="A83" s="505"/>
      <c r="B83" s="284" t="s">
        <v>262</v>
      </c>
      <c r="C83" s="666"/>
      <c r="D83" s="666"/>
      <c r="E83" s="666">
        <f>E24</f>
        <v>70</v>
      </c>
      <c r="F83" s="666">
        <f>F24</f>
        <v>70</v>
      </c>
      <c r="G83" s="285">
        <f t="shared" si="1"/>
        <v>1</v>
      </c>
      <c r="H83" s="496"/>
    </row>
    <row r="84" spans="1:8" s="36" customFormat="1" ht="12">
      <c r="A84" s="505"/>
      <c r="B84" s="284" t="s">
        <v>27</v>
      </c>
      <c r="C84" s="666"/>
      <c r="D84" s="666"/>
      <c r="E84" s="666">
        <f>E25</f>
        <v>11</v>
      </c>
      <c r="F84" s="666">
        <f>F25</f>
        <v>10</v>
      </c>
      <c r="G84" s="285">
        <f t="shared" si="1"/>
        <v>0.9090909090909091</v>
      </c>
      <c r="H84" s="496"/>
    </row>
    <row r="85" spans="1:8" s="33" customFormat="1" ht="12">
      <c r="A85" s="505"/>
      <c r="B85" s="507" t="s">
        <v>272</v>
      </c>
      <c r="C85" s="666">
        <f>SUM(C73)</f>
        <v>60000</v>
      </c>
      <c r="D85" s="666">
        <f>D26+D33+D36+D46+D62+D73</f>
        <v>69307</v>
      </c>
      <c r="E85" s="666">
        <f>E26+E33+E36+E46+E62+E73</f>
        <v>86707</v>
      </c>
      <c r="F85" s="666">
        <f>F26+F33+F36+F46+F62+F73+F39</f>
        <v>30258</v>
      </c>
      <c r="G85" s="285">
        <f t="shared" si="1"/>
        <v>0.3489683647225714</v>
      </c>
      <c r="H85" s="354"/>
    </row>
    <row r="86" spans="1:8" ht="12" customHeight="1">
      <c r="A86" s="282"/>
      <c r="B86" s="507" t="s">
        <v>270</v>
      </c>
      <c r="C86" s="664"/>
      <c r="D86" s="664"/>
      <c r="E86" s="664"/>
      <c r="F86" s="664"/>
      <c r="G86" s="285"/>
      <c r="H86" s="354"/>
    </row>
    <row r="87" spans="1:8" ht="12" customHeight="1">
      <c r="A87" s="282"/>
      <c r="B87" s="508" t="s">
        <v>51</v>
      </c>
      <c r="C87" s="710">
        <f aca="true" t="shared" si="2" ref="C87">SUM(C83:C86)</f>
        <v>60000</v>
      </c>
      <c r="D87" s="710">
        <f aca="true" t="shared" si="3" ref="D87">SUM(D83:D86)</f>
        <v>69307</v>
      </c>
      <c r="E87" s="710">
        <f>SUM(E83:E86)</f>
        <v>86788</v>
      </c>
      <c r="F87" s="710">
        <f>SUM(F83:F86)</f>
        <v>30338</v>
      </c>
      <c r="G87" s="728">
        <f t="shared" si="1"/>
        <v>0.34956445591556434</v>
      </c>
      <c r="H87" s="354"/>
    </row>
    <row r="88" spans="1:8" ht="12" customHeight="1">
      <c r="A88" s="282"/>
      <c r="B88" s="509" t="s">
        <v>62</v>
      </c>
      <c r="C88" s="705"/>
      <c r="D88" s="705"/>
      <c r="E88" s="705"/>
      <c r="F88" s="705"/>
      <c r="G88" s="285"/>
      <c r="H88" s="354"/>
    </row>
    <row r="89" spans="1:8" ht="12" customHeight="1">
      <c r="A89" s="282"/>
      <c r="B89" s="284" t="s">
        <v>228</v>
      </c>
      <c r="C89" s="664"/>
      <c r="D89" s="664">
        <f>D11+D29+D51+D67</f>
        <v>3334</v>
      </c>
      <c r="E89" s="664">
        <f>E11+E29+E51+E67+E74</f>
        <v>668386</v>
      </c>
      <c r="F89" s="284">
        <f>F11+F29+F51+F67+F74</f>
        <v>46455</v>
      </c>
      <c r="G89" s="285">
        <f t="shared" si="1"/>
        <v>0.06950325111537345</v>
      </c>
      <c r="H89" s="354"/>
    </row>
    <row r="90" spans="1:8" ht="11.4">
      <c r="A90" s="282"/>
      <c r="B90" s="507" t="s">
        <v>229</v>
      </c>
      <c r="C90" s="664">
        <f>SUM(C17+C19+C53+C68+C80)-C83-C84-C85-C86-C89-C91</f>
        <v>1845874</v>
      </c>
      <c r="D90" s="664">
        <f>SUM(D17+D19+D53+D68+D80)-D83-D84-D85-D86-D89-D91</f>
        <v>2957795</v>
      </c>
      <c r="E90" s="664">
        <f>SUM(E17+E19+E53+E68+E80)-E83-E84-E85-E86-E89-E91</f>
        <v>2184414</v>
      </c>
      <c r="F90" s="664">
        <f>SUM(F17+F19+F53+F68+F80)-F83-F84-F85-F86-F89-F91</f>
        <v>180169</v>
      </c>
      <c r="G90" s="285">
        <f t="shared" si="1"/>
        <v>0.08247932855218837</v>
      </c>
      <c r="H90" s="354"/>
    </row>
    <row r="91" spans="1:8" ht="11.4">
      <c r="A91" s="282"/>
      <c r="B91" s="507" t="s">
        <v>302</v>
      </c>
      <c r="C91" s="664">
        <f>SUM(C48)</f>
        <v>6000</v>
      </c>
      <c r="D91" s="664">
        <f>SUM(D48)</f>
        <v>23486</v>
      </c>
      <c r="E91" s="664">
        <f>SUM(E48)</f>
        <v>23486</v>
      </c>
      <c r="F91" s="664">
        <f>SUM(F48)</f>
        <v>9660</v>
      </c>
      <c r="G91" s="285">
        <f t="shared" si="1"/>
        <v>0.4113088648556587</v>
      </c>
      <c r="H91" s="354"/>
    </row>
    <row r="92" spans="1:8" ht="12">
      <c r="A92" s="282"/>
      <c r="B92" s="508" t="s">
        <v>57</v>
      </c>
      <c r="C92" s="710">
        <f aca="true" t="shared" si="4" ref="C92">SUM(C89:C91)</f>
        <v>1851874</v>
      </c>
      <c r="D92" s="710">
        <f aca="true" t="shared" si="5" ref="D92:E92">SUM(D89:D91)</f>
        <v>2984615</v>
      </c>
      <c r="E92" s="710">
        <f t="shared" si="5"/>
        <v>2876286</v>
      </c>
      <c r="F92" s="710">
        <f aca="true" t="shared" si="6" ref="F92">SUM(F89:F91)</f>
        <v>236284</v>
      </c>
      <c r="G92" s="728">
        <f t="shared" si="1"/>
        <v>0.08214899352845996</v>
      </c>
      <c r="H92" s="354"/>
    </row>
    <row r="93" spans="1:8" ht="12" customHeight="1">
      <c r="A93" s="510"/>
      <c r="B93" s="504" t="s">
        <v>103</v>
      </c>
      <c r="C93" s="711">
        <f aca="true" t="shared" si="7" ref="C93">SUM(C87+C92)</f>
        <v>1911874</v>
      </c>
      <c r="D93" s="710">
        <f aca="true" t="shared" si="8" ref="D93:E93">SUM(D87+D92)</f>
        <v>3053922</v>
      </c>
      <c r="E93" s="710">
        <f t="shared" si="8"/>
        <v>2963074</v>
      </c>
      <c r="F93" s="710">
        <f aca="true" t="shared" si="9" ref="F93">SUM(F87+F92)</f>
        <v>266622</v>
      </c>
      <c r="G93" s="728">
        <f t="shared" si="1"/>
        <v>0.08998155294130353</v>
      </c>
      <c r="H93" s="351"/>
    </row>
    <row r="94" spans="1:7" ht="11.4">
      <c r="A94" s="32"/>
      <c r="C94" s="266"/>
      <c r="D94" s="266"/>
      <c r="E94" s="266"/>
      <c r="F94" s="266"/>
      <c r="G94" s="265"/>
    </row>
    <row r="95" spans="3:6" ht="12">
      <c r="C95" s="215"/>
      <c r="D95" s="215"/>
      <c r="E95" s="215"/>
      <c r="F95" s="215"/>
    </row>
  </sheetData>
  <mergeCells count="7">
    <mergeCell ref="A1:H1"/>
    <mergeCell ref="A2:H2"/>
    <mergeCell ref="G4:G6"/>
    <mergeCell ref="C4:C6"/>
    <mergeCell ref="D4:D6"/>
    <mergeCell ref="E4:E6"/>
    <mergeCell ref="F4:F6"/>
  </mergeCells>
  <printOptions horizontalCentered="1"/>
  <pageMargins left="0" right="0" top="0.1968503937007874" bottom="0.1968503937007874" header="0.11811023622047245" footer="0"/>
  <pageSetup firstPageNumber="41" useFirstPageNumber="1" horizontalDpi="600" verticalDpi="600" orientation="landscape" paperSize="9" scale="59" r:id="rId1"/>
  <headerFooter alignWithMargins="0">
    <oddFooter>&amp;C&amp;P. oldal</oddFooter>
  </headerFooter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Koór Henrietta</cp:lastModifiedBy>
  <cp:lastPrinted>2021-11-22T15:05:53Z</cp:lastPrinted>
  <dcterms:created xsi:type="dcterms:W3CDTF">2004-02-02T11:10:51Z</dcterms:created>
  <dcterms:modified xsi:type="dcterms:W3CDTF">2021-11-22T15:06:15Z</dcterms:modified>
  <cp:category/>
  <cp:version/>
  <cp:contentType/>
  <cp:contentStatus/>
</cp:coreProperties>
</file>