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60" yWindow="11595" windowWidth="11340" windowHeight="1305" tabRatio="652" activeTab="0"/>
  </bookViews>
  <sheets>
    <sheet name="1a.mell " sheetId="115" r:id="rId1"/>
    <sheet name="1b.mell " sheetId="136" r:id="rId2"/>
    <sheet name="1c.mell " sheetId="98" r:id="rId3"/>
    <sheet name="2.mell" sheetId="135" r:id="rId4"/>
    <sheet name="3a.m." sheetId="43" r:id="rId5"/>
    <sheet name="3b.m." sheetId="103" r:id="rId6"/>
    <sheet name="3c.m." sheetId="44" r:id="rId7"/>
    <sheet name="3d.m." sheetId="125" r:id="rId8"/>
    <sheet name="4.mell." sheetId="47" r:id="rId9"/>
    <sheet name="5.mell. " sheetId="48" r:id="rId10"/>
    <sheet name="6.mell. " sheetId="49" r:id="rId11"/>
    <sheet name="7.mell" sheetId="138" r:id="rId12"/>
    <sheet name="8.mell. " sheetId="139" r:id="rId13"/>
    <sheet name="9.mell. " sheetId="140" r:id="rId14"/>
    <sheet name="10.mell " sheetId="141" r:id="rId15"/>
    <sheet name="11.mell" sheetId="142" r:id="rId16"/>
    <sheet name="12.mell" sheetId="143" r:id="rId17"/>
    <sheet name="13.mell" sheetId="144" r:id="rId18"/>
    <sheet name="14.mell" sheetId="145" r:id="rId19"/>
    <sheet name="15.mell" sheetId="146" r:id="rId20"/>
    <sheet name="16.mell" sheetId="147" r:id="rId21"/>
    <sheet name="17.mell" sheetId="148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'[2]Bevétel'!$A$10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#REF!</definedName>
    <definedName name="cskimutatas_hivatal_szakmai_igenyek_Dim06">#REF!</definedName>
    <definedName name="cskimutatas_hivatal_szakmai_igenyek_Dim07">"="</definedName>
    <definedName name="cskimutatas_hivatal_szakmai_igenyek_Dim08">"="</definedName>
    <definedName name="cskimutatas_hivatal_szakmai_igenyek_Dim09" localSheetId="19">#REF!</definedName>
    <definedName name="cskimutatas_hivatal_szakmai_igenyek_Dim09">#REF!</definedName>
    <definedName name="cskimutatas_hivatal_szakmai_igenyek_Dim10">"="</definedName>
    <definedName name="cskimutatas_hivatal_szakmai_igenyek_Dim11">"="</definedName>
    <definedName name="cskimutatas_hivatal_szakmai_igenyekAnchor" localSheetId="19">#REF!</definedName>
    <definedName name="cskimutatas_hivatal_szakmai_igenyekAnchor">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'[2]Kiadás'!$A$8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'[4]10intberuh-felúj'!$A$10</definedName>
    <definedName name="Hiv.felújtás">1</definedName>
    <definedName name="kkkkk">#REF!</definedName>
    <definedName name="kkkkkkk">#REF!</definedName>
    <definedName name="l" localSheetId="19">#REF!</definedName>
    <definedName name="l">#REF!</definedName>
    <definedName name="nem">1</definedName>
    <definedName name="_xlnm.Print_Area" localSheetId="0">'1a.mell '!$A$1:$L$51</definedName>
    <definedName name="_xlnm.Print_Area" localSheetId="1">'1b.mell '!$A$1:$J$275</definedName>
    <definedName name="_xlnm.Print_Area" localSheetId="2">'1c.mell '!$A$1:$I$155</definedName>
    <definedName name="székház" localSheetId="19">#REF!</definedName>
    <definedName name="székház">#REF!</definedName>
    <definedName name="székházbérlők">#REF!</definedName>
    <definedName name="szintrehotzás">#REF!</definedName>
    <definedName name="szintrehozás2">#REF!</definedName>
    <definedName name="szintrhozás2">#REF!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'3a.m.'!$3:$7</definedName>
    <definedName name="_xlnm.Print_Titles" localSheetId="6">'3c.m.'!$4:$8</definedName>
    <definedName name="_xlnm.Print_Titles" localSheetId="7">'3d.m.'!$3:$7</definedName>
    <definedName name="_xlnm.Print_Titles" localSheetId="8">'4.mell.'!$3:$7</definedName>
    <definedName name="_xlnm.Print_Titles" localSheetId="9">'5.mell. '!$4:$8</definedName>
    <definedName name="_xlnm.Print_Titles" localSheetId="10">'6.mell. '!$7:$10</definedName>
    <definedName name="_xlnm.Print_Titles" localSheetId="13">'9.mell. '!$8:$11</definedName>
    <definedName name="_xlnm.Print_Titles" localSheetId="15">'11.mell'!$8:$9</definedName>
    <definedName name="_xlnm.Print_Titles" localSheetId="16">'12.mell'!$5:$6</definedName>
  </definedNames>
  <calcPr calcId="152511"/>
</workbook>
</file>

<file path=xl/sharedStrings.xml><?xml version="1.0" encoding="utf-8"?>
<sst xmlns="http://schemas.openxmlformats.org/spreadsheetml/2006/main" count="3519" uniqueCount="1309">
  <si>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</si>
  <si>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</si>
  <si>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</si>
  <si>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</si>
  <si>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</si>
  <si>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</si>
  <si>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</si>
  <si>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</si>
  <si>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</si>
  <si>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</si>
  <si>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</si>
  <si>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</si>
  <si>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</si>
  <si>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</si>
  <si>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</si>
  <si>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</si>
  <si>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</si>
  <si>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</si>
  <si>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</si>
  <si>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</si>
  <si>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</si>
  <si>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</si>
  <si>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</si>
  <si>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</si>
  <si>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</si>
  <si>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</si>
  <si>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</si>
  <si>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</si>
  <si>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</si>
  <si>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</si>
  <si>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</si>
  <si>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</si>
  <si>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</si>
  <si>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</si>
  <si>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</si>
  <si>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</si>
  <si>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</si>
  <si>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</si>
  <si>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</si>
  <si>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</si>
  <si>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</si>
  <si>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</si>
  <si>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</si>
  <si>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</si>
  <si>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</si>
  <si>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</si>
  <si>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</si>
  <si>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2"/>
      </rPr>
      <t>Egyéb működési célú kiadás</t>
    </r>
  </si>
  <si>
    <r>
      <t xml:space="preserve">Céltartalék - </t>
    </r>
    <r>
      <rPr>
        <i/>
        <sz val="9"/>
        <rFont val="Arial CE"/>
        <family val="2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</si>
  <si>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</si>
  <si>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</si>
  <si>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</si>
  <si>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</si>
  <si>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</si>
  <si>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</si>
  <si>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</si>
  <si>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</si>
  <si>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r>
      <t xml:space="preserve">Általános tartalék  - </t>
    </r>
    <r>
      <rPr>
        <sz val="10"/>
        <rFont val="Arial CE"/>
        <family val="2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</si>
  <si>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</si>
  <si>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2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</si>
  <si>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</si>
  <si>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</si>
  <si>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</si>
  <si>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</si>
  <si>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</si>
  <si>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</si>
  <si>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</si>
  <si>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</si>
  <si>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</si>
  <si>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</si>
  <si>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</si>
  <si>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</si>
  <si>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</si>
  <si>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</si>
  <si>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</si>
  <si>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</si>
  <si>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</si>
  <si>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</si>
  <si>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</si>
  <si>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</si>
  <si>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</si>
  <si>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</si>
  <si>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</si>
  <si>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</si>
  <si>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</si>
  <si>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</si>
  <si>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</si>
  <si>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</si>
  <si>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</si>
  <si>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</si>
  <si>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</si>
  <si>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</si>
  <si>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</si>
  <si>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</si>
  <si>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</si>
  <si>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</si>
  <si>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</si>
  <si>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</si>
  <si>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</si>
  <si>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</si>
  <si>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</si>
  <si>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</si>
  <si>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</si>
  <si>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</si>
  <si>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</si>
  <si>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</si>
  <si>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</si>
  <si>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</si>
  <si>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</si>
  <si>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</si>
  <si>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</si>
  <si>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</si>
  <si>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</si>
  <si>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</si>
  <si>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</si>
  <si>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</si>
  <si>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</si>
  <si>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</si>
  <si>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</si>
  <si>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</si>
  <si>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</si>
  <si>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</si>
  <si>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</si>
  <si>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</si>
  <si>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</si>
  <si>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</si>
  <si>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</si>
  <si>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</si>
  <si>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</si>
  <si>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</si>
  <si>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</si>
  <si>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</si>
  <si>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</si>
  <si>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</si>
  <si>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</si>
  <si>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</si>
  <si>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</si>
  <si>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</si>
  <si>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</si>
  <si>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</si>
  <si>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</si>
  <si>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</si>
  <si>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</si>
  <si>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</si>
  <si>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</si>
  <si>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</si>
  <si>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</si>
  <si>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</si>
  <si>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</si>
  <si>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</si>
  <si>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</si>
  <si>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</si>
  <si>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</si>
  <si>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</si>
  <si>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</si>
  <si>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</si>
  <si>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</si>
  <si>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</si>
  <si>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</si>
  <si>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</si>
  <si>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Környezetvédelmi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</si>
  <si>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</si>
  <si>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</si>
  <si>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</si>
  <si>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</si>
  <si>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</si>
  <si>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</si>
  <si>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</si>
  <si>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</si>
  <si>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</si>
  <si>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</si>
  <si>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</si>
  <si>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</si>
  <si>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</si>
  <si>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</si>
  <si>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</si>
  <si>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</si>
  <si>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</si>
  <si>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</si>
  <si>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</si>
  <si>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</si>
  <si>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</si>
  <si>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</si>
  <si>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</si>
  <si>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</si>
  <si>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</si>
  <si>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</si>
  <si>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</si>
  <si>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</si>
  <si>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</si>
  <si>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</si>
  <si>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</si>
  <si>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</si>
  <si>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</si>
  <si>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</si>
  <si>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</si>
  <si>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</si>
  <si>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</si>
  <si>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</si>
  <si>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</si>
  <si>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</si>
  <si>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</si>
  <si>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</si>
  <si>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</si>
  <si>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</si>
  <si>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</si>
  <si>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</si>
  <si>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</si>
  <si>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</si>
  <si>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</si>
  <si>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</si>
  <si>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</si>
  <si>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</si>
  <si>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</si>
  <si>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</si>
  <si>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</si>
  <si>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</si>
  <si>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</si>
  <si>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</si>
  <si>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</si>
  <si>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</si>
  <si>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</si>
  <si>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</si>
  <si>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</si>
  <si>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</si>
  <si>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</si>
  <si>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</si>
  <si>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</si>
  <si>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</si>
  <si>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</si>
  <si>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</si>
  <si>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</si>
  <si>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</si>
  <si>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</si>
  <si>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</si>
  <si>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</si>
  <si>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</si>
  <si>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</si>
  <si>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</si>
  <si>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</si>
  <si>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</si>
  <si>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</si>
  <si>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</si>
  <si>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</si>
  <si>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</si>
  <si>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</si>
  <si>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</si>
  <si>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</si>
  <si>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</si>
  <si>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</si>
  <si>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2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</si>
  <si>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</si>
  <si>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</si>
  <si>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</si>
  <si>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</si>
  <si>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</si>
  <si>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</si>
  <si>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</si>
  <si>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</si>
  <si>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</si>
  <si>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</si>
  <si>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</si>
  <si>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</si>
  <si>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</si>
  <si>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</si>
  <si>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</si>
  <si>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</si>
  <si>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</si>
  <si>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</si>
  <si>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</si>
  <si>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</si>
  <si>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</si>
  <si>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</si>
  <si>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</si>
  <si>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</si>
  <si>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</si>
  <si>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</si>
  <si>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</si>
  <si>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</si>
  <si>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</si>
  <si>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</si>
  <si>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</si>
  <si>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</si>
  <si>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</si>
  <si>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</si>
  <si>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</si>
  <si>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</si>
  <si>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</si>
  <si>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</si>
  <si>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</si>
  <si>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</si>
  <si>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</si>
  <si>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</si>
  <si>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</si>
  <si>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</si>
  <si>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</si>
  <si>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</si>
  <si>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</si>
  <si>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</si>
  <si>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</si>
  <si>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</si>
  <si>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</si>
  <si>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</si>
  <si>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</si>
  <si>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</si>
  <si>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</si>
  <si>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</si>
  <si>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</si>
  <si>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</si>
  <si>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</si>
  <si>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</si>
  <si>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</si>
  <si>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</si>
  <si>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</si>
  <si>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</si>
  <si>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</si>
  <si>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</si>
  <si>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</si>
  <si>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</si>
  <si>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</si>
  <si>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</si>
  <si>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</si>
  <si>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</si>
  <si>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</si>
  <si>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</si>
  <si>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</si>
  <si>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</si>
  <si>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</si>
  <si>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</si>
  <si>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</si>
  <si>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</si>
  <si>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</si>
  <si>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</si>
  <si>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</si>
  <si>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</si>
  <si>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</si>
  <si>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</si>
  <si>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</si>
  <si>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</si>
  <si>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</si>
  <si>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</si>
  <si>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</si>
  <si>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</si>
  <si>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</si>
  <si>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</si>
  <si>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</si>
  <si>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</si>
  <si>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</si>
  <si>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</si>
  <si>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</si>
  <si>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</si>
  <si>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</si>
  <si>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</si>
  <si>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</si>
  <si>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</si>
  <si>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</si>
  <si>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</si>
  <si>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</si>
  <si>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</si>
  <si>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</si>
  <si>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</si>
  <si>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</si>
  <si>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</si>
  <si>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</si>
  <si>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</si>
  <si>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</si>
  <si>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</si>
  <si>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</si>
  <si>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</si>
  <si>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</si>
  <si>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</si>
  <si>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</si>
  <si>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</si>
  <si>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</si>
  <si>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</si>
  <si>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</si>
  <si>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</si>
  <si>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</si>
  <si>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</si>
  <si>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</si>
  <si>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</si>
  <si>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</si>
  <si>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</si>
  <si>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</si>
  <si>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</si>
  <si>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</si>
  <si>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</si>
  <si>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</si>
  <si>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</si>
  <si>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</si>
  <si>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</si>
  <si>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</si>
  <si>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</si>
  <si>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</si>
  <si>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</si>
  <si>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</si>
  <si>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</si>
  <si>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</si>
  <si>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</si>
  <si>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</si>
  <si>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</si>
  <si>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</si>
  <si>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</si>
  <si>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</si>
  <si>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</si>
  <si>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</si>
  <si>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r>
      <t xml:space="preserve">    Kamat kiadás </t>
    </r>
    <r>
      <rPr>
        <sz val="9"/>
        <rFont val="Arial CE"/>
        <family val="2"/>
      </rPr>
      <t>- Dologi kiadások</t>
    </r>
  </si>
  <si>
    <r>
      <t xml:space="preserve">    Fővárosi IPA visszafizetése </t>
    </r>
    <r>
      <rPr>
        <sz val="9"/>
        <rFont val="Arial CE"/>
        <family val="2"/>
      </rPr>
      <t>- Dologi kiadások</t>
    </r>
  </si>
  <si>
    <t>Közművelődés érdekeltségnöv. pályázat FMK eszközbeszerzés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</si>
  <si>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</si>
  <si>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</si>
  <si>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</si>
  <si>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</si>
  <si>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</si>
  <si>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</si>
  <si>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</si>
  <si>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</si>
  <si>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</si>
  <si>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</si>
  <si>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</si>
  <si>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FESZ műszer beszerzés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</si>
  <si>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</si>
  <si>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</si>
  <si>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</si>
  <si>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</si>
  <si>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</si>
  <si>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</si>
  <si>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</si>
  <si>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</si>
  <si>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</si>
  <si>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</si>
  <si>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</si>
  <si>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</si>
  <si>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</si>
  <si>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</si>
  <si>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</si>
  <si>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</si>
  <si>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</si>
  <si>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</si>
  <si>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</si>
  <si>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</si>
  <si>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</si>
  <si>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</si>
  <si>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</si>
  <si>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</si>
  <si>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2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</si>
  <si>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</si>
  <si>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</si>
  <si>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</si>
  <si>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</si>
  <si>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</si>
  <si>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</si>
  <si>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</si>
  <si>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</si>
  <si>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</si>
  <si>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</si>
  <si>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</si>
  <si>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</si>
  <si>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</si>
  <si>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</si>
  <si>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</si>
  <si>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</si>
  <si>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</si>
  <si>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</si>
  <si>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</si>
  <si>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</si>
  <si>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</si>
  <si>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</si>
  <si>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</si>
  <si>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</si>
  <si>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</si>
  <si>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</si>
  <si>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</si>
  <si>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</si>
  <si>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</si>
  <si>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</si>
  <si>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</si>
  <si>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</si>
  <si>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</si>
  <si>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</si>
  <si>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</si>
  <si>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</si>
  <si>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</si>
  <si>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</si>
  <si>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</si>
  <si>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</si>
  <si>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</si>
  <si>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</si>
  <si>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</si>
  <si>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</si>
  <si>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</si>
  <si>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</si>
  <si>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</si>
  <si>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Részesedések értékesítése, részesedések megszűnéséhez kapcsolódó bevételek</t>
  </si>
  <si>
    <t>Részesedések értékesítéséhez kapcsolódó realizált nyereség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</si>
  <si>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</si>
  <si>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family val="2"/>
      </rPr>
      <t>- Dologi kiadások</t>
    </r>
  </si>
  <si>
    <t xml:space="preserve">    Földterület, telek, ingatlan értékesítése</t>
  </si>
  <si>
    <t>Budapest Art Center Nonprofit Kft. - Színházművészeti szerv.támogatása</t>
  </si>
  <si>
    <t>Működési és felhalmozási költségvetési kiadások mindösszesen</t>
  </si>
  <si>
    <t>Óvodák, oktatási, szociális és kulturális intézmények  összesen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</si>
  <si>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</si>
  <si>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</si>
  <si>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</si>
  <si>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Egyéb felhalmozási célú támog.bevételei ÁH-n belülről </t>
  </si>
  <si>
    <t>Tűzliliom park</t>
  </si>
  <si>
    <t>TÉR-KÖZ 2018</t>
  </si>
  <si>
    <t>Polgármesteri Hivatal épületeiben beruházási kiadások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</si>
  <si>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</si>
  <si>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</si>
  <si>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</si>
  <si>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</si>
  <si>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</si>
  <si>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</si>
  <si>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</si>
  <si>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</si>
  <si>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2020.</t>
  </si>
  <si>
    <t>2021.</t>
  </si>
  <si>
    <t>2022.</t>
  </si>
  <si>
    <t>2023.</t>
  </si>
  <si>
    <t>2024.</t>
  </si>
  <si>
    <t>További kötelezettségek</t>
  </si>
  <si>
    <t>Multifunkcionális nyomtatók üzemelt.</t>
  </si>
  <si>
    <t>Govsys üzemeltetés</t>
  </si>
  <si>
    <t>Telefonalközpont üzemeltetés és tanácsad.</t>
  </si>
  <si>
    <t>Irodaszer beszerzés</t>
  </si>
  <si>
    <t>Tisztítószer beszerzés</t>
  </si>
  <si>
    <t>Hivatali szállítás (taxi)</t>
  </si>
  <si>
    <t>Hivatali szállítás, rakodás</t>
  </si>
  <si>
    <t>Nyomtatvány beszerzés</t>
  </si>
  <si>
    <t>Üzemanyagkártya szerződés</t>
  </si>
  <si>
    <t>Bérmentesítő bérleti díj, alkatr.besz.</t>
  </si>
  <si>
    <t>Kémény-felújítási munkák</t>
  </si>
  <si>
    <t>Könyvvizsgálati díj</t>
  </si>
  <si>
    <t>Concerto Akadémia Nonprofit Kft</t>
  </si>
  <si>
    <t>Semmelweis Egyetem bérl.díj Közter-f.</t>
  </si>
  <si>
    <t>Töltőállomás üzemeltetés</t>
  </si>
  <si>
    <t xml:space="preserve">Ferencvárosi Újság előállítása 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</si>
  <si>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</si>
  <si>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</si>
  <si>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</si>
  <si>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</si>
  <si>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</si>
  <si>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</si>
  <si>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Közalk.,közsz.,eü-i,közokt. jogi szakértő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</si>
  <si>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</si>
  <si>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</si>
  <si>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</si>
  <si>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</si>
  <si>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</si>
  <si>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</si>
  <si>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</si>
  <si>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</si>
  <si>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</si>
  <si>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</si>
  <si>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</si>
  <si>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</si>
  <si>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</si>
  <si>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</si>
  <si>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</si>
  <si>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</si>
  <si>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</si>
  <si>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</si>
  <si>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</si>
  <si>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</si>
  <si>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</si>
  <si>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</si>
  <si>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</si>
  <si>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</si>
  <si>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</si>
  <si>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8.</t>
  </si>
  <si>
    <t>Pénzügyi Iroda</t>
  </si>
  <si>
    <t>9.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</si>
  <si>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</si>
  <si>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</si>
  <si>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</si>
  <si>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</si>
  <si>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</si>
  <si>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</si>
  <si>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</si>
  <si>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</si>
  <si>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</si>
  <si>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</si>
  <si>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</si>
  <si>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</si>
  <si>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</si>
  <si>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</si>
  <si>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</si>
  <si>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</si>
  <si>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</si>
  <si>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</si>
  <si>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</si>
  <si>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</si>
  <si>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</si>
  <si>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</si>
  <si>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</si>
  <si>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</si>
  <si>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</si>
  <si>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</si>
  <si>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</si>
  <si>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</si>
  <si>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</si>
  <si>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</si>
  <si>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</si>
  <si>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</si>
  <si>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</si>
  <si>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</si>
  <si>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</si>
  <si>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</si>
  <si>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</si>
  <si>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</si>
  <si>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</si>
  <si>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</si>
  <si>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</si>
  <si>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</si>
  <si>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</si>
  <si>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</si>
  <si>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</si>
  <si>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</si>
  <si>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</si>
  <si>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</si>
  <si>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</si>
  <si>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</si>
  <si>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</si>
  <si>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</si>
  <si>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</si>
  <si>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</si>
  <si>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</si>
  <si>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</si>
  <si>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</si>
  <si>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</si>
  <si>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</si>
  <si>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</si>
  <si>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</si>
  <si>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</si>
  <si>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</si>
  <si>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</si>
  <si>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</si>
  <si>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</si>
  <si>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</si>
  <si>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</si>
  <si>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</si>
  <si>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</si>
  <si>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</si>
  <si>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</si>
  <si>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</si>
  <si>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</si>
  <si>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</si>
  <si>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</si>
  <si>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</si>
  <si>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</si>
  <si>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</si>
  <si>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</si>
  <si>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</si>
  <si>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</si>
  <si>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</si>
  <si>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</si>
  <si>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</si>
  <si>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4112 Balázs B. u. 13. lakóház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</si>
  <si>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</si>
  <si>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</si>
  <si>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</si>
  <si>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</si>
  <si>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</si>
  <si>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</si>
  <si>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</si>
  <si>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</si>
  <si>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</si>
  <si>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</si>
  <si>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</si>
  <si>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</si>
  <si>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</si>
  <si>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</si>
  <si>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</si>
  <si>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</si>
  <si>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</si>
  <si>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</si>
  <si>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</si>
  <si>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</si>
  <si>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</si>
  <si>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</si>
  <si>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</si>
  <si>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</si>
  <si>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</si>
  <si>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</si>
  <si>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</si>
  <si>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</si>
  <si>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</si>
  <si>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</si>
  <si>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</si>
  <si>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</si>
  <si>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</si>
  <si>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</si>
  <si>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</si>
  <si>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</si>
  <si>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</si>
  <si>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</si>
  <si>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</si>
  <si>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</si>
  <si>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</si>
  <si>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</si>
  <si>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</si>
  <si>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</si>
  <si>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</si>
  <si>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</si>
  <si>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</si>
  <si>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</si>
  <si>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</si>
  <si>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</si>
  <si>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</si>
  <si>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</si>
  <si>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</si>
  <si>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</si>
  <si>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</si>
  <si>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</si>
  <si>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</si>
  <si>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</si>
  <si>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</si>
  <si>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</si>
  <si>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</si>
  <si>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</si>
  <si>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</si>
  <si>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</si>
  <si>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</si>
  <si>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</si>
  <si>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</si>
  <si>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</si>
  <si>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</si>
  <si>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</si>
  <si>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</si>
  <si>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</si>
  <si>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</si>
  <si>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</si>
  <si>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</si>
  <si>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</si>
  <si>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</si>
  <si>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</si>
  <si>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</si>
  <si>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</si>
  <si>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</si>
  <si>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</si>
  <si>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</si>
  <si>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</si>
  <si>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</si>
  <si>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</si>
  <si>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</si>
  <si>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</si>
  <si>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</si>
  <si>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</si>
  <si>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</si>
  <si>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</si>
  <si>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</si>
  <si>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</si>
  <si>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</si>
  <si>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</si>
  <si>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</si>
  <si>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</si>
  <si>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</si>
  <si>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</si>
  <si>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</si>
  <si>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</si>
  <si>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TV üzemeltetés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</si>
  <si>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</si>
  <si>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</si>
  <si>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</si>
  <si>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</si>
  <si>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</si>
  <si>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</si>
  <si>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</si>
  <si>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</si>
  <si>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</si>
  <si>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</si>
  <si>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</si>
  <si>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</si>
  <si>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</si>
  <si>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</si>
  <si>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</si>
  <si>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</si>
  <si>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</si>
  <si>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</si>
  <si>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</si>
  <si>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</si>
  <si>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</si>
  <si>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</si>
  <si>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</si>
  <si>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</si>
  <si>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</si>
  <si>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</si>
  <si>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</si>
  <si>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</si>
  <si>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</si>
  <si>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</si>
  <si>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</si>
  <si>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</si>
  <si>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</si>
  <si>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</si>
  <si>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</si>
  <si>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</si>
  <si>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</si>
  <si>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</si>
  <si>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</si>
  <si>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</si>
  <si>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2021.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</si>
  <si>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</si>
  <si>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</si>
  <si>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</si>
  <si>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</si>
  <si>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</si>
  <si>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</si>
  <si>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</si>
  <si>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</si>
  <si>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</si>
  <si>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</si>
  <si>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</si>
  <si>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</si>
  <si>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</si>
  <si>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</si>
  <si>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</si>
  <si>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</si>
  <si>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</si>
  <si>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</si>
  <si>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Épületek elektromos felújítása</t>
  </si>
  <si>
    <t>Lakás és helyiségfelújítás</t>
  </si>
  <si>
    <t>Oktatási intézmények, óvodák felújítása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</si>
  <si>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</si>
  <si>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</si>
  <si>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</si>
  <si>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</si>
  <si>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</si>
  <si>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</si>
  <si>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</si>
  <si>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</si>
  <si>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</si>
  <si>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</si>
  <si>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</si>
  <si>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</si>
  <si>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</si>
  <si>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</si>
  <si>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</si>
  <si>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</si>
  <si>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</si>
  <si>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</si>
  <si>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</si>
  <si>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</si>
  <si>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</si>
  <si>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</si>
  <si>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</si>
  <si>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</si>
  <si>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</si>
  <si>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</si>
  <si>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</si>
  <si>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</si>
  <si>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</si>
  <si>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</si>
  <si>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</si>
  <si>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</si>
  <si>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</si>
  <si>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</si>
  <si>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</si>
  <si>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</si>
  <si>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</si>
  <si>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Haller park felújítása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</si>
  <si>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</si>
  <si>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</si>
  <si>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</si>
  <si>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</si>
  <si>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</si>
  <si>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</si>
  <si>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</si>
  <si>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</si>
  <si>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</si>
  <si>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</si>
  <si>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</si>
  <si>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</si>
  <si>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</si>
  <si>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</si>
  <si>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</si>
  <si>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</si>
  <si>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</si>
  <si>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</si>
  <si>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</si>
  <si>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MÁV Szimfónikus Zenekari Alapítvány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</si>
  <si>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</si>
  <si>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</si>
  <si>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</si>
  <si>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</si>
  <si>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</si>
  <si>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</si>
  <si>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</si>
  <si>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</si>
  <si>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</si>
  <si>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</si>
  <si>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</si>
  <si>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</si>
  <si>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</si>
  <si>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</si>
  <si>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</si>
  <si>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</si>
  <si>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</si>
  <si>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</si>
  <si>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</si>
  <si>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</si>
  <si>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</si>
  <si>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</si>
  <si>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</si>
  <si>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</si>
  <si>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</si>
  <si>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</si>
  <si>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</si>
  <si>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</si>
  <si>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</si>
  <si>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</si>
  <si>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</si>
  <si>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</si>
  <si>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</si>
  <si>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</si>
  <si>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</si>
  <si>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</si>
  <si>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</si>
  <si>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</si>
  <si>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</si>
  <si>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</si>
  <si>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</si>
  <si>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Gyermekétkeztetés köznevelési intézményben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</si>
  <si>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</si>
  <si>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</si>
  <si>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</si>
  <si>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</si>
  <si>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</si>
  <si>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</si>
  <si>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</si>
  <si>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</si>
  <si>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</si>
  <si>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</si>
  <si>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</si>
  <si>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</si>
  <si>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</si>
  <si>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</si>
  <si>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</si>
  <si>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</si>
  <si>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</si>
  <si>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</si>
  <si>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</si>
  <si>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</si>
  <si>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</si>
  <si>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</si>
  <si>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</si>
  <si>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</si>
  <si>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</si>
  <si>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</si>
  <si>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</si>
  <si>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</si>
  <si>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</si>
  <si>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</si>
  <si>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</si>
  <si>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</si>
  <si>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</si>
  <si>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</si>
  <si>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</si>
  <si>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</si>
  <si>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</si>
  <si>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</si>
  <si>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</si>
  <si>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</si>
  <si>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</si>
  <si>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</si>
  <si>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</si>
  <si>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</si>
  <si>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</si>
  <si>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</si>
  <si>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</si>
  <si>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</si>
  <si>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</si>
  <si>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</si>
  <si>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</si>
  <si>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</si>
  <si>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</si>
  <si>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</si>
  <si>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</si>
  <si>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</si>
  <si>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</si>
  <si>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</si>
  <si>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</si>
  <si>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</si>
  <si>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</si>
  <si>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</si>
  <si>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</si>
  <si>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</si>
  <si>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</si>
  <si>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</si>
  <si>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</si>
  <si>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</si>
  <si>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</si>
  <si>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</si>
  <si>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</si>
  <si>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</si>
  <si>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</si>
  <si>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</si>
  <si>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</si>
  <si>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</si>
  <si>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</si>
  <si>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</si>
  <si>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</si>
  <si>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</si>
  <si>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</si>
  <si>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</si>
  <si>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 xml:space="preserve">             3061 Köztutak üzemeltetése</t>
  </si>
  <si>
    <t>TÉR-KÖZ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</si>
  <si>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</si>
  <si>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</si>
  <si>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</si>
  <si>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</si>
  <si>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</si>
  <si>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2022. év várható terv szám</t>
  </si>
  <si>
    <t>FTC utánpótlás-nevelés, jubileumi évforduló támogatása</t>
  </si>
  <si>
    <t>Hivatalai karbantartás</t>
  </si>
  <si>
    <t>Ásványvíz beszerzés</t>
  </si>
  <si>
    <t>Mobil flotta beszerzés</t>
  </si>
  <si>
    <t>Pogácsa, virág beszerzés</t>
  </si>
  <si>
    <t>Magyar Máltai Szeretetszolgálat Egyesület-Közösségi hasznosítás</t>
  </si>
  <si>
    <t>Feladatellátási szerződés Belső-Pesti Tankerülettel</t>
  </si>
  <si>
    <t>Toronyház u. 11. nyílászáró csere</t>
  </si>
  <si>
    <t>Bakáts projekt</t>
  </si>
  <si>
    <t xml:space="preserve">             3116 Magyar Máltai Szeretetszolgálat Egyesület Közz.Haszn.</t>
  </si>
  <si>
    <t xml:space="preserve">       5033 Térfigyelő kamerák</t>
  </si>
  <si>
    <t xml:space="preserve">      4225 Napfény Óvoda felújítása</t>
  </si>
  <si>
    <t>Térfigyelő kamerák</t>
  </si>
  <si>
    <t>Feladatellátási szerz. Belső-Pesti Tankerület</t>
  </si>
  <si>
    <t>Elvonások és befizetések</t>
  </si>
  <si>
    <t>Megelőlegezett állami normatíva visszafiz.</t>
  </si>
  <si>
    <t>Magyar Máltai Szeretszolg. E. közösségi haszn.</t>
  </si>
  <si>
    <t>Közterület-felügyelet takarítás</t>
  </si>
  <si>
    <t>Közterület-felügyel.gépj.nyomk.</t>
  </si>
  <si>
    <t>Közterületüzemeltetési egyéb feladatok</t>
  </si>
  <si>
    <t>Ételliftek felújítása</t>
  </si>
  <si>
    <t xml:space="preserve">             3056 Közterületüzemeltetési egyéb feladatok</t>
  </si>
  <si>
    <t xml:space="preserve">            3214 Városfejlesztéssel kapcsolatos önkormányzati kiadások</t>
  </si>
  <si>
    <t xml:space="preserve">      4211 Csicsergő Óvoda felújítása</t>
  </si>
  <si>
    <t xml:space="preserve">             3072 Közterületi takarítóberendezés működtetése</t>
  </si>
  <si>
    <t>Ferencvárosi 65+ támogatás</t>
  </si>
  <si>
    <t>Ferencvárosi internet támogatás</t>
  </si>
  <si>
    <t>Ferencvárosi diákbérlet</t>
  </si>
  <si>
    <t>Ferencvárosi Internet támogatás</t>
  </si>
  <si>
    <t>1802 IPA visszafizetés</t>
  </si>
  <si>
    <t>Közterület-felügyelet őrzés</t>
  </si>
  <si>
    <t>Egyéb működési célú támogatások Áh-n belülről</t>
  </si>
  <si>
    <t>Egyéb felhalmozási célú támogatás Áh-n belülről</t>
  </si>
  <si>
    <t>Elvonások és  befizetések bevételei</t>
  </si>
  <si>
    <t>Általános forgalmi adó visszatérítés</t>
  </si>
  <si>
    <t xml:space="preserve">   Felújítás</t>
  </si>
  <si>
    <t>Egyéb bevételek</t>
  </si>
  <si>
    <t>Bölcsődei konyha felújítás</t>
  </si>
  <si>
    <t>Fővárosi Szabó Ervin könyvtár</t>
  </si>
  <si>
    <t>Városfejlesztéssel kapcsolatos önkormányzati kiadások (FEV IX. Zrt.</t>
  </si>
  <si>
    <t xml:space="preserve">Utcanév és tájékoztató táblák </t>
  </si>
  <si>
    <t xml:space="preserve">   TÉR-KÖZ 2018</t>
  </si>
  <si>
    <t>Közrend, közbiztonság</t>
  </si>
  <si>
    <t>Zöldfelületi kataszter, fakataszter elkészítése</t>
  </si>
  <si>
    <t>Kerékbilincs bevétele</t>
  </si>
  <si>
    <t>Kerékbilincs bevétel</t>
  </si>
  <si>
    <t>Az önkormányzat 2020. évi bevételei</t>
  </si>
  <si>
    <t>Az önkormányzat 2020. évi kiadásai</t>
  </si>
  <si>
    <t>Költségvetési szervek 2020. évi költségvetése</t>
  </si>
  <si>
    <t>A Polgármesteri Hivatal kiadásai 2020.</t>
  </si>
  <si>
    <t>Közterület-felügyelet  2020. év</t>
  </si>
  <si>
    <t xml:space="preserve">Az önkormányzat  költségvetésében szereplő 2020. évi kiadások </t>
  </si>
  <si>
    <t xml:space="preserve">Az önkormányzat  költségvetésében szereplő támogatások 2020. évi kiadásai </t>
  </si>
  <si>
    <t>2020. évi beruházási, fejlesztési kiadások</t>
  </si>
  <si>
    <t>Az önkormányzat költségvetésében szereplő 2020. évi tartalékok</t>
  </si>
  <si>
    <t>Faültetés</t>
  </si>
  <si>
    <t>Bölcsőde konyha felújítása</t>
  </si>
  <si>
    <t>Katasztrófa védelemhez kapcsolódó kiadások</t>
  </si>
  <si>
    <t>Gyermekorvosi rend., védőnöi szolg. eszközb. tám.</t>
  </si>
  <si>
    <t>Önkormányzati lakások komfortosítása</t>
  </si>
  <si>
    <t>A 4.sz. melléklet 4112 sz. költségvetési sor (lakóházfelújítás)  a táblázatban nettó értékkel szerepel.</t>
  </si>
  <si>
    <t>Kerékpáros infrastruktúra tervezés, kiépítés, fejlesztés</t>
  </si>
  <si>
    <t xml:space="preserve">Városfejlesztés, üzemeltetés </t>
  </si>
  <si>
    <t>Közbiztonság</t>
  </si>
  <si>
    <t xml:space="preserve">Városfejlesztési, Innovációs és </t>
  </si>
  <si>
    <t>Városgazdálkodási Bizottság</t>
  </si>
  <si>
    <t>(zöld udvar, zöldfal)</t>
  </si>
  <si>
    <t xml:space="preserve">Kulturális,Oktatási, Egyházügyi és </t>
  </si>
  <si>
    <t>Nemzetiségi Bizottság</t>
  </si>
  <si>
    <t xml:space="preserve">Városfejlesztési, Innovációs </t>
  </si>
  <si>
    <t>és Környezetvédelmi Bizottság</t>
  </si>
  <si>
    <t>Gazdasági és Közbeszerzési Bizottság</t>
  </si>
  <si>
    <t xml:space="preserve">Egészségügyi Szociális, Sport </t>
  </si>
  <si>
    <t>Ifjúsági és Civil Bizottság</t>
  </si>
  <si>
    <t xml:space="preserve">Kulturális, Oktatási, Egyházügyi és Nemzetiségi </t>
  </si>
  <si>
    <t>Bizottság</t>
  </si>
  <si>
    <t>és Civil Bizottság</t>
  </si>
  <si>
    <t>Egészségügyi Szociális, Sport, Ifjúsági</t>
  </si>
  <si>
    <t>Kulturális, Oktatási, Egyházügyi és Nemzetiségügyi Bizottság</t>
  </si>
  <si>
    <t>Kult.,Okt.,Egyh. És Nemz. Biz.és Egészsg.,Szoc.Sport,If.és Civ.Biz.</t>
  </si>
  <si>
    <t>Városfejl.,Innovációs és Környezetvédelmi Bizottság</t>
  </si>
  <si>
    <t>Egészségügyi Szociális, Sport Ifj. és Civil Bizottság</t>
  </si>
  <si>
    <t>Kulturális, Okt., Egyház. és Nemzetiségügyi Bizottság</t>
  </si>
  <si>
    <t>Közterületi takarítógépek beszerzése 2 db</t>
  </si>
  <si>
    <t>Kifli, túró rudi, tej beszerzés iskolák részére</t>
  </si>
  <si>
    <t>Haller park közzöséggi tervezés szerinti kiviteli terv módosítás</t>
  </si>
  <si>
    <t>Kulturális, Oktatási, Egyházügyi és Nemzetiségi Bizottság</t>
  </si>
  <si>
    <t>Az Európai Unió-s forrásokkal támogatott fejlesztések tervezett 2020. évi adatairól</t>
  </si>
  <si>
    <t>Polgármesteri és Jegyzői Kabinet (ebből 1 fő Polgármester, 1 fő Alpolgármester az Önkormányzat létszámába tartozik)</t>
  </si>
  <si>
    <t xml:space="preserve">20. </t>
  </si>
  <si>
    <t>28.</t>
  </si>
  <si>
    <t>2020. évi közvetett támogatások</t>
  </si>
  <si>
    <t xml:space="preserve">              4013 Haller par közzösségi tervezés kiviteli terv</t>
  </si>
  <si>
    <t xml:space="preserve">             4014 Játszóterek, műfüves és sportpályák, fitness eszközök, zöldf.felúj., </t>
  </si>
  <si>
    <t>Rendszeres gyermekvédelmi támogatás</t>
  </si>
  <si>
    <t xml:space="preserve">      4125 Épületek elektromos felújítás</t>
  </si>
  <si>
    <t xml:space="preserve">      4124 Önkormányzati lakások komfortosítása</t>
  </si>
  <si>
    <t>3021 Polgármesteri Hivatal Igazgatási kiadásai 27 fő</t>
  </si>
  <si>
    <t>2020. év</t>
  </si>
  <si>
    <t>Gyermekorvosi rend. eszközb. tám.</t>
  </si>
  <si>
    <t>Közösségi tervezés</t>
  </si>
  <si>
    <t xml:space="preserve"> József Attila-lakótelepi közösségi ház felújítása</t>
  </si>
  <si>
    <t>Lakóház teljes felújítás</t>
  </si>
  <si>
    <t>3147 Feladatellátási szerződés Belső-Pesti Tankerülettel</t>
  </si>
  <si>
    <t>Közterületi takarítógépek beszerzése</t>
  </si>
  <si>
    <t xml:space="preserve">              3210 Közbiztonság</t>
  </si>
  <si>
    <t>Adatvédelmi biztos</t>
  </si>
  <si>
    <t xml:space="preserve">IT- Informatika Biztonság </t>
  </si>
  <si>
    <t>2025.</t>
  </si>
  <si>
    <t xml:space="preserve"> 2020. évi előirányzat felhasználási ütemterv</t>
  </si>
  <si>
    <t>2023. év várható terv szám</t>
  </si>
  <si>
    <t>Bölcsődei konyha felújításfelújítása</t>
  </si>
  <si>
    <t>Haller park közösségi kiviteli terv</t>
  </si>
  <si>
    <t>Lakóház felújítás</t>
  </si>
  <si>
    <t>József Atttila közösségi ház felújítás</t>
  </si>
  <si>
    <t>Lakások komfortosítás</t>
  </si>
  <si>
    <t>Közterületi takarítógép beszerzs</t>
  </si>
  <si>
    <t>Fővárosi IPA visszafizetés</t>
  </si>
  <si>
    <t>Lakás és helyiség karbantartás</t>
  </si>
  <si>
    <t>Deák Alapítvány</t>
  </si>
  <si>
    <t>Fogyatékos személyek nappali ellátása (gyermekek) Újbuda Önkrom.</t>
  </si>
  <si>
    <t xml:space="preserve">      3350 Fogyatékos személyek nappali ellátása gyermekek Újbuda Önk.</t>
  </si>
  <si>
    <t>Fogyatékos személyek nappali ellátása gyerekek Újbuda Önk.</t>
  </si>
  <si>
    <t>2. sz. melléklet szerinti iintézmények bérintézkedés</t>
  </si>
  <si>
    <t>Tervezési díjak TÉR-KÖZ</t>
  </si>
  <si>
    <t>Munkásszálló kialakítás</t>
  </si>
  <si>
    <t xml:space="preserve">Lakóépületek elektromos hálózat felújítása </t>
  </si>
  <si>
    <t>2020. évi felújítások (felújítási kiadások és egyéb felhalmozási célú kiadások)</t>
  </si>
  <si>
    <t>2020. évi Polgármesteri Hivatal és Intézményi engedélyezett létszámadatok</t>
  </si>
  <si>
    <t>Az  5024 sorból 45.518 eFt a táblázatban nettó értékkel szerepel</t>
  </si>
  <si>
    <t>IX. kerületi Rendőrkapitányság támogatása</t>
  </si>
  <si>
    <t>IX. ker. Rendőrségi támogatás</t>
  </si>
  <si>
    <t>Rendelők eszközbesz.</t>
  </si>
  <si>
    <t>IX. ker. Rendőrkapitányságtámogatása</t>
  </si>
  <si>
    <t>FIÜK munkásszálló üzemeltetés</t>
  </si>
  <si>
    <t>1843 Áh-n belüli megelőlegezések visszaf.</t>
  </si>
  <si>
    <t>Faültetés támogatása</t>
  </si>
  <si>
    <t>Faültetés támogatás</t>
  </si>
  <si>
    <t>Kátyuzógép</t>
  </si>
  <si>
    <t xml:space="preserve">             5017 Kátyuzógép vásárlás</t>
  </si>
  <si>
    <t>Kátyuzógép vásárlás</t>
  </si>
  <si>
    <t>Iratrendezés, levéltárba adás</t>
  </si>
  <si>
    <t>Hivatali parkolás bérlés</t>
  </si>
  <si>
    <t>Nagyvásárlói keretszerződés (praktiker)</t>
  </si>
  <si>
    <t>Vagyon és felelősség biztosítás</t>
  </si>
  <si>
    <t>Takarítás</t>
  </si>
  <si>
    <t>Kulturális közszolgáltatási szerződések</t>
  </si>
  <si>
    <t>Kifli, túró rudi beszerzés</t>
  </si>
  <si>
    <t>Újbuda Önk. Fogyatékos napp.ell.</t>
  </si>
  <si>
    <t>Moravcsik Alapítvány</t>
  </si>
  <si>
    <t>Felhasználást és beszámolást koordináló</t>
  </si>
  <si>
    <t>(beszámolás)</t>
  </si>
  <si>
    <t>Városgazdálkodási Bizottság (beszámolás)</t>
  </si>
  <si>
    <t>Felhasználást és beszámolást  koordináló</t>
  </si>
  <si>
    <t>Városfejlesztési, Innovációs és Környezetvéd.</t>
  </si>
  <si>
    <t>Bizottság (beszámolás)</t>
  </si>
  <si>
    <t>VIK Bizottság (beszámolás)</t>
  </si>
  <si>
    <t xml:space="preserve">VIK Bizottság </t>
  </si>
  <si>
    <t>ESZSIC Bizottság (beszámolás)</t>
  </si>
  <si>
    <t>Egészségügyi Szociális, Sport Ifj. és Civil Bizottság (beszámolás)</t>
  </si>
  <si>
    <t>ESZSIC Bizottság</t>
  </si>
  <si>
    <t>KOEN Bizottság (beszámolás)</t>
  </si>
  <si>
    <t>KOEN Bizottság (beszámolás br. 100 eFt alatt)</t>
  </si>
  <si>
    <t>KOEN Bizottság</t>
  </si>
  <si>
    <t>KOEN Bizottság (br. 100 eFt felett)</t>
  </si>
  <si>
    <t>VIK Bizottság és KOEN Bizottság</t>
  </si>
  <si>
    <t>Gazdasági és Közbeszerzési Bizottság (beszámolás)</t>
  </si>
  <si>
    <t>Városgazdálkodási Biz.,VIK Biz.,Gazdas.és Közb.B (beszámolás)</t>
  </si>
  <si>
    <t>Városgazdálkodási Biz., ESZSIC Biz., Gazd.és Közb.Biz. (beszámolás)</t>
  </si>
  <si>
    <t>József Attila Városrészi Önk.</t>
  </si>
  <si>
    <t>VIK Bizottság, József A. Városrészi Önk.</t>
  </si>
  <si>
    <t>Városgazdálkodási Biz., József A. Városrészi Önk.</t>
  </si>
  <si>
    <t>József Attila Városrészi Önkormányzat (beszámolás)</t>
  </si>
  <si>
    <t>Városgazd. Biz., József A. Városr. Önk. (beszámolás)</t>
  </si>
  <si>
    <t>VIK Bizottság, József A. Városr. Önk. (beszámolás)</t>
  </si>
  <si>
    <t>Gazd. és Közb. Biz.,József A. Városr.Önk. (beszámolás)</t>
  </si>
  <si>
    <t>VIK Bizottság, József A. Városr.Önk. (beszámolás)</t>
  </si>
  <si>
    <t>VIK Bizottság, József Attila Városrészi Önk.</t>
  </si>
  <si>
    <t>2020. évi  előirányzat 4/2020.</t>
  </si>
  <si>
    <t>2020. évi előirányzat 4/2020.</t>
  </si>
  <si>
    <t>Felhasználástés beszámolást koordináló</t>
  </si>
  <si>
    <t>Vállalkozás ösztönző progrm</t>
  </si>
  <si>
    <t>Veszélyhelyzethet kapcsolódó kiadások</t>
  </si>
  <si>
    <t>Veszélyhelyzeti támogatás</t>
  </si>
  <si>
    <t>6201-6215</t>
  </si>
  <si>
    <t>3303 Veszélyhelyzethez  kapcsolódó  kiadások</t>
  </si>
  <si>
    <t>Egyéb céltartalék</t>
  </si>
  <si>
    <t>Veszélyhelyzettel kapcsolatos kiadások</t>
  </si>
  <si>
    <t>ebből: Működési célú céltartalék</t>
  </si>
  <si>
    <t xml:space="preserve">           Intézményvezetői jutalom</t>
  </si>
  <si>
    <t xml:space="preserve">           Közösségi tervezés</t>
  </si>
  <si>
    <t xml:space="preserve">           Közterületüzemeltetési egyéb feladatok</t>
  </si>
  <si>
    <t xml:space="preserve">           Ingatlanokkal kapcsolatos egyéb feladatok</t>
  </si>
  <si>
    <t xml:space="preserve">           Lakás és helyiség  karbantartás</t>
  </si>
  <si>
    <t xml:space="preserve">           KF - rehabilitáció járulékos költségek</t>
  </si>
  <si>
    <t xml:space="preserve">           Bérlakás és egyéb ingatlan elidegenítése</t>
  </si>
  <si>
    <t xml:space="preserve">           FEV IX. Zrt.</t>
  </si>
  <si>
    <t xml:space="preserve">           FESZOFE Nonprofit Kft</t>
  </si>
  <si>
    <t xml:space="preserve">          Önkormányzati lakások komfortosítása</t>
  </si>
  <si>
    <t xml:space="preserve">          Környezetvédelem</t>
  </si>
  <si>
    <t xml:space="preserve">          Sport és szabadidős rendezvények</t>
  </si>
  <si>
    <t>ebből: Felhalmozási célú céltartalék</t>
  </si>
  <si>
    <t xml:space="preserve">         József Attila-lakótelepi közösségi ház felújítása</t>
  </si>
  <si>
    <t xml:space="preserve">          Lakóház teljes felújítás</t>
  </si>
  <si>
    <t xml:space="preserve">          Társasház felújításo pályázat</t>
  </si>
  <si>
    <t xml:space="preserve">          Veszélyelhárítás</t>
  </si>
  <si>
    <t xml:space="preserve">          Óvodák, oktatási, szociális és kulturális intézmények fel.</t>
  </si>
  <si>
    <t xml:space="preserve">          Utcanév és tájékoztató táblák</t>
  </si>
  <si>
    <t xml:space="preserve">          Zöldfelületi kataszter, fakateszter elkészítése</t>
  </si>
  <si>
    <t xml:space="preserve">             Működési célú cél tartalék 6. sz. melléklet szerint</t>
  </si>
  <si>
    <r>
      <t>Felhalmozási célú céltartalék</t>
    </r>
    <r>
      <rPr>
        <i/>
        <sz val="9"/>
        <rFont val="Times New Roman"/>
        <family val="1"/>
      </rPr>
      <t xml:space="preserve"> 6. sz. melléklet szerint</t>
    </r>
  </si>
  <si>
    <t>2020. évi  előirányzat 12/2020.</t>
  </si>
  <si>
    <t>2020. évi előirányzat 12/2020.</t>
  </si>
  <si>
    <t>2020. évi előirányzat   12/2020.</t>
  </si>
  <si>
    <t xml:space="preserve">   Felújítási kiadások</t>
  </si>
  <si>
    <t>Közterületi takarító berendezés működtetése</t>
  </si>
  <si>
    <t>Járdák felújítása</t>
  </si>
  <si>
    <t>Utak javítása</t>
  </si>
  <si>
    <t>Napfény Óvoda felújítás - dologi kiadások</t>
  </si>
  <si>
    <t>MÁV lakótelep víz, közmű</t>
  </si>
  <si>
    <t xml:space="preserve">Közvilágítás kiépítése MÁV </t>
  </si>
  <si>
    <t xml:space="preserve">             4017 Járdák javítása</t>
  </si>
  <si>
    <t xml:space="preserve">             4018 Utak javítása</t>
  </si>
  <si>
    <t xml:space="preserve">       4230 Ételliftek felújítása</t>
  </si>
  <si>
    <t xml:space="preserve">      5027 PH épületeiben beruházási kiadások</t>
  </si>
  <si>
    <t xml:space="preserve">             5037 Közvilágítás kiépítése MÁV lakótelep</t>
  </si>
  <si>
    <t>Közművelődési érdekeltségnövelő pályázat FMK</t>
  </si>
  <si>
    <t>Digitális tanterem kialakítás</t>
  </si>
  <si>
    <t xml:space="preserve">           Végre Önnek is van esélye felújítani otthonát</t>
  </si>
  <si>
    <t xml:space="preserve">           IX. Kerületi Rendőrkapitányság támogatása</t>
  </si>
  <si>
    <t xml:space="preserve">           Civil szervezetek támogatása</t>
  </si>
  <si>
    <t xml:space="preserve">           Egyházak támogatása</t>
  </si>
  <si>
    <t xml:space="preserve">           Kulturális tevékenység támogatása</t>
  </si>
  <si>
    <t xml:space="preserve">            Játszóterek, műfüv. és sportp., fitness eszközök, zöldf. felúj., </t>
  </si>
  <si>
    <t>1806 Elvonások és befizetések</t>
  </si>
  <si>
    <t>Digitális tanterem kialakítása</t>
  </si>
  <si>
    <t>Napfény Óvoda felújítás</t>
  </si>
  <si>
    <t>Utak felújítása</t>
  </si>
  <si>
    <t>Közvilágítás kiépítése MÁV</t>
  </si>
  <si>
    <t>Digitális tanterem</t>
  </si>
  <si>
    <t>Közművelősé fejlesztés</t>
  </si>
  <si>
    <t>Közterületi takarítógép működtetése</t>
  </si>
  <si>
    <t>"Krízis Alap"-ból kifizetés</t>
  </si>
  <si>
    <t>"Krízis Alap" bevétel</t>
  </si>
  <si>
    <t>Krízis Alapból történő kifizetések</t>
  </si>
  <si>
    <t>ÁFA szakértői díj</t>
  </si>
  <si>
    <t>2020. évi eredeti előirányzat</t>
  </si>
  <si>
    <t>Munkavédelem, tűzvédelem</t>
  </si>
  <si>
    <t>Környezetvédelmi bírság</t>
  </si>
  <si>
    <t>2020. évi  előirányzat 20/2020.</t>
  </si>
  <si>
    <t>2020. évi előirányzat 20/2020.</t>
  </si>
  <si>
    <t>2020. évi előirányzat  20/2020.</t>
  </si>
  <si>
    <t>2020. évi előirányzat   20/2020.</t>
  </si>
  <si>
    <t>Index        6./5.</t>
  </si>
  <si>
    <t>Tisztító és takarítószerek beszerzése (FIÜK)</t>
  </si>
  <si>
    <t>FIÜK Munkásszálló üzemeltetés, nyári táboroztatás</t>
  </si>
  <si>
    <t>Concerto Akadémia Kft.</t>
  </si>
  <si>
    <t>MÁV Szimfónikus Zenekar</t>
  </si>
  <si>
    <t>2020. évi  előirányzat 24/2020.</t>
  </si>
  <si>
    <t>2020. évi előirányzat 24/2020.</t>
  </si>
  <si>
    <t>2020. évi előirányzat  24/2020.</t>
  </si>
  <si>
    <t>2020. évi előirányzat   24/2020.</t>
  </si>
  <si>
    <t>2020. évi  előirányzat /2020.</t>
  </si>
  <si>
    <t>2020. évi előirányzat /2020.</t>
  </si>
  <si>
    <t>Index     7./6.</t>
  </si>
  <si>
    <t>Index        7./6.</t>
  </si>
  <si>
    <t>Index       7./6.</t>
  </si>
  <si>
    <t>Index    7./6.</t>
  </si>
  <si>
    <t>2020. évi előirányzat  /2020.</t>
  </si>
  <si>
    <t>Index           7./6.</t>
  </si>
  <si>
    <t>Index   7./6.</t>
  </si>
  <si>
    <t>2020. évi előirányzat   /2020.</t>
  </si>
  <si>
    <t>Engedélye-zett létszám összesen 2020. év       /2020.</t>
  </si>
  <si>
    <t>Szakmai létszám</t>
  </si>
  <si>
    <t>Egyéb létszám</t>
  </si>
  <si>
    <t>Egyéb felhasználási célú támogatások bevételei Áh-n belülről</t>
  </si>
  <si>
    <t>Tárgyévi finanszírozási megelőlegezések</t>
  </si>
  <si>
    <t>2020. évi előirányzat     ... /2020.</t>
  </si>
  <si>
    <t>2020. évi előirányzat     .../2020.</t>
  </si>
  <si>
    <t>2020. évi előirányzat  .../2020.</t>
  </si>
  <si>
    <t>1842 Tárgyévi finanszírozás megelőlegezésének visszaf.</t>
  </si>
  <si>
    <t>FESZ épületének felújítása</t>
  </si>
  <si>
    <t>FESZ éületének felújítása</t>
  </si>
  <si>
    <t>Hitelfel-  vétel, kölcsön visszat. , tévi megel. Visszaf.</t>
  </si>
  <si>
    <t>FESZ épület felújítás</t>
  </si>
  <si>
    <t>Tárgyévi finanszírozás megelőlegezás</t>
  </si>
  <si>
    <t>Tárgyévi finanszírozás megelőlegezés</t>
  </si>
  <si>
    <t xml:space="preserve"> …../2020. előirányzat</t>
  </si>
  <si>
    <t xml:space="preserve">   Egyéb felhalmozási célú kiadások (Államháztartáson kívülre)</t>
  </si>
  <si>
    <t xml:space="preserve">       ebből államháztartáson belüli</t>
  </si>
  <si>
    <t xml:space="preserve">                 államháztartáson kívüli</t>
  </si>
  <si>
    <t>Rendszerkarbantartási szolgáltatás</t>
  </si>
  <si>
    <t>Ip. és ker. mod. és hagy. Ny.m.üz.</t>
  </si>
  <si>
    <t>iForm úrlapok</t>
  </si>
  <si>
    <t>Bérelt vonal szolg. Bakáts tér 14.-Bakáts tér1.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</si>
</sst>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3" formatCode="_-* #,##0.00\ _F_t_-;\-* #,##0.00\ _F_t_-;_-* &quot;-&quot;??\ _F_t_-;_-@_-"/>
    <numFmt numFmtId="164" formatCode="0.0%"/>
  </numFmts>
  <fonts count="67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Arial CE"/>
      <family val="2"/>
    </font>
    <font>
      <i/>
      <sz val="10"/>
      <name val="Times New Roman"/>
      <family val="1"/>
    </font>
    <font>
      <sz val="10"/>
      <color rgb="FF000000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4" borderId="7" applyNumberFormat="0" applyFont="0" applyAlignment="0" applyProtection="0"/>
    <xf numFmtId="0" fontId="23" fillId="11" borderId="0" applyNumberFormat="0" applyBorder="0" applyAlignment="0" applyProtection="0"/>
    <xf numFmtId="0" fontId="24" fillId="1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1" applyNumberFormat="0" applyAlignment="0" applyProtection="0"/>
    <xf numFmtId="9" fontId="0" fillId="0" borderId="0" applyFont="0" applyFill="0" applyBorder="0" applyAlignment="0" applyProtection="0"/>
  </cellStyleXfs>
  <cellXfs count="1621">
    <xf numFmtId="0" fontId="0" fillId="0" borderId="0" xfId="0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/>
    <xf numFmtId="3" fontId="3" fillId="0" borderId="12" xfId="0" applyNumberFormat="1" applyFont="1" applyBorder="1"/>
    <xf numFmtId="3" fontId="3" fillId="0" borderId="11" xfId="0" applyNumberFormat="1" applyFont="1" applyBorder="1"/>
    <xf numFmtId="3" fontId="2" fillId="0" borderId="11" xfId="0" applyNumberFormat="1" applyFont="1" applyBorder="1"/>
    <xf numFmtId="0" fontId="0" fillId="0" borderId="0" xfId="0" applyFont="1"/>
    <xf numFmtId="3" fontId="0" fillId="0" borderId="0" xfId="0" applyNumberFormat="1" applyFont="1"/>
    <xf numFmtId="0" fontId="2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/>
    <xf numFmtId="0" fontId="2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3" fontId="3" fillId="0" borderId="0" xfId="0" applyNumberFormat="1" applyFont="1"/>
    <xf numFmtId="3" fontId="2" fillId="0" borderId="13" xfId="0" applyNumberFormat="1" applyFont="1" applyBorder="1"/>
    <xf numFmtId="3" fontId="3" fillId="0" borderId="0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/>
    <xf numFmtId="3" fontId="3" fillId="0" borderId="10" xfId="0" applyNumberFormat="1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3" fontId="4" fillId="0" borderId="11" xfId="0" applyNumberFormat="1" applyFont="1" applyBorder="1"/>
    <xf numFmtId="3" fontId="4" fillId="0" borderId="0" xfId="0" applyNumberFormat="1" applyFont="1"/>
    <xf numFmtId="3" fontId="6" fillId="0" borderId="15" xfId="0" applyNumberFormat="1" applyFont="1" applyBorder="1"/>
    <xf numFmtId="3" fontId="5" fillId="0" borderId="0" xfId="0" applyNumberFormat="1" applyFont="1"/>
    <xf numFmtId="3" fontId="6" fillId="0" borderId="14" xfId="0" applyNumberFormat="1" applyFont="1" applyBorder="1"/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0" fillId="0" borderId="13" xfId="0" applyFont="1" applyBorder="1"/>
    <xf numFmtId="0" fontId="4" fillId="0" borderId="17" xfId="0" applyFont="1" applyBorder="1" applyAlignment="1">
      <alignment horizontal="centerContinuous" vertical="top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/>
    <xf numFmtId="3" fontId="0" fillId="0" borderId="0" xfId="0" applyNumberFormat="1"/>
    <xf numFmtId="3" fontId="0" fillId="0" borderId="0" xfId="0" applyNumberFormat="1" applyAlignment="1">
      <alignment/>
    </xf>
    <xf numFmtId="3" fontId="2" fillId="0" borderId="18" xfId="0" applyNumberFormat="1" applyFont="1" applyBorder="1"/>
    <xf numFmtId="0" fontId="2" fillId="0" borderId="15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Border="1"/>
    <xf numFmtId="0" fontId="2" fillId="0" borderId="0" xfId="0" applyFont="1" applyBorder="1"/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2" xfId="0" applyNumberFormat="1" applyFont="1" applyBorder="1"/>
    <xf numFmtId="3" fontId="2" fillId="0" borderId="11" xfId="0" applyNumberFormat="1" applyFont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6" fillId="0" borderId="11" xfId="0" applyNumberFormat="1" applyFont="1" applyBorder="1"/>
    <xf numFmtId="0" fontId="7" fillId="0" borderId="10" xfId="0" applyFont="1" applyBorder="1"/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left"/>
    </xf>
    <xf numFmtId="0" fontId="3" fillId="0" borderId="10" xfId="0" applyFont="1" applyBorder="1"/>
    <xf numFmtId="0" fontId="4" fillId="0" borderId="16" xfId="0" applyFont="1" applyBorder="1" applyAlignment="1">
      <alignment horizontal="centerContinuous" vertical="top"/>
    </xf>
    <xf numFmtId="3" fontId="4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7" fillId="0" borderId="10" xfId="0" applyNumberFormat="1" applyFont="1" applyBorder="1"/>
    <xf numFmtId="3" fontId="2" fillId="0" borderId="0" xfId="0" applyNumberFormat="1" applyFont="1" applyAlignment="1">
      <alignment horizontal="center"/>
    </xf>
    <xf numFmtId="3" fontId="6" fillId="0" borderId="10" xfId="0" applyNumberFormat="1" applyFont="1" applyBorder="1"/>
    <xf numFmtId="3" fontId="6" fillId="0" borderId="11" xfId="0" applyNumberFormat="1" applyFont="1" applyBorder="1"/>
    <xf numFmtId="3" fontId="2" fillId="0" borderId="21" xfId="0" applyNumberFormat="1" applyFont="1" applyBorder="1"/>
    <xf numFmtId="3" fontId="2" fillId="0" borderId="15" xfId="0" applyNumberFormat="1" applyFont="1" applyBorder="1"/>
    <xf numFmtId="3" fontId="4" fillId="0" borderId="14" xfId="0" applyNumberFormat="1" applyFont="1" applyBorder="1"/>
    <xf numFmtId="3" fontId="3" fillId="0" borderId="21" xfId="0" applyNumberFormat="1" applyFont="1" applyBorder="1"/>
    <xf numFmtId="3" fontId="6" fillId="0" borderId="12" xfId="0" applyNumberFormat="1" applyFont="1" applyBorder="1"/>
    <xf numFmtId="0" fontId="1" fillId="0" borderId="0" xfId="58">
      <alignment/>
      <protection/>
    </xf>
    <xf numFmtId="0" fontId="3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1" xfId="0" applyNumberFormat="1" applyFont="1" applyBorder="1"/>
    <xf numFmtId="0" fontId="2" fillId="0" borderId="13" xfId="0" applyFont="1" applyBorder="1" applyAlignment="1">
      <alignment horizontal="center" vertical="top"/>
    </xf>
    <xf numFmtId="0" fontId="2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3" fillId="0" borderId="0" xfId="59" applyFont="1" applyAlignment="1">
      <alignment/>
      <protection/>
    </xf>
    <xf numFmtId="0" fontId="4" fillId="0" borderId="0" xfId="59" applyFont="1" applyBorder="1" applyAlignment="1">
      <alignment horizontal="right"/>
      <protection/>
    </xf>
    <xf numFmtId="0" fontId="2" fillId="0" borderId="0" xfId="59" applyFont="1" applyAlignment="1">
      <alignment/>
      <protection/>
    </xf>
    <xf numFmtId="3" fontId="2" fillId="0" borderId="12" xfId="59" applyNumberFormat="1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3" fontId="0" fillId="0" borderId="12" xfId="59" applyNumberFormat="1" applyFont="1" applyBorder="1" applyAlignment="1">
      <alignment/>
      <protection/>
    </xf>
    <xf numFmtId="0" fontId="4" fillId="0" borderId="12" xfId="59" applyFont="1" applyBorder="1" applyAlignment="1">
      <alignment/>
      <protection/>
    </xf>
    <xf numFmtId="0" fontId="0" fillId="0" borderId="0" xfId="59" applyFont="1" applyAlignment="1">
      <alignment/>
      <protection/>
    </xf>
    <xf numFmtId="3" fontId="3" fillId="0" borderId="12" xfId="59" applyNumberFormat="1" applyFont="1" applyBorder="1" applyAlignment="1">
      <alignment/>
      <protection/>
    </xf>
    <xf numFmtId="0" fontId="3" fillId="0" borderId="12" xfId="59" applyFont="1" applyBorder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0" fontId="2" fillId="0" borderId="11" xfId="59" applyFont="1" applyBorder="1" applyAlignment="1">
      <alignment/>
      <protection/>
    </xf>
    <xf numFmtId="3" fontId="2" fillId="0" borderId="11" xfId="59" applyNumberFormat="1" applyFont="1" applyBorder="1" applyAlignment="1">
      <alignment/>
      <protection/>
    </xf>
    <xf numFmtId="0" fontId="2" fillId="0" borderId="11" xfId="59" applyFont="1" applyBorder="1" applyAlignment="1">
      <alignment/>
      <protection/>
    </xf>
    <xf numFmtId="0" fontId="3" fillId="0" borderId="11" xfId="59" applyFont="1" applyBorder="1" applyAlignment="1">
      <alignment/>
      <protection/>
    </xf>
    <xf numFmtId="0" fontId="3" fillId="0" borderId="12" xfId="59" applyFont="1" applyBorder="1" applyAlignment="1">
      <alignment/>
      <protection/>
    </xf>
    <xf numFmtId="0" fontId="2" fillId="0" borderId="15" xfId="59" applyFont="1" applyBorder="1" applyAlignment="1">
      <alignment/>
      <protection/>
    </xf>
    <xf numFmtId="3" fontId="3" fillId="0" borderId="12" xfId="59" applyNumberFormat="1" applyFont="1" applyBorder="1" applyAlignment="1">
      <alignment/>
      <protection/>
    </xf>
    <xf numFmtId="3" fontId="3" fillId="0" borderId="11" xfId="59" applyNumberFormat="1" applyFont="1" applyBorder="1" applyAlignment="1">
      <alignment/>
      <protection/>
    </xf>
    <xf numFmtId="0" fontId="3" fillId="0" borderId="11" xfId="59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0" fontId="3" fillId="0" borderId="10" xfId="59" applyFont="1" applyBorder="1" applyAlignment="1">
      <alignment/>
      <protection/>
    </xf>
    <xf numFmtId="3" fontId="3" fillId="0" borderId="21" xfId="59" applyNumberFormat="1" applyFont="1" applyBorder="1" applyAlignment="1">
      <alignment/>
      <protection/>
    </xf>
    <xf numFmtId="0" fontId="3" fillId="0" borderId="21" xfId="59" applyFont="1" applyBorder="1" applyAlignment="1">
      <alignment/>
      <protection/>
    </xf>
    <xf numFmtId="0" fontId="2" fillId="0" borderId="15" xfId="59" applyFont="1" applyBorder="1" applyAlignment="1">
      <alignment/>
      <protection/>
    </xf>
    <xf numFmtId="3" fontId="2" fillId="0" borderId="15" xfId="59" applyNumberFormat="1" applyFont="1" applyBorder="1" applyAlignment="1">
      <alignment/>
      <protection/>
    </xf>
    <xf numFmtId="0" fontId="2" fillId="0" borderId="13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4" fillId="0" borderId="15" xfId="59" applyFont="1" applyBorder="1" applyAlignment="1">
      <alignment/>
      <protection/>
    </xf>
    <xf numFmtId="3" fontId="2" fillId="0" borderId="10" xfId="59" applyNumberFormat="1" applyFont="1" applyBorder="1" applyAlignment="1">
      <alignment/>
      <protection/>
    </xf>
    <xf numFmtId="3" fontId="3" fillId="0" borderId="18" xfId="59" applyNumberFormat="1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3" fontId="2" fillId="0" borderId="18" xfId="59" applyNumberFormat="1" applyFont="1" applyBorder="1" applyAlignment="1">
      <alignment/>
      <protection/>
    </xf>
    <xf numFmtId="3" fontId="3" fillId="0" borderId="14" xfId="59" applyNumberFormat="1" applyFont="1" applyBorder="1" applyAlignment="1">
      <alignment/>
      <protection/>
    </xf>
    <xf numFmtId="3" fontId="2" fillId="0" borderId="14" xfId="59" applyNumberFormat="1" applyFont="1" applyBorder="1" applyAlignment="1">
      <alignment/>
      <protection/>
    </xf>
    <xf numFmtId="3" fontId="3" fillId="0" borderId="15" xfId="59" applyNumberFormat="1" applyFont="1" applyBorder="1" applyAlignment="1">
      <alignment/>
      <protection/>
    </xf>
    <xf numFmtId="3" fontId="2" fillId="0" borderId="21" xfId="59" applyNumberFormat="1" applyFont="1" applyBorder="1" applyAlignment="1">
      <alignment/>
      <protection/>
    </xf>
    <xf numFmtId="3" fontId="4" fillId="0" borderId="10" xfId="59" applyNumberFormat="1" applyFont="1" applyBorder="1" applyAlignment="1">
      <alignment horizontal="right"/>
      <protection/>
    </xf>
    <xf numFmtId="0" fontId="4" fillId="0" borderId="0" xfId="59" applyFont="1" applyAlignment="1">
      <alignment/>
      <protection/>
    </xf>
    <xf numFmtId="3" fontId="4" fillId="0" borderId="12" xfId="59" applyNumberFormat="1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3" fontId="3" fillId="0" borderId="0" xfId="59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2" fillId="0" borderId="10" xfId="59" applyFont="1" applyBorder="1" applyAlignment="1">
      <alignment/>
      <protection/>
    </xf>
    <xf numFmtId="0" fontId="33" fillId="0" borderId="0" xfId="58" applyFont="1">
      <alignment/>
      <protection/>
    </xf>
    <xf numFmtId="0" fontId="7" fillId="0" borderId="0" xfId="58" applyFont="1">
      <alignment/>
      <protection/>
    </xf>
    <xf numFmtId="0" fontId="35" fillId="0" borderId="16" xfId="58" applyFont="1" applyBorder="1">
      <alignment/>
      <protection/>
    </xf>
    <xf numFmtId="0" fontId="35" fillId="0" borderId="22" xfId="58" applyFont="1" applyBorder="1">
      <alignment/>
      <protection/>
    </xf>
    <xf numFmtId="0" fontId="35" fillId="0" borderId="23" xfId="58" applyFont="1" applyBorder="1">
      <alignment/>
      <protection/>
    </xf>
    <xf numFmtId="0" fontId="35" fillId="0" borderId="20" xfId="58" applyFont="1" applyBorder="1">
      <alignment/>
      <protection/>
    </xf>
    <xf numFmtId="0" fontId="35" fillId="0" borderId="24" xfId="58" applyFont="1" applyBorder="1">
      <alignment/>
      <protection/>
    </xf>
    <xf numFmtId="0" fontId="34" fillId="0" borderId="23" xfId="58" applyFont="1" applyBorder="1">
      <alignment/>
      <protection/>
    </xf>
    <xf numFmtId="3" fontId="35" fillId="0" borderId="12" xfId="58" applyNumberFormat="1" applyFont="1" applyBorder="1">
      <alignment/>
      <protection/>
    </xf>
    <xf numFmtId="3" fontId="34" fillId="0" borderId="25" xfId="58" applyNumberFormat="1" applyFont="1" applyBorder="1">
      <alignment/>
      <protection/>
    </xf>
    <xf numFmtId="3" fontId="35" fillId="0" borderId="24" xfId="58" applyNumberFormat="1" applyFont="1" applyBorder="1">
      <alignment/>
      <protection/>
    </xf>
    <xf numFmtId="3" fontId="4" fillId="0" borderId="26" xfId="0" applyNumberFormat="1" applyFont="1" applyBorder="1"/>
    <xf numFmtId="3" fontId="3" fillId="0" borderId="21" xfId="0" applyNumberFormat="1" applyFont="1" applyBorder="1"/>
    <xf numFmtId="3" fontId="4" fillId="0" borderId="15" xfId="0" applyNumberFormat="1" applyFont="1" applyBorder="1" applyAlignment="1">
      <alignment vertical="center"/>
    </xf>
    <xf numFmtId="0" fontId="34" fillId="0" borderId="11" xfId="58" applyFont="1" applyBorder="1">
      <alignment/>
      <protection/>
    </xf>
    <xf numFmtId="3" fontId="35" fillId="0" borderId="11" xfId="58" applyNumberFormat="1" applyFont="1" applyBorder="1">
      <alignment/>
      <protection/>
    </xf>
    <xf numFmtId="0" fontId="4" fillId="0" borderId="10" xfId="59" applyFont="1" applyBorder="1" applyAlignment="1">
      <alignment/>
      <protection/>
    </xf>
    <xf numFmtId="0" fontId="34" fillId="0" borderId="27" xfId="58" applyFont="1" applyBorder="1">
      <alignment/>
      <protection/>
    </xf>
    <xf numFmtId="3" fontId="34" fillId="0" borderId="23" xfId="0" applyNumberFormat="1" applyFont="1" applyBorder="1"/>
    <xf numFmtId="3" fontId="3" fillId="0" borderId="23" xfId="0" applyNumberFormat="1" applyFont="1" applyBorder="1"/>
    <xf numFmtId="0" fontId="32" fillId="0" borderId="25" xfId="58" applyFont="1" applyBorder="1" applyAlignment="1">
      <alignment vertical="center"/>
      <protection/>
    </xf>
    <xf numFmtId="3" fontId="32" fillId="0" borderId="25" xfId="58" applyNumberFormat="1" applyFont="1" applyBorder="1" applyAlignment="1">
      <alignment vertical="center"/>
      <protection/>
    </xf>
    <xf numFmtId="0" fontId="32" fillId="0" borderId="22" xfId="58" applyFont="1" applyBorder="1" applyAlignment="1">
      <alignment vertical="center"/>
      <protection/>
    </xf>
    <xf numFmtId="3" fontId="32" fillId="0" borderId="28" xfId="58" applyNumberFormat="1" applyFont="1" applyBorder="1" applyAlignment="1">
      <alignment vertical="center"/>
      <protection/>
    </xf>
    <xf numFmtId="0" fontId="32" fillId="0" borderId="29" xfId="58" applyFont="1" applyBorder="1" applyAlignment="1">
      <alignment vertical="center"/>
      <protection/>
    </xf>
    <xf numFmtId="0" fontId="4" fillId="0" borderId="15" xfId="59" applyFont="1" applyBorder="1" applyAlignment="1">
      <alignment vertical="center"/>
      <protection/>
    </xf>
    <xf numFmtId="0" fontId="9" fillId="0" borderId="14" xfId="59" applyFont="1" applyBorder="1" applyAlignment="1">
      <alignment vertical="center"/>
      <protection/>
    </xf>
    <xf numFmtId="0" fontId="9" fillId="0" borderId="15" xfId="59" applyFont="1" applyBorder="1" applyAlignment="1">
      <alignment/>
      <protection/>
    </xf>
    <xf numFmtId="3" fontId="2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3" fillId="0" borderId="12" xfId="0" applyNumberFormat="1" applyFont="1" applyFill="1" applyBorder="1"/>
    <xf numFmtId="3" fontId="2" fillId="0" borderId="18" xfId="0" applyNumberFormat="1" applyFont="1" applyBorder="1"/>
    <xf numFmtId="3" fontId="38" fillId="0" borderId="14" xfId="0" applyNumberFormat="1" applyFont="1" applyBorder="1" applyAlignment="1">
      <alignment vertical="center"/>
    </xf>
    <xf numFmtId="3" fontId="3" fillId="0" borderId="23" xfId="59" applyNumberFormat="1" applyFont="1" applyBorder="1" applyAlignment="1">
      <alignment/>
      <protection/>
    </xf>
    <xf numFmtId="0" fontId="0" fillId="0" borderId="12" xfId="59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0" fontId="2" fillId="0" borderId="21" xfId="59" applyFont="1" applyBorder="1" applyAlignment="1">
      <alignment/>
      <protection/>
    </xf>
    <xf numFmtId="9" fontId="2" fillId="0" borderId="12" xfId="0" applyNumberFormat="1" applyFont="1" applyBorder="1"/>
    <xf numFmtId="0" fontId="11" fillId="0" borderId="19" xfId="58" applyFont="1" applyBorder="1" applyAlignment="1">
      <alignment horizontal="center" vertical="center"/>
      <protection/>
    </xf>
    <xf numFmtId="0" fontId="5" fillId="0" borderId="10" xfId="0" applyFont="1" applyBorder="1"/>
    <xf numFmtId="3" fontId="5" fillId="0" borderId="21" xfId="0" applyNumberFormat="1" applyFont="1" applyBorder="1"/>
    <xf numFmtId="0" fontId="31" fillId="0" borderId="28" xfId="58" applyFont="1" applyBorder="1" applyAlignment="1">
      <alignment vertical="center"/>
      <protection/>
    </xf>
    <xf numFmtId="0" fontId="7" fillId="0" borderId="12" xfId="59" applyFont="1" applyBorder="1" applyAlignment="1">
      <alignment/>
      <protection/>
    </xf>
    <xf numFmtId="0" fontId="35" fillId="0" borderId="11" xfId="59" applyFont="1" applyBorder="1" applyAlignment="1">
      <alignment/>
      <protection/>
    </xf>
    <xf numFmtId="3" fontId="4" fillId="0" borderId="10" xfId="0" applyNumberFormat="1" applyFont="1" applyBorder="1"/>
    <xf numFmtId="0" fontId="4" fillId="0" borderId="18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8" xfId="59" applyFont="1" applyBorder="1" applyAlignment="1">
      <alignment/>
      <protection/>
    </xf>
    <xf numFmtId="3" fontId="34" fillId="0" borderId="27" xfId="58" applyNumberFormat="1" applyFont="1" applyBorder="1">
      <alignment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0" borderId="31" xfId="0" applyFont="1" applyBorder="1" applyAlignment="1">
      <alignment horizontal="center"/>
    </xf>
    <xf numFmtId="0" fontId="7" fillId="0" borderId="0" xfId="0" applyFont="1"/>
    <xf numFmtId="0" fontId="8" fillId="0" borderId="31" xfId="0" applyFont="1" applyBorder="1"/>
    <xf numFmtId="3" fontId="5" fillId="0" borderId="12" xfId="0" applyNumberFormat="1" applyFont="1" applyBorder="1"/>
    <xf numFmtId="0" fontId="7" fillId="0" borderId="11" xfId="59" applyFont="1" applyBorder="1" applyAlignment="1">
      <alignment/>
      <protection/>
    </xf>
    <xf numFmtId="3" fontId="35" fillId="0" borderId="20" xfId="58" applyNumberFormat="1" applyFont="1" applyBorder="1">
      <alignment/>
      <protection/>
    </xf>
    <xf numFmtId="0" fontId="2" fillId="0" borderId="32" xfId="0" applyFont="1" applyFill="1" applyBorder="1" applyAlignment="1">
      <alignment horizontal="left" vertical="top"/>
    </xf>
    <xf numFmtId="0" fontId="9" fillId="0" borderId="10" xfId="59" applyFont="1" applyBorder="1" applyAlignment="1">
      <alignment/>
      <protection/>
    </xf>
    <xf numFmtId="0" fontId="4" fillId="0" borderId="11" xfId="0" applyFont="1" applyBorder="1" applyAlignment="1">
      <alignment horizontal="center"/>
    </xf>
    <xf numFmtId="3" fontId="3" fillId="0" borderId="13" xfId="59" applyNumberFormat="1" applyFont="1" applyBorder="1" applyAlignment="1">
      <alignment/>
      <protection/>
    </xf>
    <xf numFmtId="3" fontId="34" fillId="0" borderId="28" xfId="58" applyNumberFormat="1" applyFont="1" applyBorder="1">
      <alignment/>
      <protection/>
    </xf>
    <xf numFmtId="0" fontId="9" fillId="0" borderId="11" xfId="59" applyFont="1" applyBorder="1" applyAlignment="1">
      <alignment/>
      <protection/>
    </xf>
    <xf numFmtId="0" fontId="3" fillId="0" borderId="23" xfId="0" applyFont="1" applyBorder="1" applyAlignment="1">
      <alignment horizontal="center"/>
    </xf>
    <xf numFmtId="3" fontId="8" fillId="0" borderId="12" xfId="0" applyNumberFormat="1" applyFont="1" applyBorder="1"/>
    <xf numFmtId="3" fontId="8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/>
    <xf numFmtId="3" fontId="4" fillId="0" borderId="26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0" fillId="0" borderId="0" xfId="63">
      <alignment/>
      <protection/>
    </xf>
    <xf numFmtId="0" fontId="2" fillId="0" borderId="0" xfId="63" applyFont="1" applyBorder="1" applyAlignment="1">
      <alignment horizontal="centerContinuous"/>
      <protection/>
    </xf>
    <xf numFmtId="3" fontId="9" fillId="0" borderId="10" xfId="63" applyNumberFormat="1" applyFont="1" applyFill="1" applyBorder="1" applyAlignment="1">
      <alignment horizontal="center"/>
      <protection/>
    </xf>
    <xf numFmtId="3" fontId="9" fillId="0" borderId="10" xfId="63" applyNumberFormat="1" applyFont="1" applyFill="1" applyBorder="1" applyAlignment="1" applyProtection="1">
      <alignment horizontal="center"/>
      <protection locked="0"/>
    </xf>
    <xf numFmtId="3" fontId="9" fillId="0" borderId="31" xfId="63" applyNumberFormat="1" applyFont="1" applyFill="1" applyBorder="1" applyAlignment="1" applyProtection="1">
      <alignment horizontal="center"/>
      <protection locked="0"/>
    </xf>
    <xf numFmtId="3" fontId="12" fillId="0" borderId="10" xfId="63" applyNumberFormat="1" applyFont="1" applyFill="1" applyBorder="1" applyAlignment="1" applyProtection="1">
      <alignment horizontal="center"/>
      <protection locked="0"/>
    </xf>
    <xf numFmtId="0" fontId="9" fillId="0" borderId="31" xfId="63" applyFont="1" applyFill="1" applyBorder="1" applyProtection="1">
      <alignment/>
      <protection locked="0"/>
    </xf>
    <xf numFmtId="3" fontId="4" fillId="0" borderId="27" xfId="59" applyNumberFormat="1" applyFont="1" applyBorder="1" applyAlignment="1">
      <alignment/>
      <protection/>
    </xf>
    <xf numFmtId="0" fontId="9" fillId="0" borderId="14" xfId="59" applyFont="1" applyBorder="1" applyAlignment="1">
      <alignment/>
      <protection/>
    </xf>
    <xf numFmtId="0" fontId="8" fillId="0" borderId="12" xfId="59" applyFont="1" applyBorder="1" applyAlignment="1">
      <alignment/>
      <protection/>
    </xf>
    <xf numFmtId="0" fontId="9" fillId="0" borderId="18" xfId="59" applyFont="1" applyBorder="1" applyAlignment="1">
      <alignment/>
      <protection/>
    </xf>
    <xf numFmtId="0" fontId="43" fillId="0" borderId="15" xfId="59" applyFont="1" applyBorder="1" applyAlignment="1">
      <alignment/>
      <protection/>
    </xf>
    <xf numFmtId="0" fontId="43" fillId="0" borderId="10" xfId="59" applyFont="1" applyBorder="1" applyAlignment="1">
      <alignment/>
      <protection/>
    </xf>
    <xf numFmtId="0" fontId="43" fillId="0" borderId="15" xfId="59" applyFont="1" applyBorder="1" applyAlignment="1">
      <alignment vertical="center"/>
      <protection/>
    </xf>
    <xf numFmtId="0" fontId="43" fillId="0" borderId="15" xfId="59" applyFont="1" applyBorder="1" applyAlignment="1">
      <alignment vertical="center"/>
      <protection/>
    </xf>
    <xf numFmtId="0" fontId="4" fillId="0" borderId="13" xfId="59" applyFont="1" applyBorder="1" applyAlignment="1">
      <alignment/>
      <protection/>
    </xf>
    <xf numFmtId="0" fontId="9" fillId="0" borderId="12" xfId="59" applyFont="1" applyBorder="1" applyAlignment="1">
      <alignment vertical="center"/>
      <protection/>
    </xf>
    <xf numFmtId="0" fontId="9" fillId="0" borderId="12" xfId="59" applyFont="1" applyBorder="1" applyAlignment="1">
      <alignment/>
      <protection/>
    </xf>
    <xf numFmtId="0" fontId="9" fillId="0" borderId="15" xfId="59" applyFont="1" applyBorder="1" applyAlignment="1">
      <alignment vertical="center"/>
      <protection/>
    </xf>
    <xf numFmtId="0" fontId="43" fillId="0" borderId="18" xfId="59" applyFont="1" applyBorder="1" applyAlignment="1">
      <alignment vertical="center"/>
      <protection/>
    </xf>
    <xf numFmtId="0" fontId="43" fillId="0" borderId="12" xfId="59" applyFont="1" applyBorder="1" applyAlignment="1">
      <alignment vertical="center"/>
      <protection/>
    </xf>
    <xf numFmtId="0" fontId="11" fillId="0" borderId="15" xfId="59" applyFont="1" applyBorder="1" applyAlignment="1">
      <alignment/>
      <protection/>
    </xf>
    <xf numFmtId="0" fontId="4" fillId="0" borderId="25" xfId="59" applyFont="1" applyBorder="1" applyAlignment="1">
      <alignment/>
      <protection/>
    </xf>
    <xf numFmtId="0" fontId="43" fillId="0" borderId="28" xfId="59" applyFont="1" applyBorder="1" applyAlignment="1">
      <alignment/>
      <protection/>
    </xf>
    <xf numFmtId="0" fontId="4" fillId="0" borderId="33" xfId="59" applyFont="1" applyBorder="1" applyAlignment="1">
      <alignment/>
      <protection/>
    </xf>
    <xf numFmtId="0" fontId="43" fillId="0" borderId="28" xfId="59" applyFont="1" applyBorder="1" applyAlignment="1">
      <alignment vertical="center"/>
      <protection/>
    </xf>
    <xf numFmtId="0" fontId="3" fillId="0" borderId="15" xfId="59" applyFont="1" applyBorder="1" applyAlignment="1">
      <alignment/>
      <protection/>
    </xf>
    <xf numFmtId="0" fontId="35" fillId="0" borderId="12" xfId="59" applyFont="1" applyBorder="1" applyAlignment="1">
      <alignment/>
      <protection/>
    </xf>
    <xf numFmtId="0" fontId="35" fillId="0" borderId="21" xfId="59" applyFont="1" applyBorder="1" applyAlignment="1">
      <alignment/>
      <protection/>
    </xf>
    <xf numFmtId="0" fontId="34" fillId="0" borderId="15" xfId="59" applyFont="1" applyBorder="1" applyAlignment="1">
      <alignment/>
      <protection/>
    </xf>
    <xf numFmtId="0" fontId="31" fillId="0" borderId="15" xfId="59" applyFont="1" applyBorder="1" applyAlignment="1">
      <alignment/>
      <protection/>
    </xf>
    <xf numFmtId="0" fontId="35" fillId="0" borderId="15" xfId="59" applyFont="1" applyBorder="1" applyAlignment="1">
      <alignment/>
      <protection/>
    </xf>
    <xf numFmtId="0" fontId="31" fillId="0" borderId="33" xfId="59" applyFont="1" applyBorder="1" applyAlignment="1">
      <alignment/>
      <protection/>
    </xf>
    <xf numFmtId="0" fontId="40" fillId="0" borderId="28" xfId="59" applyFont="1" applyBorder="1" applyAlignment="1">
      <alignment/>
      <protection/>
    </xf>
    <xf numFmtId="0" fontId="35" fillId="0" borderId="18" xfId="59" applyFont="1" applyBorder="1" applyAlignment="1">
      <alignment/>
      <protection/>
    </xf>
    <xf numFmtId="0" fontId="35" fillId="0" borderId="14" xfId="59" applyFont="1" applyBorder="1" applyAlignment="1">
      <alignment/>
      <protection/>
    </xf>
    <xf numFmtId="3" fontId="35" fillId="0" borderId="21" xfId="58" applyNumberFormat="1" applyFont="1" applyBorder="1">
      <alignment/>
      <protection/>
    </xf>
    <xf numFmtId="3" fontId="34" fillId="0" borderId="15" xfId="58" applyNumberFormat="1" applyFont="1" applyBorder="1">
      <alignment/>
      <protection/>
    </xf>
    <xf numFmtId="3" fontId="35" fillId="0" borderId="15" xfId="58" applyNumberFormat="1" applyFont="1" applyBorder="1">
      <alignment/>
      <protection/>
    </xf>
    <xf numFmtId="0" fontId="35" fillId="0" borderId="27" xfId="58" applyFont="1" applyBorder="1">
      <alignment/>
      <protection/>
    </xf>
    <xf numFmtId="0" fontId="32" fillId="0" borderId="15" xfId="58" applyFont="1" applyBorder="1" applyAlignment="1">
      <alignment vertical="center"/>
      <protection/>
    </xf>
    <xf numFmtId="3" fontId="2" fillId="0" borderId="33" xfId="59" applyNumberFormat="1" applyFont="1" applyBorder="1" applyAlignment="1">
      <alignment/>
      <protection/>
    </xf>
    <xf numFmtId="3" fontId="2" fillId="0" borderId="28" xfId="59" applyNumberFormat="1" applyFont="1" applyBorder="1" applyAlignment="1">
      <alignment/>
      <protection/>
    </xf>
    <xf numFmtId="3" fontId="2" fillId="0" borderId="25" xfId="59" applyNumberFormat="1" applyFont="1" applyBorder="1" applyAlignment="1">
      <alignment/>
      <protection/>
    </xf>
    <xf numFmtId="3" fontId="35" fillId="0" borderId="18" xfId="58" applyNumberFormat="1" applyFont="1" applyBorder="1">
      <alignment/>
      <protection/>
    </xf>
    <xf numFmtId="0" fontId="40" fillId="0" borderId="25" xfId="59" applyFont="1" applyBorder="1" applyAlignment="1">
      <alignment vertical="center"/>
      <protection/>
    </xf>
    <xf numFmtId="3" fontId="34" fillId="0" borderId="33" xfId="58" applyNumberFormat="1" applyFont="1" applyBorder="1">
      <alignment/>
      <protection/>
    </xf>
    <xf numFmtId="3" fontId="34" fillId="0" borderId="20" xfId="58" applyNumberFormat="1" applyFont="1" applyBorder="1">
      <alignment/>
      <protection/>
    </xf>
    <xf numFmtId="0" fontId="31" fillId="0" borderId="34" xfId="59" applyFont="1" applyBorder="1" applyAlignment="1">
      <alignment/>
      <protection/>
    </xf>
    <xf numFmtId="3" fontId="34" fillId="0" borderId="34" xfId="58" applyNumberFormat="1" applyFont="1" applyBorder="1">
      <alignment/>
      <protection/>
    </xf>
    <xf numFmtId="3" fontId="3" fillId="0" borderId="35" xfId="0" applyNumberFormat="1" applyFont="1" applyBorder="1" applyAlignment="1">
      <alignment horizontal="right"/>
    </xf>
    <xf numFmtId="3" fontId="7" fillId="0" borderId="35" xfId="0" applyNumberFormat="1" applyFont="1" applyBorder="1"/>
    <xf numFmtId="0" fontId="35" fillId="0" borderId="36" xfId="58" applyFont="1" applyBorder="1">
      <alignment/>
      <protection/>
    </xf>
    <xf numFmtId="0" fontId="35" fillId="0" borderId="25" xfId="58" applyFont="1" applyBorder="1">
      <alignment/>
      <protection/>
    </xf>
    <xf numFmtId="0" fontId="34" fillId="0" borderId="16" xfId="58" applyFont="1" applyBorder="1">
      <alignment/>
      <protection/>
    </xf>
    <xf numFmtId="0" fontId="0" fillId="0" borderId="16" xfId="0" applyBorder="1"/>
    <xf numFmtId="0" fontId="0" fillId="0" borderId="22" xfId="0" applyBorder="1"/>
    <xf numFmtId="0" fontId="35" fillId="0" borderId="34" xfId="59" applyFont="1" applyBorder="1" applyAlignment="1">
      <alignment/>
      <protection/>
    </xf>
    <xf numFmtId="3" fontId="35" fillId="0" borderId="34" xfId="58" applyNumberFormat="1" applyFont="1" applyBorder="1">
      <alignment/>
      <protection/>
    </xf>
    <xf numFmtId="0" fontId="32" fillId="0" borderId="25" xfId="59" applyFont="1" applyBorder="1" applyAlignment="1">
      <alignment vertical="center"/>
      <protection/>
    </xf>
    <xf numFmtId="3" fontId="35" fillId="0" borderId="10" xfId="58" applyNumberFormat="1" applyFont="1" applyBorder="1">
      <alignment/>
      <protection/>
    </xf>
    <xf numFmtId="3" fontId="34" fillId="0" borderId="24" xfId="58" applyNumberFormat="1" applyFont="1" applyBorder="1">
      <alignment/>
      <protection/>
    </xf>
    <xf numFmtId="3" fontId="35" fillId="0" borderId="22" xfId="0" applyNumberFormat="1" applyFont="1" applyBorder="1"/>
    <xf numFmtId="0" fontId="7" fillId="0" borderId="14" xfId="59" applyFont="1" applyBorder="1" applyAlignment="1">
      <alignment/>
      <protection/>
    </xf>
    <xf numFmtId="9" fontId="2" fillId="0" borderId="12" xfId="59" applyNumberFormat="1" applyFont="1" applyBorder="1" applyAlignment="1">
      <alignment/>
      <protection/>
    </xf>
    <xf numFmtId="0" fontId="8" fillId="0" borderId="10" xfId="59" applyFont="1" applyBorder="1" applyAlignment="1">
      <alignment/>
      <protection/>
    </xf>
    <xf numFmtId="0" fontId="7" fillId="0" borderId="0" xfId="0" applyFont="1" applyBorder="1"/>
    <xf numFmtId="3" fontId="37" fillId="0" borderId="37" xfId="58" applyNumberFormat="1" applyFont="1" applyBorder="1" applyAlignment="1">
      <alignment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/>
    <xf numFmtId="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0" fillId="0" borderId="0" xfId="59" applyNumberFormat="1" applyFont="1" applyAlignment="1">
      <alignment/>
      <protection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0" fontId="3" fillId="0" borderId="0" xfId="59" applyFont="1" applyFill="1" applyAlignment="1">
      <alignment/>
      <protection/>
    </xf>
    <xf numFmtId="0" fontId="2" fillId="0" borderId="0" xfId="59" applyFont="1" applyFill="1" applyAlignment="1">
      <alignment/>
      <protection/>
    </xf>
    <xf numFmtId="3" fontId="2" fillId="0" borderId="12" xfId="0" applyNumberFormat="1" applyFont="1" applyFill="1" applyBorder="1"/>
    <xf numFmtId="3" fontId="2" fillId="0" borderId="11" xfId="0" applyNumberFormat="1" applyFont="1" applyFill="1" applyBorder="1"/>
    <xf numFmtId="3" fontId="2" fillId="0" borderId="11" xfId="0" applyNumberFormat="1" applyFont="1" applyFill="1" applyBorder="1"/>
    <xf numFmtId="3" fontId="3" fillId="0" borderId="12" xfId="0" applyNumberFormat="1" applyFont="1" applyFill="1" applyBorder="1"/>
    <xf numFmtId="3" fontId="2" fillId="0" borderId="12" xfId="0" applyNumberFormat="1" applyFont="1" applyFill="1" applyBorder="1"/>
    <xf numFmtId="0" fontId="3" fillId="0" borderId="19" xfId="63" applyFont="1" applyFill="1" applyBorder="1" applyAlignment="1">
      <alignment horizontal="center"/>
      <protection/>
    </xf>
    <xf numFmtId="0" fontId="3" fillId="0" borderId="19" xfId="63" applyFont="1" applyFill="1" applyBorder="1">
      <alignment/>
      <protection/>
    </xf>
    <xf numFmtId="0" fontId="2" fillId="0" borderId="19" xfId="63" applyFont="1" applyFill="1" applyBorder="1" applyAlignment="1">
      <alignment horizontal="right"/>
      <protection/>
    </xf>
    <xf numFmtId="0" fontId="2" fillId="0" borderId="14" xfId="63" applyFont="1" applyFill="1" applyBorder="1" applyAlignment="1">
      <alignment horizontal="center"/>
      <protection/>
    </xf>
    <xf numFmtId="0" fontId="2" fillId="0" borderId="38" xfId="63" applyFont="1" applyFill="1" applyBorder="1" applyAlignment="1">
      <alignment horizontal="center"/>
      <protection/>
    </xf>
    <xf numFmtId="0" fontId="9" fillId="0" borderId="16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9" fontId="0" fillId="0" borderId="10" xfId="63" applyNumberFormat="1" applyFill="1" applyBorder="1">
      <alignment/>
      <protection/>
    </xf>
    <xf numFmtId="0" fontId="3" fillId="0" borderId="16" xfId="63" applyFont="1" applyFill="1" applyBorder="1">
      <alignment/>
      <protection/>
    </xf>
    <xf numFmtId="0" fontId="3" fillId="0" borderId="14" xfId="63" applyFont="1" applyFill="1" applyBorder="1">
      <alignment/>
      <protection/>
    </xf>
    <xf numFmtId="0" fontId="2" fillId="0" borderId="15" xfId="63" applyFont="1" applyFill="1" applyBorder="1">
      <alignment/>
      <protection/>
    </xf>
    <xf numFmtId="3" fontId="3" fillId="0" borderId="10" xfId="63" applyNumberFormat="1" applyFont="1" applyFill="1" applyBorder="1" applyAlignment="1">
      <alignment horizontal="center"/>
      <protection/>
    </xf>
    <xf numFmtId="3" fontId="3" fillId="0" borderId="10" xfId="63" applyNumberFormat="1" applyFont="1" applyFill="1" applyBorder="1" applyAlignment="1">
      <alignment horizontal="right"/>
      <protection/>
    </xf>
    <xf numFmtId="9" fontId="3" fillId="0" borderId="10" xfId="63" applyNumberFormat="1" applyFont="1" applyFill="1" applyBorder="1">
      <alignment/>
      <protection/>
    </xf>
    <xf numFmtId="0" fontId="5" fillId="0" borderId="16" xfId="63" applyFont="1" applyFill="1" applyBorder="1">
      <alignment/>
      <protection/>
    </xf>
    <xf numFmtId="3" fontId="5" fillId="0" borderId="10" xfId="63" applyNumberFormat="1" applyFont="1" applyFill="1" applyBorder="1" applyAlignment="1">
      <alignment horizontal="right"/>
      <protection/>
    </xf>
    <xf numFmtId="0" fontId="3" fillId="0" borderId="16" xfId="63" applyFont="1" applyFill="1" applyBorder="1">
      <alignment/>
      <protection/>
    </xf>
    <xf numFmtId="0" fontId="3" fillId="0" borderId="10" xfId="63" applyFont="1" applyFill="1" applyBorder="1">
      <alignment/>
      <protection/>
    </xf>
    <xf numFmtId="0" fontId="3" fillId="0" borderId="14" xfId="63" applyFont="1" applyFill="1" applyBorder="1">
      <alignment/>
      <protection/>
    </xf>
    <xf numFmtId="3" fontId="3" fillId="0" borderId="14" xfId="63" applyNumberFormat="1" applyFont="1" applyFill="1" applyBorder="1" applyAlignment="1">
      <alignment horizontal="right"/>
      <protection/>
    </xf>
    <xf numFmtId="0" fontId="2" fillId="0" borderId="15" xfId="63" applyFont="1" applyFill="1" applyBorder="1">
      <alignment/>
      <protection/>
    </xf>
    <xf numFmtId="3" fontId="2" fillId="0" borderId="10" xfId="63" applyNumberFormat="1" applyFont="1" applyFill="1" applyBorder="1" applyAlignment="1">
      <alignment horizontal="center"/>
      <protection/>
    </xf>
    <xf numFmtId="0" fontId="4" fillId="0" borderId="38" xfId="63" applyFont="1" applyFill="1" applyBorder="1" applyAlignment="1">
      <alignment vertical="center"/>
      <protection/>
    </xf>
    <xf numFmtId="0" fontId="2" fillId="0" borderId="39" xfId="63" applyFont="1" applyFill="1" applyBorder="1" applyAlignment="1">
      <alignment vertical="center"/>
      <protection/>
    </xf>
    <xf numFmtId="0" fontId="3" fillId="0" borderId="31" xfId="59" applyFont="1" applyFill="1" applyBorder="1" applyAlignment="1">
      <alignment/>
      <protection/>
    </xf>
    <xf numFmtId="0" fontId="3" fillId="0" borderId="10" xfId="59" applyFont="1" applyFill="1" applyBorder="1" applyAlignment="1">
      <alignment/>
      <protection/>
    </xf>
    <xf numFmtId="0" fontId="3" fillId="0" borderId="14" xfId="59" applyFont="1" applyFill="1" applyBorder="1" applyAlignment="1">
      <alignment/>
      <protection/>
    </xf>
    <xf numFmtId="0" fontId="4" fillId="0" borderId="38" xfId="54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horizontal="center"/>
      <protection/>
    </xf>
    <xf numFmtId="0" fontId="9" fillId="0" borderId="39" xfId="54" applyFont="1" applyFill="1" applyBorder="1">
      <alignment/>
      <protection/>
    </xf>
    <xf numFmtId="0" fontId="3" fillId="0" borderId="16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3" fillId="0" borderId="14" xfId="54" applyFont="1" applyFill="1" applyBorder="1" applyAlignment="1">
      <alignment horizontal="left"/>
      <protection/>
    </xf>
    <xf numFmtId="0" fontId="2" fillId="0" borderId="14" xfId="54" applyFont="1" applyFill="1" applyBorder="1" applyAlignment="1">
      <alignment horizontal="left"/>
      <protection/>
    </xf>
    <xf numFmtId="0" fontId="2" fillId="0" borderId="39" xfId="54" applyFont="1" applyFill="1" applyBorder="1" applyAlignment="1">
      <alignment horizontal="left"/>
      <protection/>
    </xf>
    <xf numFmtId="0" fontId="9" fillId="0" borderId="39" xfId="54" applyFont="1" applyFill="1" applyBorder="1" applyAlignment="1">
      <alignment horizontal="left"/>
      <protection/>
    </xf>
    <xf numFmtId="0" fontId="9" fillId="0" borderId="31" xfId="63" applyFont="1" applyFill="1" applyBorder="1">
      <alignment/>
      <protection/>
    </xf>
    <xf numFmtId="0" fontId="9" fillId="0" borderId="16" xfId="63" applyFont="1" applyFill="1" applyBorder="1" applyProtection="1">
      <alignment/>
      <protection locked="0"/>
    </xf>
    <xf numFmtId="3" fontId="9" fillId="0" borderId="31" xfId="63" applyNumberFormat="1" applyFont="1" applyFill="1" applyBorder="1" applyAlignment="1" applyProtection="1">
      <alignment horizontal="left"/>
      <protection locked="0"/>
    </xf>
    <xf numFmtId="0" fontId="9" fillId="0" borderId="39" xfId="54" applyFont="1" applyFill="1" applyBorder="1" applyAlignment="1">
      <alignment vertical="center"/>
      <protection/>
    </xf>
    <xf numFmtId="0" fontId="12" fillId="0" borderId="31" xfId="63" applyFont="1" applyFill="1" applyBorder="1" applyProtection="1">
      <alignment/>
      <protection locked="0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applyFont="1" applyFill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/>
    <xf numFmtId="0" fontId="2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27" xfId="0" applyFont="1" applyFill="1" applyBorder="1"/>
    <xf numFmtId="3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2" fillId="0" borderId="39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27" xfId="0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/>
    <xf numFmtId="3" fontId="3" fillId="0" borderId="0" xfId="0" applyNumberFormat="1" applyFont="1" applyFill="1"/>
    <xf numFmtId="0" fontId="1" fillId="0" borderId="0" xfId="68" applyFill="1">
      <alignment/>
      <protection/>
    </xf>
    <xf numFmtId="0" fontId="11" fillId="0" borderId="0" xfId="68" applyFont="1" applyFill="1" applyAlignment="1">
      <alignment horizontal="center"/>
      <protection/>
    </xf>
    <xf numFmtId="0" fontId="11" fillId="0" borderId="19" xfId="68" applyFont="1" applyFill="1" applyBorder="1" applyAlignment="1">
      <alignment horizontal="right"/>
      <protection/>
    </xf>
    <xf numFmtId="0" fontId="1" fillId="0" borderId="13" xfId="68" applyFill="1" applyBorder="1">
      <alignment/>
      <protection/>
    </xf>
    <xf numFmtId="0" fontId="2" fillId="0" borderId="17" xfId="68" applyFont="1" applyFill="1" applyBorder="1" applyAlignment="1">
      <alignment horizontal="center"/>
      <protection/>
    </xf>
    <xf numFmtId="0" fontId="1" fillId="0" borderId="10" xfId="68" applyFill="1" applyBorder="1">
      <alignment/>
      <protection/>
    </xf>
    <xf numFmtId="0" fontId="2" fillId="0" borderId="16" xfId="68" applyFont="1" applyFill="1" applyBorder="1" applyAlignment="1">
      <alignment horizontal="center"/>
      <protection/>
    </xf>
    <xf numFmtId="0" fontId="1" fillId="0" borderId="14" xfId="68" applyFill="1" applyBorder="1">
      <alignment/>
      <protection/>
    </xf>
    <xf numFmtId="0" fontId="2" fillId="0" borderId="38" xfId="68" applyFont="1" applyFill="1" applyBorder="1" applyAlignment="1">
      <alignment horizontal="center"/>
      <protection/>
    </xf>
    <xf numFmtId="0" fontId="8" fillId="0" borderId="14" xfId="68" applyFont="1" applyFill="1" applyBorder="1" applyAlignment="1">
      <alignment horizontal="center"/>
      <protection/>
    </xf>
    <xf numFmtId="0" fontId="2" fillId="0" borderId="14" xfId="68" applyFont="1" applyFill="1" applyBorder="1" applyAlignment="1">
      <alignment horizontal="center"/>
      <protection/>
    </xf>
    <xf numFmtId="0" fontId="11" fillId="0" borderId="10" xfId="68" applyFont="1" applyFill="1" applyBorder="1">
      <alignment/>
      <protection/>
    </xf>
    <xf numFmtId="0" fontId="4" fillId="0" borderId="16" xfId="68" applyFont="1" applyFill="1" applyBorder="1" applyAlignment="1">
      <alignment horizontal="left"/>
      <protection/>
    </xf>
    <xf numFmtId="0" fontId="2" fillId="0" borderId="10" xfId="68" applyFont="1" applyFill="1" applyBorder="1" applyAlignment="1">
      <alignment horizontal="center"/>
      <protection/>
    </xf>
    <xf numFmtId="0" fontId="1" fillId="0" borderId="31" xfId="68" applyFill="1" applyBorder="1">
      <alignment/>
      <protection/>
    </xf>
    <xf numFmtId="0" fontId="11" fillId="0" borderId="15" xfId="68" applyFont="1" applyFill="1" applyBorder="1">
      <alignment/>
      <protection/>
    </xf>
    <xf numFmtId="0" fontId="11" fillId="0" borderId="14" xfId="68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3" fillId="0" borderId="0" xfId="0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9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right"/>
    </xf>
    <xf numFmtId="3" fontId="39" fillId="0" borderId="4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/>
    <xf numFmtId="3" fontId="39" fillId="0" borderId="42" xfId="0" applyNumberFormat="1" applyFont="1" applyFill="1" applyBorder="1" applyAlignment="1">
      <alignment horizontal="center"/>
    </xf>
    <xf numFmtId="3" fontId="7" fillId="0" borderId="12" xfId="0" applyNumberFormat="1" applyFont="1" applyFill="1" applyBorder="1"/>
    <xf numFmtId="0" fontId="7" fillId="0" borderId="27" xfId="0" applyFont="1" applyFill="1" applyBorder="1"/>
    <xf numFmtId="3" fontId="7" fillId="0" borderId="11" xfId="0" applyNumberFormat="1" applyFont="1" applyFill="1" applyBorder="1"/>
    <xf numFmtId="0" fontId="7" fillId="0" borderId="12" xfId="0" applyFont="1" applyFill="1" applyBorder="1"/>
    <xf numFmtId="3" fontId="39" fillId="0" borderId="43" xfId="0" applyNumberFormat="1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8" fillId="0" borderId="39" xfId="0" applyFont="1" applyFill="1" applyBorder="1"/>
    <xf numFmtId="3" fontId="39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3" xfId="0" applyFont="1" applyFill="1" applyBorder="1" applyAlignment="1">
      <alignment horizontal="left" vertical="top"/>
    </xf>
    <xf numFmtId="3" fontId="36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39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3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0" xfId="0" applyFont="1" applyFill="1" applyBorder="1"/>
    <xf numFmtId="3" fontId="2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3" fontId="4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23" xfId="0" applyFont="1" applyFill="1" applyBorder="1" applyAlignment="1">
      <alignment horizontal="left"/>
    </xf>
    <xf numFmtId="3" fontId="3" fillId="0" borderId="27" xfId="0" applyNumberFormat="1" applyFont="1" applyFill="1" applyBorder="1"/>
    <xf numFmtId="0" fontId="3" fillId="0" borderId="23" xfId="0" applyFont="1" applyFill="1" applyBorder="1"/>
    <xf numFmtId="164" fontId="2" fillId="0" borderId="15" xfId="0" applyNumberFormat="1" applyFont="1" applyFill="1" applyBorder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27" xfId="0" applyNumberFormat="1" applyFont="1" applyFill="1" applyBorder="1"/>
    <xf numFmtId="3" fontId="42" fillId="0" borderId="21" xfId="0" applyNumberFormat="1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0" fontId="0" fillId="0" borderId="4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42" xfId="0" applyFont="1" applyFill="1" applyBorder="1"/>
    <xf numFmtId="0" fontId="0" fillId="0" borderId="12" xfId="0" applyFont="1" applyFill="1" applyBorder="1"/>
    <xf numFmtId="0" fontId="0" fillId="0" borderId="41" xfId="0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2" fillId="0" borderId="14" xfId="0" applyNumberFormat="1" applyFont="1" applyFill="1" applyBorder="1"/>
    <xf numFmtId="3" fontId="6" fillId="0" borderId="11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/>
    <xf numFmtId="1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 vertical="top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top"/>
    </xf>
    <xf numFmtId="0" fontId="2" fillId="0" borderId="32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2" xfId="0" applyFont="1" applyFill="1" applyBorder="1" applyAlignment="1">
      <alignment/>
    </xf>
    <xf numFmtId="0" fontId="3" fillId="0" borderId="12" xfId="0" applyFont="1" applyFill="1" applyBorder="1"/>
    <xf numFmtId="0" fontId="2" fillId="0" borderId="10" xfId="0" applyFont="1" applyFill="1" applyBorder="1" applyAlignment="1">
      <alignment/>
    </xf>
    <xf numFmtId="0" fontId="2" fillId="0" borderId="12" xfId="0" applyFont="1" applyFill="1" applyBorder="1"/>
    <xf numFmtId="0" fontId="2" fillId="0" borderId="20" xfId="0" applyFont="1" applyFill="1" applyBorder="1" applyAlignment="1">
      <alignment/>
    </xf>
    <xf numFmtId="0" fontId="2" fillId="0" borderId="10" xfId="0" applyFont="1" applyFill="1" applyBorder="1"/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1" xfId="0" applyFont="1" applyFill="1" applyBorder="1"/>
    <xf numFmtId="0" fontId="2" fillId="0" borderId="16" xfId="0" applyFont="1" applyFill="1" applyBorder="1" applyAlignment="1">
      <alignment horizontal="left"/>
    </xf>
    <xf numFmtId="3" fontId="6" fillId="0" borderId="10" xfId="0" applyNumberFormat="1" applyFont="1" applyFill="1" applyBorder="1"/>
    <xf numFmtId="3" fontId="3" fillId="0" borderId="10" xfId="0" applyNumberFormat="1" applyFont="1" applyFill="1" applyBorder="1"/>
    <xf numFmtId="3" fontId="2" fillId="0" borderId="10" xfId="0" applyNumberFormat="1" applyFont="1" applyFill="1" applyBorder="1"/>
    <xf numFmtId="3" fontId="6" fillId="0" borderId="10" xfId="0" applyNumberFormat="1" applyFont="1" applyFill="1" applyBorder="1"/>
    <xf numFmtId="0" fontId="3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9" fontId="3" fillId="0" borderId="10" xfId="0" applyNumberFormat="1" applyFont="1" applyFill="1" applyBorder="1"/>
    <xf numFmtId="9" fontId="7" fillId="0" borderId="10" xfId="0" applyNumberFormat="1" applyFont="1" applyFill="1" applyBorder="1"/>
    <xf numFmtId="0" fontId="7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9" fontId="7" fillId="0" borderId="10" xfId="75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6" fillId="0" borderId="10" xfId="0" applyFont="1" applyFill="1" applyBorder="1"/>
    <xf numFmtId="0" fontId="3" fillId="0" borderId="12" xfId="0" applyFont="1" applyFill="1" applyBorder="1" applyAlignment="1">
      <alignment horizontal="center"/>
    </xf>
    <xf numFmtId="3" fontId="3" fillId="0" borderId="16" xfId="63" applyNumberFormat="1" applyFont="1" applyFill="1" applyBorder="1" applyAlignment="1">
      <alignment horizontal="right" vertical="center"/>
      <protection/>
    </xf>
    <xf numFmtId="3" fontId="3" fillId="0" borderId="21" xfId="59" applyNumberFormat="1" applyFont="1" applyFill="1" applyBorder="1" applyAlignment="1">
      <alignment/>
      <protection/>
    </xf>
    <xf numFmtId="0" fontId="3" fillId="0" borderId="21" xfId="59" applyFont="1" applyFill="1" applyBorder="1" applyAlignment="1">
      <alignment/>
      <protection/>
    </xf>
    <xf numFmtId="0" fontId="3" fillId="0" borderId="12" xfId="59" applyFont="1" applyFill="1" applyBorder="1" applyAlignment="1">
      <alignment/>
      <protection/>
    </xf>
    <xf numFmtId="0" fontId="2" fillId="0" borderId="12" xfId="59" applyFont="1" applyFill="1" applyBorder="1" applyAlignment="1">
      <alignment/>
      <protection/>
    </xf>
    <xf numFmtId="3" fontId="2" fillId="0" borderId="11" xfId="59" applyNumberFormat="1" applyFont="1" applyFill="1" applyBorder="1" applyAlignment="1">
      <alignment/>
      <protection/>
    </xf>
    <xf numFmtId="3" fontId="3" fillId="0" borderId="12" xfId="59" applyNumberFormat="1" applyFont="1" applyFill="1" applyBorder="1" applyAlignment="1">
      <alignment/>
      <protection/>
    </xf>
    <xf numFmtId="0" fontId="2" fillId="0" borderId="14" xfId="63" applyFont="1" applyFill="1" applyBorder="1" applyAlignment="1">
      <alignment horizontal="right"/>
      <protection/>
    </xf>
    <xf numFmtId="0" fontId="3" fillId="0" borderId="14" xfId="63" applyFont="1" applyFill="1" applyBorder="1" applyAlignment="1">
      <alignment horizontal="right"/>
      <protection/>
    </xf>
    <xf numFmtId="9" fontId="7" fillId="0" borderId="14" xfId="68" applyNumberFormat="1" applyFont="1" applyFill="1" applyBorder="1">
      <alignment/>
      <protection/>
    </xf>
    <xf numFmtId="9" fontId="7" fillId="0" borderId="10" xfId="68" applyNumberFormat="1" applyFont="1" applyFill="1" applyBorder="1">
      <alignment/>
      <protection/>
    </xf>
    <xf numFmtId="3" fontId="8" fillId="0" borderId="11" xfId="0" applyNumberFormat="1" applyFont="1" applyFill="1" applyBorder="1" applyAlignment="1">
      <alignment horizontal="center"/>
    </xf>
    <xf numFmtId="0" fontId="44" fillId="0" borderId="0" xfId="68" applyFont="1" applyFill="1">
      <alignment/>
      <protection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/>
    <xf numFmtId="3" fontId="41" fillId="0" borderId="12" xfId="0" applyNumberFormat="1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59" applyFont="1" applyBorder="1" applyAlignment="1">
      <alignment/>
      <protection/>
    </xf>
    <xf numFmtId="0" fontId="5" fillId="0" borderId="16" xfId="54" applyFont="1" applyFill="1" applyBorder="1" applyAlignment="1">
      <alignment horizontal="left"/>
      <protection/>
    </xf>
    <xf numFmtId="0" fontId="5" fillId="0" borderId="38" xfId="54" applyFont="1" applyFill="1" applyBorder="1" applyAlignment="1">
      <alignment horizontal="left"/>
      <protection/>
    </xf>
    <xf numFmtId="0" fontId="2" fillId="0" borderId="16" xfId="63" applyFont="1" applyFill="1" applyBorder="1" applyAlignment="1">
      <alignment horizontal="center"/>
      <protection/>
    </xf>
    <xf numFmtId="0" fontId="3" fillId="0" borderId="38" xfId="54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5" fillId="0" borderId="10" xfId="54" applyFont="1" applyFill="1" applyBorder="1" applyAlignment="1">
      <alignment horizontal="left"/>
      <protection/>
    </xf>
    <xf numFmtId="0" fontId="11" fillId="0" borderId="38" xfId="68" applyFont="1" applyFill="1" applyBorder="1">
      <alignment/>
      <protection/>
    </xf>
    <xf numFmtId="0" fontId="11" fillId="0" borderId="16" xfId="68" applyFont="1" applyFill="1" applyBorder="1">
      <alignment/>
      <protection/>
    </xf>
    <xf numFmtId="0" fontId="2" fillId="0" borderId="10" xfId="54" applyFont="1" applyFill="1" applyBorder="1" applyAlignment="1">
      <alignment horizontal="left"/>
      <protection/>
    </xf>
    <xf numFmtId="9" fontId="2" fillId="0" borderId="0" xfId="0" applyNumberFormat="1" applyFont="1" applyBorder="1"/>
    <xf numFmtId="3" fontId="2" fillId="0" borderId="16" xfId="0" applyNumberFormat="1" applyFont="1" applyBorder="1" applyAlignment="1">
      <alignment horizontal="center"/>
    </xf>
    <xf numFmtId="0" fontId="3" fillId="0" borderId="26" xfId="0" applyFont="1" applyBorder="1"/>
    <xf numFmtId="0" fontId="2" fillId="0" borderId="44" xfId="0" applyFont="1" applyBorder="1"/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" fillId="0" borderId="26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/>
    </xf>
    <xf numFmtId="0" fontId="2" fillId="0" borderId="45" xfId="0" applyFont="1" applyBorder="1"/>
    <xf numFmtId="0" fontId="2" fillId="0" borderId="20" xfId="0" applyFont="1" applyBorder="1"/>
    <xf numFmtId="0" fontId="2" fillId="0" borderId="45" xfId="0" applyFont="1" applyBorder="1"/>
    <xf numFmtId="0" fontId="39" fillId="0" borderId="20" xfId="0" applyFont="1" applyBorder="1"/>
    <xf numFmtId="0" fontId="6" fillId="0" borderId="20" xfId="0" applyFont="1" applyBorder="1" applyAlignment="1">
      <alignment vertical="center" wrapText="1"/>
    </xf>
    <xf numFmtId="0" fontId="2" fillId="0" borderId="41" xfId="0" applyFont="1" applyBorder="1"/>
    <xf numFmtId="0" fontId="4" fillId="0" borderId="12" xfId="59" applyFont="1" applyBorder="1" applyAlignment="1">
      <alignment/>
      <protection/>
    </xf>
    <xf numFmtId="0" fontId="12" fillId="0" borderId="14" xfId="59" applyFont="1" applyBorder="1" applyAlignment="1">
      <alignment/>
      <protection/>
    </xf>
    <xf numFmtId="0" fontId="2" fillId="0" borderId="16" xfId="63" applyFont="1" applyFill="1" applyBorder="1">
      <alignment/>
      <protection/>
    </xf>
    <xf numFmtId="0" fontId="2" fillId="0" borderId="38" xfId="63" applyFont="1" applyFill="1" applyBorder="1">
      <alignment/>
      <protection/>
    </xf>
    <xf numFmtId="0" fontId="3" fillId="0" borderId="38" xfId="63" applyFont="1" applyFill="1" applyBorder="1">
      <alignment/>
      <protection/>
    </xf>
    <xf numFmtId="3" fontId="3" fillId="0" borderId="38" xfId="68" applyNumberFormat="1" applyFont="1" applyFill="1" applyBorder="1" applyAlignment="1">
      <alignment horizontal="right"/>
      <protection/>
    </xf>
    <xf numFmtId="3" fontId="2" fillId="0" borderId="39" xfId="68" applyNumberFormat="1" applyFont="1" applyFill="1" applyBorder="1" applyAlignment="1">
      <alignment horizontal="right"/>
      <protection/>
    </xf>
    <xf numFmtId="3" fontId="3" fillId="0" borderId="16" xfId="68" applyNumberFormat="1" applyFont="1" applyFill="1" applyBorder="1" applyAlignment="1">
      <alignment horizontal="right"/>
      <protection/>
    </xf>
    <xf numFmtId="3" fontId="2" fillId="0" borderId="38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/>
      <protection/>
    </xf>
    <xf numFmtId="3" fontId="5" fillId="0" borderId="16" xfId="68" applyNumberFormat="1" applyFont="1" applyFill="1" applyBorder="1" applyAlignment="1">
      <alignment horizontal="right"/>
      <protection/>
    </xf>
    <xf numFmtId="3" fontId="5" fillId="0" borderId="38" xfId="68" applyNumberFormat="1" applyFont="1" applyFill="1" applyBorder="1" applyAlignment="1">
      <alignment horizontal="right"/>
      <protection/>
    </xf>
    <xf numFmtId="3" fontId="3" fillId="0" borderId="16" xfId="68" applyNumberFormat="1" applyFont="1" applyFill="1" applyBorder="1" applyAlignment="1">
      <alignment horizontal="right"/>
      <protection/>
    </xf>
    <xf numFmtId="3" fontId="2" fillId="0" borderId="13" xfId="0" applyNumberFormat="1" applyFont="1" applyBorder="1" applyAlignment="1">
      <alignment horizontal="center"/>
    </xf>
    <xf numFmtId="0" fontId="3" fillId="0" borderId="20" xfId="0" applyFont="1" applyBorder="1"/>
    <xf numFmtId="0" fontId="2" fillId="0" borderId="0" xfId="59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0" fontId="3" fillId="0" borderId="0" xfId="59" applyFont="1" applyFill="1" applyAlignment="1">
      <alignment/>
      <protection/>
    </xf>
    <xf numFmtId="0" fontId="2" fillId="0" borderId="11" xfId="0" applyFont="1" applyFill="1" applyBorder="1" applyAlignment="1">
      <alignment horizontal="left"/>
    </xf>
    <xf numFmtId="3" fontId="2" fillId="0" borderId="14" xfId="63" applyNumberFormat="1" applyFont="1" applyFill="1" applyBorder="1" applyAlignment="1">
      <alignment horizontal="right"/>
      <protection/>
    </xf>
    <xf numFmtId="3" fontId="4" fillId="0" borderId="14" xfId="63" applyNumberFormat="1" applyFont="1" applyFill="1" applyBorder="1" applyAlignment="1">
      <alignment horizontal="right" vertical="center"/>
      <protection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36" fillId="0" borderId="41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3" fontId="37" fillId="0" borderId="10" xfId="58" applyNumberFormat="1" applyFont="1" applyBorder="1" applyAlignment="1">
      <alignment vertical="center"/>
      <protection/>
    </xf>
    <xf numFmtId="3" fontId="35" fillId="0" borderId="11" xfId="58" applyNumberFormat="1" applyFont="1" applyBorder="1" applyAlignment="1">
      <alignment vertical="center"/>
      <protection/>
    </xf>
    <xf numFmtId="0" fontId="7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0" fontId="4" fillId="0" borderId="11" xfId="0" applyFont="1" applyFill="1" applyBorder="1" applyAlignment="1">
      <alignment horizontal="left"/>
    </xf>
    <xf numFmtId="0" fontId="12" fillId="0" borderId="15" xfId="59" applyFont="1" applyBorder="1" applyAlignment="1">
      <alignment vertical="center"/>
      <protection/>
    </xf>
    <xf numFmtId="0" fontId="3" fillId="0" borderId="11" xfId="0" applyFont="1" applyFill="1" applyBorder="1" applyAlignment="1">
      <alignment horizontal="left"/>
    </xf>
    <xf numFmtId="0" fontId="2" fillId="0" borderId="14" xfId="59" applyFont="1" applyBorder="1" applyAlignment="1">
      <alignment/>
      <protection/>
    </xf>
    <xf numFmtId="3" fontId="2" fillId="12" borderId="23" xfId="59" applyNumberFormat="1" applyFont="1" applyFill="1" applyBorder="1" applyAlignment="1">
      <alignment/>
      <protection/>
    </xf>
    <xf numFmtId="3" fontId="3" fillId="12" borderId="23" xfId="59" applyNumberFormat="1" applyFont="1" applyFill="1" applyBorder="1" applyAlignment="1">
      <alignment/>
      <protection/>
    </xf>
    <xf numFmtId="3" fontId="3" fillId="12" borderId="23" xfId="59" applyNumberFormat="1" applyFont="1" applyFill="1" applyBorder="1" applyAlignment="1">
      <alignment/>
      <protection/>
    </xf>
    <xf numFmtId="3" fontId="3" fillId="12" borderId="46" xfId="59" applyNumberFormat="1" applyFont="1" applyFill="1" applyBorder="1" applyAlignment="1">
      <alignment/>
      <protection/>
    </xf>
    <xf numFmtId="3" fontId="2" fillId="12" borderId="38" xfId="59" applyNumberFormat="1" applyFont="1" applyFill="1" applyBorder="1" applyAlignment="1">
      <alignment/>
      <protection/>
    </xf>
    <xf numFmtId="3" fontId="3" fillId="12" borderId="11" xfId="59" applyNumberFormat="1" applyFont="1" applyFill="1" applyBorder="1" applyAlignment="1">
      <alignment/>
      <protection/>
    </xf>
    <xf numFmtId="3" fontId="2" fillId="12" borderId="12" xfId="59" applyNumberFormat="1" applyFont="1" applyFill="1" applyBorder="1" applyAlignment="1">
      <alignment/>
      <protection/>
    </xf>
    <xf numFmtId="3" fontId="3" fillId="12" borderId="12" xfId="59" applyNumberFormat="1" applyFont="1" applyFill="1" applyBorder="1" applyAlignment="1">
      <alignment/>
      <protection/>
    </xf>
    <xf numFmtId="3" fontId="3" fillId="12" borderId="14" xfId="59" applyNumberFormat="1" applyFont="1" applyFill="1" applyBorder="1" applyAlignment="1">
      <alignment/>
      <protection/>
    </xf>
    <xf numFmtId="3" fontId="9" fillId="12" borderId="15" xfId="59" applyNumberFormat="1" applyFont="1" applyFill="1" applyBorder="1" applyAlignment="1">
      <alignment vertical="center"/>
      <protection/>
    </xf>
    <xf numFmtId="3" fontId="3" fillId="12" borderId="21" xfId="59" applyNumberFormat="1" applyFont="1" applyFill="1" applyBorder="1" applyAlignment="1">
      <alignment/>
      <protection/>
    </xf>
    <xf numFmtId="3" fontId="2" fillId="12" borderId="15" xfId="59" applyNumberFormat="1" applyFont="1" applyFill="1" applyBorder="1" applyAlignment="1">
      <alignment/>
      <protection/>
    </xf>
    <xf numFmtId="3" fontId="3" fillId="12" borderId="15" xfId="59" applyNumberFormat="1" applyFont="1" applyFill="1" applyBorder="1" applyAlignment="1">
      <alignment/>
      <protection/>
    </xf>
    <xf numFmtId="3" fontId="9" fillId="12" borderId="15" xfId="59" applyNumberFormat="1" applyFont="1" applyFill="1" applyBorder="1" applyAlignment="1">
      <alignment/>
      <protection/>
    </xf>
    <xf numFmtId="3" fontId="2" fillId="12" borderId="14" xfId="59" applyNumberFormat="1" applyFont="1" applyFill="1" applyBorder="1" applyAlignment="1">
      <alignment/>
      <protection/>
    </xf>
    <xf numFmtId="3" fontId="2" fillId="12" borderId="15" xfId="59" applyNumberFormat="1" applyFont="1" applyFill="1" applyBorder="1" applyAlignment="1">
      <alignment vertical="center"/>
      <protection/>
    </xf>
    <xf numFmtId="0" fontId="3" fillId="12" borderId="27" xfId="59" applyFont="1" applyFill="1" applyBorder="1" applyAlignment="1">
      <alignment/>
      <protection/>
    </xf>
    <xf numFmtId="0" fontId="3" fillId="12" borderId="23" xfId="59" applyFont="1" applyFill="1" applyBorder="1" applyAlignment="1">
      <alignment/>
      <protection/>
    </xf>
    <xf numFmtId="0" fontId="3" fillId="12" borderId="16" xfId="59" applyFont="1" applyFill="1" applyBorder="1" applyAlignment="1">
      <alignment/>
      <protection/>
    </xf>
    <xf numFmtId="3" fontId="2" fillId="12" borderId="32" xfId="59" applyNumberFormat="1" applyFont="1" applyFill="1" applyBorder="1" applyAlignment="1">
      <alignment/>
      <protection/>
    </xf>
    <xf numFmtId="3" fontId="2" fillId="12" borderId="39" xfId="59" applyNumberFormat="1" applyFont="1" applyFill="1" applyBorder="1" applyAlignment="1">
      <alignment vertical="center"/>
      <protection/>
    </xf>
    <xf numFmtId="0" fontId="3" fillId="12" borderId="46" xfId="59" applyFont="1" applyFill="1" applyBorder="1" applyAlignment="1">
      <alignment/>
      <protection/>
    </xf>
    <xf numFmtId="0" fontId="3" fillId="12" borderId="39" xfId="59" applyFont="1" applyFill="1" applyBorder="1" applyAlignment="1">
      <alignment/>
      <protection/>
    </xf>
    <xf numFmtId="3" fontId="4" fillId="12" borderId="39" xfId="59" applyNumberFormat="1" applyFont="1" applyFill="1" applyBorder="1" applyAlignment="1">
      <alignment/>
      <protection/>
    </xf>
    <xf numFmtId="0" fontId="3" fillId="12" borderId="17" xfId="59" applyFont="1" applyFill="1" applyBorder="1" applyAlignment="1">
      <alignment/>
      <protection/>
    </xf>
    <xf numFmtId="0" fontId="3" fillId="12" borderId="11" xfId="59" applyFont="1" applyFill="1" applyBorder="1" applyAlignment="1">
      <alignment/>
      <protection/>
    </xf>
    <xf numFmtId="3" fontId="2" fillId="12" borderId="39" xfId="59" applyNumberFormat="1" applyFont="1" applyFill="1" applyBorder="1" applyAlignment="1">
      <alignment/>
      <protection/>
    </xf>
    <xf numFmtId="3" fontId="3" fillId="12" borderId="27" xfId="59" applyNumberFormat="1" applyFont="1" applyFill="1" applyBorder="1" applyAlignment="1">
      <alignment/>
      <protection/>
    </xf>
    <xf numFmtId="3" fontId="3" fillId="12" borderId="38" xfId="59" applyNumberFormat="1" applyFont="1" applyFill="1" applyBorder="1" applyAlignment="1">
      <alignment/>
      <protection/>
    </xf>
    <xf numFmtId="3" fontId="3" fillId="12" borderId="39" xfId="59" applyNumberFormat="1" applyFont="1" applyFill="1" applyBorder="1" applyAlignment="1">
      <alignment/>
      <protection/>
    </xf>
    <xf numFmtId="3" fontId="2" fillId="12" borderId="11" xfId="59" applyNumberFormat="1" applyFont="1" applyFill="1" applyBorder="1" applyAlignment="1">
      <alignment/>
      <protection/>
    </xf>
    <xf numFmtId="3" fontId="2" fillId="12" borderId="27" xfId="59" applyNumberFormat="1" applyFont="1" applyFill="1" applyBorder="1" applyAlignment="1">
      <alignment/>
      <protection/>
    </xf>
    <xf numFmtId="3" fontId="3" fillId="12" borderId="11" xfId="0" applyNumberFormat="1" applyFont="1" applyFill="1" applyBorder="1"/>
    <xf numFmtId="3" fontId="3" fillId="12" borderId="21" xfId="0" applyNumberFormat="1" applyFont="1" applyFill="1" applyBorder="1"/>
    <xf numFmtId="3" fontId="4" fillId="12" borderId="14" xfId="59" applyNumberFormat="1" applyFont="1" applyFill="1" applyBorder="1" applyAlignment="1">
      <alignment/>
      <protection/>
    </xf>
    <xf numFmtId="3" fontId="5" fillId="12" borderId="11" xfId="0" applyNumberFormat="1" applyFont="1" applyFill="1" applyBorder="1"/>
    <xf numFmtId="3" fontId="3" fillId="12" borderId="10" xfId="0" applyNumberFormat="1" applyFont="1" applyFill="1" applyBorder="1"/>
    <xf numFmtId="0" fontId="3" fillId="12" borderId="38" xfId="59" applyFont="1" applyFill="1" applyBorder="1" applyAlignment="1">
      <alignment/>
      <protection/>
    </xf>
    <xf numFmtId="3" fontId="4" fillId="12" borderId="16" xfId="59" applyNumberFormat="1" applyFont="1" applyFill="1" applyBorder="1" applyAlignment="1">
      <alignment/>
      <protection/>
    </xf>
    <xf numFmtId="3" fontId="2" fillId="12" borderId="23" xfId="59" applyNumberFormat="1" applyFont="1" applyFill="1" applyBorder="1" applyAlignment="1">
      <alignment/>
      <protection/>
    </xf>
    <xf numFmtId="3" fontId="2" fillId="12" borderId="39" xfId="59" applyNumberFormat="1" applyFont="1" applyFill="1" applyBorder="1" applyAlignment="1">
      <alignment/>
      <protection/>
    </xf>
    <xf numFmtId="3" fontId="3" fillId="12" borderId="27" xfId="59" applyNumberFormat="1" applyFont="1" applyFill="1" applyBorder="1" applyAlignment="1">
      <alignment/>
      <protection/>
    </xf>
    <xf numFmtId="3" fontId="3" fillId="12" borderId="46" xfId="59" applyNumberFormat="1" applyFont="1" applyFill="1" applyBorder="1" applyAlignment="1">
      <alignment/>
      <protection/>
    </xf>
    <xf numFmtId="3" fontId="3" fillId="12" borderId="39" xfId="59" applyNumberFormat="1" applyFont="1" applyFill="1" applyBorder="1" applyAlignment="1">
      <alignment/>
      <protection/>
    </xf>
    <xf numFmtId="3" fontId="2" fillId="12" borderId="33" xfId="59" applyNumberFormat="1" applyFont="1" applyFill="1" applyBorder="1" applyAlignment="1">
      <alignment/>
      <protection/>
    </xf>
    <xf numFmtId="3" fontId="2" fillId="12" borderId="22" xfId="59" applyNumberFormat="1" applyFont="1" applyFill="1" applyBorder="1" applyAlignment="1">
      <alignment/>
      <protection/>
    </xf>
    <xf numFmtId="3" fontId="2" fillId="12" borderId="38" xfId="59" applyNumberFormat="1" applyFont="1" applyFill="1" applyBorder="1" applyAlignment="1">
      <alignment/>
      <protection/>
    </xf>
    <xf numFmtId="3" fontId="3" fillId="12" borderId="38" xfId="59" applyNumberFormat="1" applyFont="1" applyFill="1" applyBorder="1" applyAlignment="1">
      <alignment/>
      <protection/>
    </xf>
    <xf numFmtId="3" fontId="3" fillId="12" borderId="17" xfId="59" applyNumberFormat="1" applyFont="1" applyFill="1" applyBorder="1" applyAlignment="1">
      <alignment/>
      <protection/>
    </xf>
    <xf numFmtId="3" fontId="2" fillId="12" borderId="29" xfId="59" applyNumberFormat="1" applyFont="1" applyFill="1" applyBorder="1" applyAlignment="1">
      <alignment/>
      <protection/>
    </xf>
    <xf numFmtId="3" fontId="2" fillId="12" borderId="39" xfId="59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3" fontId="3" fillId="0" borderId="23" xfId="59" applyNumberFormat="1" applyFont="1" applyFill="1" applyBorder="1" applyAlignment="1">
      <alignment/>
      <protection/>
    </xf>
    <xf numFmtId="3" fontId="3" fillId="0" borderId="23" xfId="59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/>
    <xf numFmtId="9" fontId="3" fillId="0" borderId="14" xfId="63" applyNumberFormat="1" applyFont="1" applyFill="1" applyBorder="1">
      <alignment/>
      <protection/>
    </xf>
    <xf numFmtId="3" fontId="35" fillId="0" borderId="13" xfId="58" applyNumberFormat="1" applyFont="1" applyBorder="1">
      <alignment/>
      <protection/>
    </xf>
    <xf numFmtId="3" fontId="36" fillId="0" borderId="42" xfId="0" applyNumberFormat="1" applyFont="1" applyFill="1" applyBorder="1" applyAlignment="1">
      <alignment horizontal="center"/>
    </xf>
    <xf numFmtId="3" fontId="36" fillId="0" borderId="47" xfId="0" applyNumberFormat="1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6" xfId="0" applyFont="1" applyBorder="1"/>
    <xf numFmtId="0" fontId="3" fillId="0" borderId="0" xfId="59" applyFont="1" applyAlignment="1">
      <alignment horizontal="left"/>
      <protection/>
    </xf>
    <xf numFmtId="3" fontId="35" fillId="0" borderId="25" xfId="58" applyNumberFormat="1" applyFont="1" applyBorder="1">
      <alignment/>
      <protection/>
    </xf>
    <xf numFmtId="0" fontId="35" fillId="0" borderId="12" xfId="58" applyFont="1" applyBorder="1">
      <alignment/>
      <protection/>
    </xf>
    <xf numFmtId="3" fontId="4" fillId="0" borderId="12" xfId="0" applyNumberFormat="1" applyFont="1" applyFill="1" applyBorder="1"/>
    <xf numFmtId="3" fontId="6" fillId="0" borderId="14" xfId="0" applyNumberFormat="1" applyFont="1" applyFill="1" applyBorder="1"/>
    <xf numFmtId="3" fontId="2" fillId="0" borderId="15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3" fontId="2" fillId="0" borderId="12" xfId="59" applyNumberFormat="1" applyFont="1" applyFill="1" applyBorder="1" applyAlignment="1">
      <alignment/>
      <protection/>
    </xf>
    <xf numFmtId="3" fontId="3" fillId="0" borderId="12" xfId="59" applyNumberFormat="1" applyFont="1" applyFill="1" applyBorder="1" applyAlignment="1">
      <alignment/>
      <protection/>
    </xf>
    <xf numFmtId="3" fontId="9" fillId="0" borderId="39" xfId="59" applyNumberFormat="1" applyFont="1" applyFill="1" applyBorder="1" applyAlignment="1">
      <alignment vertical="center"/>
      <protection/>
    </xf>
    <xf numFmtId="0" fontId="3" fillId="0" borderId="31" xfId="59" applyFont="1" applyBorder="1" applyAlignment="1">
      <alignment/>
      <protection/>
    </xf>
    <xf numFmtId="0" fontId="9" fillId="0" borderId="11" xfId="59" applyFont="1" applyBorder="1" applyAlignment="1">
      <alignment/>
      <protection/>
    </xf>
    <xf numFmtId="3" fontId="35" fillId="0" borderId="0" xfId="58" applyNumberFormat="1" applyFont="1" applyBorder="1">
      <alignment/>
      <protection/>
    </xf>
    <xf numFmtId="0" fontId="2" fillId="0" borderId="11" xfId="0" applyFont="1" applyFill="1" applyBorder="1" applyAlignment="1">
      <alignment/>
    </xf>
    <xf numFmtId="3" fontId="38" fillId="0" borderId="14" xfId="0" applyNumberFormat="1" applyFont="1" applyBorder="1" applyAlignment="1">
      <alignment vertical="center" wrapText="1"/>
    </xf>
    <xf numFmtId="0" fontId="3" fillId="0" borderId="15" xfId="59" applyFont="1" applyFill="1" applyBorder="1" applyAlignment="1">
      <alignment/>
      <protection/>
    </xf>
    <xf numFmtId="0" fontId="3" fillId="0" borderId="38" xfId="63" applyFont="1" applyFill="1" applyBorder="1" applyAlignment="1">
      <alignment vertical="center"/>
      <protection/>
    </xf>
    <xf numFmtId="3" fontId="3" fillId="12" borderId="17" xfId="59" applyNumberFormat="1" applyFont="1" applyFill="1" applyBorder="1" applyAlignment="1">
      <alignment/>
      <protection/>
    </xf>
    <xf numFmtId="3" fontId="3" fillId="0" borderId="38" xfId="63" applyNumberFormat="1" applyFont="1" applyFill="1" applyBorder="1" applyAlignment="1">
      <alignment horizontal="right" vertical="center"/>
      <protection/>
    </xf>
    <xf numFmtId="3" fontId="2" fillId="0" borderId="38" xfId="63" applyNumberFormat="1" applyFont="1" applyFill="1" applyBorder="1" applyAlignment="1">
      <alignment horizontal="right" vertical="center"/>
      <protection/>
    </xf>
    <xf numFmtId="3" fontId="3" fillId="12" borderId="38" xfId="63" applyNumberFormat="1" applyFont="1" applyFill="1" applyBorder="1" applyAlignment="1">
      <alignment horizontal="right"/>
      <protection/>
    </xf>
    <xf numFmtId="3" fontId="4" fillId="0" borderId="38" xfId="63" applyNumberFormat="1" applyFont="1" applyFill="1" applyBorder="1" applyAlignment="1">
      <alignment horizontal="right" vertical="center"/>
      <protection/>
    </xf>
    <xf numFmtId="0" fontId="3" fillId="0" borderId="21" xfId="59" applyFont="1" applyBorder="1" applyAlignment="1">
      <alignment/>
      <protection/>
    </xf>
    <xf numFmtId="0" fontId="3" fillId="0" borderId="40" xfId="63" applyFont="1" applyFill="1" applyBorder="1" applyAlignment="1">
      <alignment vertical="center"/>
      <protection/>
    </xf>
    <xf numFmtId="3" fontId="2" fillId="12" borderId="18" xfId="59" applyNumberFormat="1" applyFont="1" applyFill="1" applyBorder="1" applyAlignment="1">
      <alignment/>
      <protection/>
    </xf>
    <xf numFmtId="3" fontId="0" fillId="0" borderId="0" xfId="63" applyNumberFormat="1">
      <alignment/>
      <protection/>
    </xf>
    <xf numFmtId="3" fontId="3" fillId="0" borderId="12" xfId="0" applyNumberFormat="1" applyFont="1" applyFill="1" applyBorder="1" applyAlignment="1">
      <alignment horizontal="left"/>
    </xf>
    <xf numFmtId="0" fontId="35" fillId="0" borderId="10" xfId="59" applyFont="1" applyBorder="1" applyAlignment="1">
      <alignment/>
      <protection/>
    </xf>
    <xf numFmtId="0" fontId="35" fillId="0" borderId="13" xfId="60" applyFont="1" applyBorder="1" applyAlignment="1">
      <alignment/>
      <protection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3" fillId="0" borderId="10" xfId="59" applyNumberFormat="1" applyFont="1" applyBorder="1" applyAlignment="1">
      <alignment/>
      <protection/>
    </xf>
    <xf numFmtId="0" fontId="8" fillId="0" borderId="27" xfId="0" applyFont="1" applyFill="1" applyBorder="1" applyAlignment="1">
      <alignment horizontal="left" vertical="center"/>
    </xf>
    <xf numFmtId="3" fontId="0" fillId="0" borderId="12" xfId="0" applyNumberFormat="1" applyFont="1" applyBorder="1"/>
    <xf numFmtId="0" fontId="7" fillId="0" borderId="16" xfId="0" applyFont="1" applyFill="1" applyBorder="1"/>
    <xf numFmtId="3" fontId="3" fillId="0" borderId="10" xfId="0" applyNumberFormat="1" applyFont="1" applyFill="1" applyBorder="1" applyAlignment="1">
      <alignment horizontal="center"/>
    </xf>
    <xf numFmtId="3" fontId="32" fillId="0" borderId="28" xfId="58" applyNumberFormat="1" applyFont="1" applyFill="1" applyBorder="1" applyAlignment="1">
      <alignment vertical="center"/>
      <protection/>
    </xf>
    <xf numFmtId="0" fontId="5" fillId="0" borderId="27" xfId="54" applyFont="1" applyFill="1" applyBorder="1" applyAlignment="1">
      <alignment horizontal="left"/>
      <protection/>
    </xf>
    <xf numFmtId="0" fontId="2" fillId="0" borderId="32" xfId="54" applyFont="1" applyFill="1" applyBorder="1" applyAlignment="1">
      <alignment horizontal="left"/>
      <protection/>
    </xf>
    <xf numFmtId="0" fontId="35" fillId="0" borderId="0" xfId="58" applyFont="1">
      <alignment/>
      <protection/>
    </xf>
    <xf numFmtId="3" fontId="2" fillId="12" borderId="13" xfId="59" applyNumberFormat="1" applyFont="1" applyFill="1" applyBorder="1" applyAlignment="1">
      <alignment/>
      <protection/>
    </xf>
    <xf numFmtId="3" fontId="5" fillId="0" borderId="41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9" fontId="7" fillId="0" borderId="10" xfId="68" applyNumberFormat="1" applyFont="1" applyFill="1" applyBorder="1">
      <alignment/>
      <protection/>
    </xf>
    <xf numFmtId="0" fontId="3" fillId="0" borderId="16" xfId="0" applyFont="1" applyFill="1" applyBorder="1"/>
    <xf numFmtId="3" fontId="3" fillId="0" borderId="10" xfId="0" applyNumberFormat="1" applyFont="1" applyFill="1" applyBorder="1" applyAlignment="1">
      <alignment horizontal="left"/>
    </xf>
    <xf numFmtId="6" fontId="3" fillId="0" borderId="0" xfId="59" applyNumberFormat="1" applyFont="1" applyAlignment="1">
      <alignment/>
      <protection/>
    </xf>
    <xf numFmtId="0" fontId="5" fillId="0" borderId="20" xfId="0" applyFont="1" applyBorder="1" applyAlignment="1">
      <alignment horizontal="center"/>
    </xf>
    <xf numFmtId="0" fontId="1" fillId="0" borderId="0" xfId="61">
      <alignment/>
      <protection/>
    </xf>
    <xf numFmtId="0" fontId="1" fillId="0" borderId="0" xfId="61" applyFont="1" applyAlignment="1">
      <alignment horizontal="center"/>
      <protection/>
    </xf>
    <xf numFmtId="0" fontId="1" fillId="0" borderId="0" xfId="61" applyAlignment="1">
      <alignment horizontal="center"/>
      <protection/>
    </xf>
    <xf numFmtId="0" fontId="46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" fillId="0" borderId="19" xfId="61" applyBorder="1">
      <alignment/>
      <protection/>
    </xf>
    <xf numFmtId="0" fontId="11" fillId="0" borderId="0" xfId="61" applyFont="1" applyAlignment="1">
      <alignment horizontal="right"/>
      <protection/>
    </xf>
    <xf numFmtId="0" fontId="1" fillId="0" borderId="0" xfId="61" applyBorder="1">
      <alignment/>
      <protection/>
    </xf>
    <xf numFmtId="0" fontId="37" fillId="0" borderId="12" xfId="61" applyFont="1" applyBorder="1" applyAlignment="1">
      <alignment vertical="center"/>
      <protection/>
    </xf>
    <xf numFmtId="3" fontId="37" fillId="0" borderId="12" xfId="61" applyNumberFormat="1" applyFont="1" applyBorder="1">
      <alignment/>
      <protection/>
    </xf>
    <xf numFmtId="3" fontId="31" fillId="0" borderId="12" xfId="61" applyNumberFormat="1" applyFont="1" applyBorder="1">
      <alignment/>
      <protection/>
    </xf>
    <xf numFmtId="3" fontId="37" fillId="0" borderId="0" xfId="61" applyNumberFormat="1" applyFont="1" applyBorder="1">
      <alignment/>
      <protection/>
    </xf>
    <xf numFmtId="0" fontId="37" fillId="0" borderId="0" xfId="61" applyFont="1" applyBorder="1" applyAlignment="1">
      <alignment vertical="center"/>
      <protection/>
    </xf>
    <xf numFmtId="0" fontId="11" fillId="0" borderId="19" xfId="61" applyFont="1" applyBorder="1" applyAlignment="1">
      <alignment horizontal="right"/>
      <protection/>
    </xf>
    <xf numFmtId="0" fontId="31" fillId="0" borderId="13" xfId="61" applyFont="1" applyBorder="1" applyAlignment="1">
      <alignment horizontal="center"/>
      <protection/>
    </xf>
    <xf numFmtId="0" fontId="11" fillId="0" borderId="19" xfId="61" applyFont="1" applyBorder="1">
      <alignment/>
      <protection/>
    </xf>
    <xf numFmtId="0" fontId="31" fillId="0" borderId="12" xfId="61" applyFont="1" applyBorder="1" applyAlignment="1">
      <alignment horizontal="center"/>
      <protection/>
    </xf>
    <xf numFmtId="3" fontId="37" fillId="0" borderId="12" xfId="61" applyNumberFormat="1" applyFont="1" applyBorder="1" applyAlignment="1">
      <alignment horizontal="right"/>
      <protection/>
    </xf>
    <xf numFmtId="3" fontId="37" fillId="0" borderId="13" xfId="61" applyNumberFormat="1" applyFont="1" applyBorder="1" applyAlignment="1">
      <alignment horizontal="right"/>
      <protection/>
    </xf>
    <xf numFmtId="3" fontId="37" fillId="12" borderId="12" xfId="61" applyNumberFormat="1" applyFont="1" applyFill="1" applyBorder="1">
      <alignment/>
      <protection/>
    </xf>
    <xf numFmtId="3" fontId="37" fillId="12" borderId="23" xfId="61" applyNumberFormat="1" applyFont="1" applyFill="1" applyBorder="1">
      <alignment/>
      <protection/>
    </xf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3" fontId="37" fillId="14" borderId="12" xfId="61" applyNumberFormat="1" applyFont="1" applyFill="1" applyBorder="1">
      <alignment/>
      <protection/>
    </xf>
    <xf numFmtId="3" fontId="37" fillId="14" borderId="23" xfId="61" applyNumberFormat="1" applyFont="1" applyFill="1" applyBorder="1">
      <alignment/>
      <protection/>
    </xf>
    <xf numFmtId="3" fontId="37" fillId="14" borderId="12" xfId="61" applyNumberFormat="1" applyFont="1" applyFill="1" applyBorder="1" applyAlignment="1">
      <alignment horizontal="right"/>
      <protection/>
    </xf>
    <xf numFmtId="0" fontId="1" fillId="0" borderId="12" xfId="61" applyBorder="1">
      <alignment/>
      <protection/>
    </xf>
    <xf numFmtId="0" fontId="37" fillId="0" borderId="12" xfId="61" applyFont="1" applyBorder="1">
      <alignment/>
      <protection/>
    </xf>
    <xf numFmtId="0" fontId="1" fillId="0" borderId="0" xfId="65">
      <alignment/>
      <protection/>
    </xf>
    <xf numFmtId="0" fontId="32" fillId="0" borderId="0" xfId="65" applyFont="1" applyAlignment="1">
      <alignment horizontal="center"/>
      <protection/>
    </xf>
    <xf numFmtId="0" fontId="1" fillId="0" borderId="19" xfId="65" applyBorder="1">
      <alignment/>
      <protection/>
    </xf>
    <xf numFmtId="0" fontId="2" fillId="0" borderId="0" xfId="57" applyFont="1" applyBorder="1" applyAlignment="1">
      <alignment horizontal="right"/>
      <protection/>
    </xf>
    <xf numFmtId="0" fontId="47" fillId="0" borderId="16" xfId="65" applyFont="1" applyBorder="1">
      <alignment/>
      <protection/>
    </xf>
    <xf numFmtId="0" fontId="47" fillId="0" borderId="0" xfId="65" applyFont="1" applyBorder="1">
      <alignment/>
      <protection/>
    </xf>
    <xf numFmtId="0" fontId="47" fillId="0" borderId="20" xfId="65" applyFont="1" applyBorder="1">
      <alignment/>
      <protection/>
    </xf>
    <xf numFmtId="3" fontId="47" fillId="0" borderId="31" xfId="65" applyNumberFormat="1" applyFont="1" applyBorder="1">
      <alignment/>
      <protection/>
    </xf>
    <xf numFmtId="3" fontId="47" fillId="0" borderId="10" xfId="65" applyNumberFormat="1" applyFont="1" applyBorder="1">
      <alignment/>
      <protection/>
    </xf>
    <xf numFmtId="0" fontId="47" fillId="0" borderId="17" xfId="65" applyFont="1" applyBorder="1">
      <alignment/>
      <protection/>
    </xf>
    <xf numFmtId="0" fontId="47" fillId="0" borderId="35" xfId="65" applyFont="1" applyBorder="1">
      <alignment/>
      <protection/>
    </xf>
    <xf numFmtId="0" fontId="47" fillId="0" borderId="47" xfId="65" applyFont="1" applyBorder="1">
      <alignment/>
      <protection/>
    </xf>
    <xf numFmtId="3" fontId="47" fillId="0" borderId="13" xfId="65" applyNumberFormat="1" applyFont="1" applyBorder="1">
      <alignment/>
      <protection/>
    </xf>
    <xf numFmtId="0" fontId="48" fillId="0" borderId="38" xfId="65" applyFont="1" applyBorder="1">
      <alignment/>
      <protection/>
    </xf>
    <xf numFmtId="0" fontId="47" fillId="0" borderId="48" xfId="65" applyFont="1" applyBorder="1">
      <alignment/>
      <protection/>
    </xf>
    <xf numFmtId="0" fontId="47" fillId="0" borderId="26" xfId="65" applyFont="1" applyBorder="1">
      <alignment/>
      <protection/>
    </xf>
    <xf numFmtId="3" fontId="48" fillId="0" borderId="14" xfId="65" applyNumberFormat="1" applyFont="1" applyBorder="1">
      <alignment/>
      <protection/>
    </xf>
    <xf numFmtId="0" fontId="47" fillId="0" borderId="40" xfId="65" applyFont="1" applyBorder="1">
      <alignment/>
      <protection/>
    </xf>
    <xf numFmtId="0" fontId="47" fillId="0" borderId="49" xfId="65" applyFont="1" applyBorder="1">
      <alignment/>
      <protection/>
    </xf>
    <xf numFmtId="0" fontId="47" fillId="0" borderId="44" xfId="65" applyFont="1" applyBorder="1">
      <alignment/>
      <protection/>
    </xf>
    <xf numFmtId="3" fontId="40" fillId="0" borderId="31" xfId="65" applyNumberFormat="1" applyFont="1" applyBorder="1" applyAlignment="1">
      <alignment vertical="center"/>
      <protection/>
    </xf>
    <xf numFmtId="0" fontId="47" fillId="0" borderId="38" xfId="65" applyFont="1" applyBorder="1">
      <alignment/>
      <protection/>
    </xf>
    <xf numFmtId="3" fontId="40" fillId="0" borderId="14" xfId="65" applyNumberFormat="1" applyFont="1" applyBorder="1" applyAlignment="1">
      <alignment vertical="center"/>
      <protection/>
    </xf>
    <xf numFmtId="0" fontId="50" fillId="0" borderId="0" xfId="65" applyFont="1" applyBorder="1" applyAlignment="1">
      <alignment horizontal="center" vertical="center" wrapText="1"/>
      <protection/>
    </xf>
    <xf numFmtId="3" fontId="40" fillId="0" borderId="10" xfId="65" applyNumberFormat="1" applyFont="1" applyBorder="1" applyAlignment="1">
      <alignment vertical="center"/>
      <protection/>
    </xf>
    <xf numFmtId="3" fontId="40" fillId="0" borderId="10" xfId="65" applyNumberFormat="1" applyFont="1" applyBorder="1">
      <alignment/>
      <protection/>
    </xf>
    <xf numFmtId="0" fontId="48" fillId="0" borderId="16" xfId="65" applyFont="1" applyBorder="1">
      <alignment/>
      <protection/>
    </xf>
    <xf numFmtId="3" fontId="51" fillId="0" borderId="10" xfId="65" applyNumberFormat="1" applyFont="1" applyBorder="1">
      <alignment/>
      <protection/>
    </xf>
    <xf numFmtId="0" fontId="1" fillId="0" borderId="0" xfId="65" applyBorder="1" applyAlignment="1">
      <alignment horizontal="center" vertical="center"/>
      <protection/>
    </xf>
    <xf numFmtId="0" fontId="47" fillId="0" borderId="0" xfId="65" applyFont="1" applyBorder="1" applyAlignment="1">
      <alignment horizontal="center" vertical="center"/>
      <protection/>
    </xf>
    <xf numFmtId="0" fontId="1" fillId="0" borderId="0" xfId="62">
      <alignment/>
      <protection/>
    </xf>
    <xf numFmtId="0" fontId="4" fillId="0" borderId="0" xfId="56" applyFont="1" applyAlignment="1">
      <alignment horizontal="center"/>
      <protection/>
    </xf>
    <xf numFmtId="0" fontId="1" fillId="0" borderId="0" xfId="62" applyAlignment="1">
      <alignment/>
      <protection/>
    </xf>
    <xf numFmtId="0" fontId="1" fillId="0" borderId="19" xfId="62" applyBorder="1">
      <alignment/>
      <protection/>
    </xf>
    <xf numFmtId="0" fontId="1" fillId="0" borderId="0" xfId="62" applyBorder="1" applyAlignment="1">
      <alignment horizontal="right"/>
      <protection/>
    </xf>
    <xf numFmtId="0" fontId="1" fillId="0" borderId="12" xfId="62" applyBorder="1">
      <alignment/>
      <protection/>
    </xf>
    <xf numFmtId="0" fontId="11" fillId="0" borderId="35" xfId="62" applyFont="1" applyBorder="1" applyAlignment="1">
      <alignment/>
      <protection/>
    </xf>
    <xf numFmtId="0" fontId="1" fillId="0" borderId="35" xfId="62" applyBorder="1" applyAlignment="1">
      <alignment/>
      <protection/>
    </xf>
    <xf numFmtId="0" fontId="1" fillId="0" borderId="35" xfId="62" applyBorder="1" applyAlignment="1">
      <alignment horizontal="right" vertical="center"/>
      <protection/>
    </xf>
    <xf numFmtId="0" fontId="1" fillId="0" borderId="0" xfId="62" applyBorder="1" applyAlignment="1">
      <alignment/>
      <protection/>
    </xf>
    <xf numFmtId="0" fontId="11" fillId="0" borderId="0" xfId="62" applyFont="1" applyBorder="1" applyAlignment="1">
      <alignment/>
      <protection/>
    </xf>
    <xf numFmtId="0" fontId="1" fillId="0" borderId="0" xfId="62" applyBorder="1" applyAlignment="1">
      <alignment horizontal="right" vertical="center"/>
      <protection/>
    </xf>
    <xf numFmtId="0" fontId="1" fillId="0" borderId="10" xfId="62" applyBorder="1" applyAlignment="1">
      <alignment horizontal="right" vertical="center"/>
      <protection/>
    </xf>
    <xf numFmtId="0" fontId="1" fillId="0" borderId="0" xfId="62" applyBorder="1">
      <alignment/>
      <protection/>
    </xf>
    <xf numFmtId="0" fontId="1" fillId="0" borderId="0" xfId="69">
      <alignment/>
      <protection/>
    </xf>
    <xf numFmtId="0" fontId="1" fillId="0" borderId="19" xfId="69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12" fillId="0" borderId="12" xfId="69" applyFont="1" applyBorder="1">
      <alignment/>
      <protection/>
    </xf>
    <xf numFmtId="0" fontId="11" fillId="0" borderId="10" xfId="69" applyFont="1" applyBorder="1" applyAlignment="1">
      <alignment horizontal="center"/>
      <protection/>
    </xf>
    <xf numFmtId="0" fontId="52" fillId="0" borderId="10" xfId="69" applyFont="1" applyBorder="1" applyAlignment="1">
      <alignment/>
      <protection/>
    </xf>
    <xf numFmtId="0" fontId="52" fillId="0" borderId="0" xfId="69" applyFont="1">
      <alignment/>
      <protection/>
    </xf>
    <xf numFmtId="0" fontId="52" fillId="0" borderId="10" xfId="69" applyFont="1" applyBorder="1">
      <alignment/>
      <protection/>
    </xf>
    <xf numFmtId="3" fontId="52" fillId="0" borderId="10" xfId="69" applyNumberFormat="1" applyFont="1" applyBorder="1">
      <alignment/>
      <protection/>
    </xf>
    <xf numFmtId="0" fontId="44" fillId="0" borderId="10" xfId="69" applyFont="1" applyBorder="1">
      <alignment/>
      <protection/>
    </xf>
    <xf numFmtId="0" fontId="11" fillId="0" borderId="11" xfId="69" applyFont="1" applyBorder="1" applyAlignment="1">
      <alignment horizontal="center"/>
      <protection/>
    </xf>
    <xf numFmtId="0" fontId="52" fillId="0" borderId="19" xfId="69" applyFont="1" applyBorder="1">
      <alignment/>
      <protection/>
    </xf>
    <xf numFmtId="0" fontId="52" fillId="0" borderId="11" xfId="69" applyFont="1" applyBorder="1">
      <alignment/>
      <protection/>
    </xf>
    <xf numFmtId="3" fontId="52" fillId="0" borderId="11" xfId="69" applyNumberFormat="1" applyFont="1" applyBorder="1">
      <alignment/>
      <protection/>
    </xf>
    <xf numFmtId="0" fontId="44" fillId="0" borderId="11" xfId="69" applyFont="1" applyBorder="1">
      <alignment/>
      <protection/>
    </xf>
    <xf numFmtId="0" fontId="1" fillId="0" borderId="0" xfId="67">
      <alignment/>
      <protection/>
    </xf>
    <xf numFmtId="0" fontId="52" fillId="0" borderId="0" xfId="67" applyFont="1">
      <alignment/>
      <protection/>
    </xf>
    <xf numFmtId="0" fontId="54" fillId="0" borderId="0" xfId="67" applyFont="1" applyAlignment="1">
      <alignment horizontal="center" vertical="center"/>
      <protection/>
    </xf>
    <xf numFmtId="0" fontId="1" fillId="0" borderId="0" xfId="67" applyFont="1">
      <alignment/>
      <protection/>
    </xf>
    <xf numFmtId="0" fontId="1" fillId="0" borderId="47" xfId="67" applyBorder="1">
      <alignment/>
      <protection/>
    </xf>
    <xf numFmtId="0" fontId="55" fillId="0" borderId="23" xfId="67" applyFont="1" applyBorder="1" applyAlignment="1">
      <alignment horizontal="center" vertical="center" wrapText="1"/>
      <protection/>
    </xf>
    <xf numFmtId="0" fontId="1" fillId="0" borderId="41" xfId="67" applyBorder="1">
      <alignment/>
      <protection/>
    </xf>
    <xf numFmtId="0" fontId="55" fillId="0" borderId="12" xfId="67" applyFont="1" applyBorder="1" applyAlignment="1">
      <alignment horizontal="center" vertical="center" wrapText="1"/>
      <protection/>
    </xf>
    <xf numFmtId="1" fontId="11" fillId="0" borderId="12" xfId="67" applyNumberFormat="1" applyFont="1" applyBorder="1" applyAlignment="1">
      <alignment horizontal="center" vertical="center"/>
      <protection/>
    </xf>
    <xf numFmtId="0" fontId="55" fillId="0" borderId="11" xfId="67" applyFont="1" applyBorder="1" applyAlignment="1">
      <alignment vertical="center"/>
      <protection/>
    </xf>
    <xf numFmtId="3" fontId="9" fillId="0" borderId="11" xfId="0" applyNumberFormat="1" applyFont="1" applyBorder="1" applyAlignment="1">
      <alignment horizontal="right" vertical="center"/>
    </xf>
    <xf numFmtId="3" fontId="32" fillId="12" borderId="12" xfId="67" applyNumberFormat="1" applyFont="1" applyFill="1" applyBorder="1" applyAlignment="1">
      <alignment vertical="center"/>
      <protection/>
    </xf>
    <xf numFmtId="3" fontId="32" fillId="12" borderId="11" xfId="67" applyNumberFormat="1" applyFont="1" applyFill="1" applyBorder="1" applyAlignment="1">
      <alignment vertical="center"/>
      <protection/>
    </xf>
    <xf numFmtId="0" fontId="1" fillId="0" borderId="12" xfId="67" applyBorder="1">
      <alignment/>
      <protection/>
    </xf>
    <xf numFmtId="0" fontId="56" fillId="0" borderId="11" xfId="67" applyFont="1" applyBorder="1" applyAlignment="1">
      <alignment vertical="center"/>
      <protection/>
    </xf>
    <xf numFmtId="3" fontId="57" fillId="14" borderId="11" xfId="0" applyNumberFormat="1" applyFont="1" applyFill="1" applyBorder="1" applyAlignment="1">
      <alignment horizontal="right" vertical="center"/>
    </xf>
    <xf numFmtId="3" fontId="33" fillId="14" borderId="11" xfId="67" applyNumberFormat="1" applyFont="1" applyFill="1" applyBorder="1" applyAlignment="1">
      <alignment horizontal="right" vertical="center"/>
      <protection/>
    </xf>
    <xf numFmtId="3" fontId="33" fillId="12" borderId="11" xfId="67" applyNumberFormat="1" applyFont="1" applyFill="1" applyBorder="1" applyAlignment="1">
      <alignment vertical="center"/>
      <protection/>
    </xf>
    <xf numFmtId="3" fontId="56" fillId="0" borderId="11" xfId="67" applyNumberFormat="1" applyFont="1" applyBorder="1" applyAlignment="1">
      <alignment vertical="center"/>
      <protection/>
    </xf>
    <xf numFmtId="3" fontId="56" fillId="0" borderId="11" xfId="67" applyNumberFormat="1" applyFont="1" applyFill="1" applyBorder="1" applyAlignment="1">
      <alignment vertical="center"/>
      <protection/>
    </xf>
    <xf numFmtId="0" fontId="33" fillId="0" borderId="12" xfId="67" applyFont="1" applyBorder="1" applyAlignment="1">
      <alignment horizontal="left" vertical="center"/>
      <protection/>
    </xf>
    <xf numFmtId="0" fontId="56" fillId="0" borderId="11" xfId="67" applyFont="1" applyBorder="1" applyAlignment="1">
      <alignment vertical="center" wrapText="1"/>
      <protection/>
    </xf>
    <xf numFmtId="0" fontId="55" fillId="0" borderId="12" xfId="67" applyFont="1" applyBorder="1" applyAlignment="1">
      <alignment vertical="center"/>
      <protection/>
    </xf>
    <xf numFmtId="3" fontId="32" fillId="14" borderId="12" xfId="67" applyNumberFormat="1" applyFont="1" applyFill="1" applyBorder="1" applyAlignment="1">
      <alignment vertical="center"/>
      <protection/>
    </xf>
    <xf numFmtId="0" fontId="56" fillId="0" borderId="12" xfId="67" applyFont="1" applyBorder="1" applyAlignment="1">
      <alignment vertical="center"/>
      <protection/>
    </xf>
    <xf numFmtId="3" fontId="33" fillId="14" borderId="12" xfId="67" applyNumberFormat="1" applyFont="1" applyFill="1" applyBorder="1" applyAlignment="1">
      <alignment vertical="center"/>
      <protection/>
    </xf>
    <xf numFmtId="3" fontId="56" fillId="0" borderId="12" xfId="67" applyNumberFormat="1" applyFont="1" applyBorder="1" applyAlignment="1">
      <alignment vertical="center"/>
      <protection/>
    </xf>
    <xf numFmtId="3" fontId="56" fillId="0" borderId="12" xfId="67" applyNumberFormat="1" applyFont="1" applyFill="1" applyBorder="1" applyAlignment="1">
      <alignment vertical="center"/>
      <protection/>
    </xf>
    <xf numFmtId="3" fontId="55" fillId="0" borderId="12" xfId="67" applyNumberFormat="1" applyFont="1" applyBorder="1" applyAlignment="1">
      <alignment vertical="center"/>
      <protection/>
    </xf>
    <xf numFmtId="0" fontId="56" fillId="0" borderId="12" xfId="67" applyFont="1" applyBorder="1" applyAlignment="1">
      <alignment vertical="center" wrapText="1"/>
      <protection/>
    </xf>
    <xf numFmtId="3" fontId="11" fillId="0" borderId="12" xfId="67" applyNumberFormat="1" applyFont="1" applyBorder="1">
      <alignment/>
      <protection/>
    </xf>
    <xf numFmtId="3" fontId="55" fillId="0" borderId="12" xfId="67" applyNumberFormat="1" applyFont="1" applyFill="1" applyBorder="1" applyAlignment="1">
      <alignment vertical="center"/>
      <protection/>
    </xf>
    <xf numFmtId="3" fontId="32" fillId="0" borderId="12" xfId="67" applyNumberFormat="1" applyFont="1" applyBorder="1" applyAlignment="1">
      <alignment vertical="center"/>
      <protection/>
    </xf>
    <xf numFmtId="0" fontId="11" fillId="0" borderId="12" xfId="67" applyFont="1" applyBorder="1">
      <alignment/>
      <protection/>
    </xf>
    <xf numFmtId="0" fontId="33" fillId="0" borderId="0" xfId="0" applyFont="1" applyBorder="1" applyAlignment="1">
      <alignment vertical="center"/>
    </xf>
    <xf numFmtId="3" fontId="11" fillId="0" borderId="12" xfId="67" applyNumberFormat="1" applyFont="1" applyBorder="1" applyAlignment="1">
      <alignment vertical="center"/>
      <protection/>
    </xf>
    <xf numFmtId="1" fontId="1" fillId="0" borderId="12" xfId="67" applyNumberFormat="1" applyFont="1" applyBorder="1" applyAlignment="1">
      <alignment horizontal="center" vertical="center"/>
      <protection/>
    </xf>
    <xf numFmtId="0" fontId="55" fillId="0" borderId="12" xfId="67" applyFont="1" applyBorder="1" applyAlignment="1">
      <alignment vertical="center" wrapText="1"/>
      <protection/>
    </xf>
    <xf numFmtId="3" fontId="31" fillId="0" borderId="12" xfId="67" applyNumberFormat="1" applyFont="1" applyBorder="1" applyAlignment="1">
      <alignment vertical="center"/>
      <protection/>
    </xf>
    <xf numFmtId="0" fontId="53" fillId="0" borderId="12" xfId="67" applyFont="1" applyBorder="1" applyAlignment="1">
      <alignment vertical="center"/>
      <protection/>
    </xf>
    <xf numFmtId="3" fontId="55" fillId="14" borderId="12" xfId="67" applyNumberFormat="1" applyFont="1" applyFill="1" applyBorder="1" applyAlignment="1">
      <alignment vertical="center"/>
      <protection/>
    </xf>
    <xf numFmtId="3" fontId="1" fillId="0" borderId="0" xfId="67" applyNumberFormat="1">
      <alignment/>
      <protection/>
    </xf>
    <xf numFmtId="0" fontId="1" fillId="0" borderId="19" xfId="67" applyBorder="1">
      <alignment/>
      <protection/>
    </xf>
    <xf numFmtId="0" fontId="58" fillId="0" borderId="0" xfId="67" applyFont="1" applyAlignment="1">
      <alignment vertical="center"/>
      <protection/>
    </xf>
    <xf numFmtId="0" fontId="1" fillId="0" borderId="13" xfId="67" applyBorder="1">
      <alignment/>
      <protection/>
    </xf>
    <xf numFmtId="0" fontId="55" fillId="0" borderId="12" xfId="67" applyFont="1" applyFill="1" applyBorder="1" applyAlignment="1">
      <alignment horizontal="center" vertical="center" wrapText="1"/>
      <protection/>
    </xf>
    <xf numFmtId="0" fontId="1" fillId="0" borderId="11" xfId="67" applyBorder="1">
      <alignment/>
      <protection/>
    </xf>
    <xf numFmtId="0" fontId="55" fillId="0" borderId="11" xfId="67" applyFont="1" applyFill="1" applyBorder="1" applyAlignment="1">
      <alignment horizontal="center" vertical="center" wrapText="1"/>
      <protection/>
    </xf>
    <xf numFmtId="1" fontId="1" fillId="0" borderId="12" xfId="67" applyNumberFormat="1" applyFont="1" applyBorder="1" applyAlignment="1">
      <alignment horizontal="right" vertical="center"/>
      <protection/>
    </xf>
    <xf numFmtId="0" fontId="1" fillId="0" borderId="12" xfId="0" applyFont="1" applyFill="1" applyBorder="1" applyAlignment="1">
      <alignment horizontal="left" vertical="center"/>
    </xf>
    <xf numFmtId="3" fontId="59" fillId="0" borderId="12" xfId="67" applyNumberFormat="1" applyFont="1" applyFill="1" applyBorder="1" applyAlignment="1">
      <alignment horizontal="right" vertical="center" wrapText="1"/>
      <protection/>
    </xf>
    <xf numFmtId="3" fontId="1" fillId="0" borderId="12" xfId="67" applyNumberFormat="1" applyFont="1" applyBorder="1" applyAlignment="1">
      <alignment vertical="center"/>
      <protection/>
    </xf>
    <xf numFmtId="3" fontId="1" fillId="14" borderId="12" xfId="67" applyNumberFormat="1" applyFill="1" applyBorder="1" applyAlignment="1">
      <alignment vertical="center"/>
      <protection/>
    </xf>
    <xf numFmtId="3" fontId="1" fillId="0" borderId="12" xfId="67" applyNumberFormat="1" applyFont="1" applyBorder="1" applyAlignment="1">
      <alignment horizontal="right" vertical="center"/>
      <protection/>
    </xf>
    <xf numFmtId="0" fontId="1" fillId="0" borderId="42" xfId="67" applyFont="1" applyBorder="1">
      <alignment/>
      <protection/>
    </xf>
    <xf numFmtId="1" fontId="1" fillId="0" borderId="12" xfId="67" applyNumberFormat="1" applyBorder="1" applyAlignment="1">
      <alignment vertical="center"/>
      <protection/>
    </xf>
    <xf numFmtId="0" fontId="59" fillId="0" borderId="12" xfId="67" applyFont="1" applyFill="1" applyBorder="1" applyAlignment="1">
      <alignment horizontal="left" vertical="center" wrapText="1"/>
      <protection/>
    </xf>
    <xf numFmtId="3" fontId="59" fillId="14" borderId="12" xfId="67" applyNumberFormat="1" applyFont="1" applyFill="1" applyBorder="1" applyAlignment="1">
      <alignment horizontal="right" vertical="center" wrapText="1"/>
      <protection/>
    </xf>
    <xf numFmtId="3" fontId="56" fillId="0" borderId="12" xfId="67" applyNumberFormat="1" applyFont="1" applyFill="1" applyBorder="1" applyAlignment="1">
      <alignment horizontal="right" vertical="center" wrapText="1"/>
      <protection/>
    </xf>
    <xf numFmtId="0" fontId="56" fillId="0" borderId="12" xfId="67" applyFont="1" applyFill="1" applyBorder="1" applyAlignment="1">
      <alignment horizontal="right" vertical="center" wrapText="1"/>
      <protection/>
    </xf>
    <xf numFmtId="0" fontId="55" fillId="0" borderId="42" xfId="67" applyFont="1" applyFill="1" applyBorder="1" applyAlignment="1">
      <alignment horizontal="center" vertical="center" wrapText="1"/>
      <protection/>
    </xf>
    <xf numFmtId="0" fontId="1" fillId="0" borderId="12" xfId="67" applyFont="1" applyBorder="1" applyAlignment="1">
      <alignment horizontal="right" vertical="center"/>
      <protection/>
    </xf>
    <xf numFmtId="0" fontId="1" fillId="0" borderId="12" xfId="67" applyFont="1" applyFill="1" applyBorder="1" applyAlignment="1">
      <alignment vertical="center"/>
      <protection/>
    </xf>
    <xf numFmtId="0" fontId="60" fillId="0" borderId="12" xfId="67" applyFont="1" applyFill="1" applyBorder="1" applyAlignment="1">
      <alignment horizontal="center" vertical="center" wrapText="1"/>
      <protection/>
    </xf>
    <xf numFmtId="0" fontId="59" fillId="0" borderId="12" xfId="67" applyFont="1" applyFill="1" applyBorder="1" applyAlignment="1">
      <alignment horizontal="right" vertical="center" wrapText="1"/>
      <protection/>
    </xf>
    <xf numFmtId="3" fontId="59" fillId="0" borderId="12" xfId="67" applyNumberFormat="1" applyFont="1" applyFill="1" applyBorder="1" applyAlignment="1">
      <alignment horizontal="right" vertical="center"/>
      <protection/>
    </xf>
    <xf numFmtId="3" fontId="59" fillId="0" borderId="12" xfId="67" applyNumberFormat="1" applyFont="1" applyFill="1" applyBorder="1" applyAlignment="1">
      <alignment vertical="center"/>
      <protection/>
    </xf>
    <xf numFmtId="2" fontId="1" fillId="0" borderId="12" xfId="67" applyNumberFormat="1" applyFont="1" applyFill="1" applyBorder="1" applyAlignment="1">
      <alignment vertical="center"/>
      <protection/>
    </xf>
    <xf numFmtId="0" fontId="1" fillId="0" borderId="12" xfId="67" applyFont="1" applyBorder="1" applyAlignment="1">
      <alignment vertical="center"/>
      <protection/>
    </xf>
    <xf numFmtId="3" fontId="1" fillId="0" borderId="12" xfId="67" applyNumberForma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" fillId="0" borderId="12" xfId="67" applyFont="1" applyFill="1" applyBorder="1" applyAlignment="1">
      <alignment vertical="center" wrapText="1"/>
      <protection/>
    </xf>
    <xf numFmtId="0" fontId="1" fillId="0" borderId="12" xfId="67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3" fontId="1" fillId="0" borderId="42" xfId="67" applyNumberFormat="1" applyFont="1" applyBorder="1">
      <alignment/>
      <protection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" fillId="0" borderId="12" xfId="67" applyNumberFormat="1" applyFont="1" applyBorder="1" applyAlignment="1">
      <alignment vertical="center"/>
      <protection/>
    </xf>
    <xf numFmtId="3" fontId="1" fillId="14" borderId="42" xfId="67" applyNumberFormat="1" applyFont="1" applyFill="1" applyBorder="1">
      <alignment/>
      <protection/>
    </xf>
    <xf numFmtId="0" fontId="61" fillId="0" borderId="11" xfId="0" applyFont="1" applyFill="1" applyBorder="1" applyAlignment="1">
      <alignment horizontal="left" vertical="center"/>
    </xf>
    <xf numFmtId="0" fontId="11" fillId="0" borderId="12" xfId="67" applyFont="1" applyBorder="1" applyAlignment="1">
      <alignment vertical="center"/>
      <protection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5" fillId="0" borderId="12" xfId="0" applyFont="1" applyBorder="1" applyAlignment="1">
      <alignment horizontal="center" vertical="center" wrapText="1"/>
    </xf>
    <xf numFmtId="0" fontId="55" fillId="0" borderId="12" xfId="67" applyFont="1" applyFill="1" applyBorder="1" applyAlignment="1">
      <alignment vertical="center" wrapText="1"/>
      <protection/>
    </xf>
    <xf numFmtId="0" fontId="55" fillId="0" borderId="11" xfId="67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2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/>
    <xf numFmtId="0" fontId="32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0" fillId="0" borderId="0" xfId="55">
      <alignment/>
      <protection/>
    </xf>
    <xf numFmtId="0" fontId="0" fillId="0" borderId="48" xfId="55" applyBorder="1">
      <alignment/>
      <protection/>
    </xf>
    <xf numFmtId="0" fontId="2" fillId="0" borderId="48" xfId="57" applyFont="1" applyBorder="1" applyAlignment="1">
      <alignment horizontal="right"/>
      <protection/>
    </xf>
    <xf numFmtId="0" fontId="32" fillId="0" borderId="14" xfId="55" applyFont="1" applyBorder="1" applyAlignment="1">
      <alignment horizontal="center"/>
      <protection/>
    </xf>
    <xf numFmtId="0" fontId="62" fillId="0" borderId="39" xfId="55" applyFont="1" applyBorder="1" applyAlignment="1">
      <alignment/>
      <protection/>
    </xf>
    <xf numFmtId="0" fontId="63" fillId="0" borderId="50" xfId="55" applyFont="1" applyBorder="1" applyAlignment="1">
      <alignment/>
      <protection/>
    </xf>
    <xf numFmtId="0" fontId="63" fillId="0" borderId="50" xfId="55" applyFont="1" applyBorder="1" applyAlignment="1">
      <alignment horizontal="center"/>
      <protection/>
    </xf>
    <xf numFmtId="0" fontId="63" fillId="0" borderId="50" xfId="55" applyFont="1" applyBorder="1">
      <alignment/>
      <protection/>
    </xf>
    <xf numFmtId="0" fontId="63" fillId="0" borderId="45" xfId="55" applyFont="1" applyBorder="1">
      <alignment/>
      <protection/>
    </xf>
    <xf numFmtId="0" fontId="62" fillId="0" borderId="38" xfId="55" applyFont="1" applyBorder="1" applyAlignment="1">
      <alignment vertical="center"/>
      <protection/>
    </xf>
    <xf numFmtId="0" fontId="62" fillId="0" borderId="26" xfId="55" applyFont="1" applyBorder="1">
      <alignment/>
      <protection/>
    </xf>
    <xf numFmtId="3" fontId="31" fillId="0" borderId="14" xfId="55" applyNumberFormat="1" applyFont="1" applyBorder="1">
      <alignment/>
      <protection/>
    </xf>
    <xf numFmtId="3" fontId="31" fillId="0" borderId="26" xfId="55" applyNumberFormat="1" applyFont="1" applyBorder="1">
      <alignment/>
      <protection/>
    </xf>
    <xf numFmtId="0" fontId="62" fillId="0" borderId="39" xfId="55" applyFont="1" applyBorder="1" applyAlignment="1">
      <alignment horizontal="left"/>
      <protection/>
    </xf>
    <xf numFmtId="0" fontId="37" fillId="0" borderId="50" xfId="55" applyFont="1" applyBorder="1">
      <alignment/>
      <protection/>
    </xf>
    <xf numFmtId="0" fontId="37" fillId="0" borderId="45" xfId="55" applyFont="1" applyBorder="1">
      <alignment/>
      <protection/>
    </xf>
    <xf numFmtId="0" fontId="62" fillId="0" borderId="38" xfId="55" applyFont="1" applyBorder="1">
      <alignment/>
      <protection/>
    </xf>
    <xf numFmtId="0" fontId="63" fillId="0" borderId="26" xfId="55" applyFont="1" applyBorder="1">
      <alignment/>
      <protection/>
    </xf>
    <xf numFmtId="0" fontId="0" fillId="0" borderId="0" xfId="55" applyBorder="1">
      <alignment/>
      <protection/>
    </xf>
    <xf numFmtId="0" fontId="1" fillId="0" borderId="0" xfId="64">
      <alignment/>
      <protection/>
    </xf>
    <xf numFmtId="0" fontId="1" fillId="0" borderId="0" xfId="64" applyAlignment="1">
      <alignment vertical="center"/>
      <protection/>
    </xf>
    <xf numFmtId="0" fontId="1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0" fontId="0" fillId="0" borderId="0" xfId="0" applyAlignment="1">
      <alignment horizontal="right"/>
    </xf>
    <xf numFmtId="0" fontId="33" fillId="0" borderId="0" xfId="0" applyFont="1"/>
    <xf numFmtId="0" fontId="33" fillId="0" borderId="23" xfId="0" applyFont="1" applyBorder="1" applyAlignment="1">
      <alignment horizontal="left" vertical="center"/>
    </xf>
    <xf numFmtId="0" fontId="33" fillId="0" borderId="51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3" fontId="33" fillId="0" borderId="12" xfId="0" applyNumberFormat="1" applyFont="1" applyFill="1" applyBorder="1"/>
    <xf numFmtId="3" fontId="33" fillId="0" borderId="0" xfId="0" applyNumberFormat="1" applyFont="1"/>
    <xf numFmtId="0" fontId="33" fillId="0" borderId="23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3" fontId="33" fillId="0" borderId="41" xfId="0" applyNumberFormat="1" applyFont="1" applyFill="1" applyBorder="1" applyAlignment="1">
      <alignment horizontal="right" vertical="center"/>
    </xf>
    <xf numFmtId="3" fontId="33" fillId="0" borderId="42" xfId="0" applyNumberFormat="1" applyFont="1" applyFill="1" applyBorder="1"/>
    <xf numFmtId="3" fontId="33" fillId="0" borderId="13" xfId="0" applyNumberFormat="1" applyFont="1" applyFill="1" applyBorder="1"/>
    <xf numFmtId="3" fontId="37" fillId="0" borderId="12" xfId="0" applyNumberFormat="1" applyFont="1" applyFill="1" applyBorder="1"/>
    <xf numFmtId="3" fontId="33" fillId="0" borderId="11" xfId="0" applyNumberFormat="1" applyFont="1" applyFill="1" applyBorder="1" applyAlignment="1">
      <alignment horizontal="right" vertical="center"/>
    </xf>
    <xf numFmtId="0" fontId="3" fillId="0" borderId="0" xfId="0" applyFont="1"/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3" fontId="3" fillId="14" borderId="10" xfId="0" applyNumberFormat="1" applyFont="1" applyFill="1" applyBorder="1" applyAlignment="1">
      <alignment horizontal="right"/>
    </xf>
    <xf numFmtId="3" fontId="3" fillId="14" borderId="10" xfId="0" applyNumberFormat="1" applyFont="1" applyFill="1" applyBorder="1"/>
    <xf numFmtId="3" fontId="7" fillId="14" borderId="10" xfId="0" applyNumberFormat="1" applyFont="1" applyFill="1" applyBorder="1"/>
    <xf numFmtId="3" fontId="3" fillId="14" borderId="16" xfId="0" applyNumberFormat="1" applyFont="1" applyFill="1" applyBorder="1"/>
    <xf numFmtId="3" fontId="3" fillId="14" borderId="10" xfId="0" applyNumberFormat="1" applyFont="1" applyFill="1" applyBorder="1" applyAlignment="1">
      <alignment horizontal="right"/>
    </xf>
    <xf numFmtId="3" fontId="3" fillId="14" borderId="11" xfId="0" applyNumberFormat="1" applyFont="1" applyFill="1" applyBorder="1" applyAlignment="1">
      <alignment horizontal="right"/>
    </xf>
    <xf numFmtId="3" fontId="7" fillId="14" borderId="10" xfId="75" applyNumberFormat="1" applyFont="1" applyFill="1" applyBorder="1" applyAlignment="1">
      <alignment horizontal="right"/>
    </xf>
    <xf numFmtId="3" fontId="2" fillId="14" borderId="23" xfId="59" applyNumberFormat="1" applyFont="1" applyFill="1" applyBorder="1" applyAlignment="1">
      <alignment/>
      <protection/>
    </xf>
    <xf numFmtId="3" fontId="3" fillId="14" borderId="12" xfId="59" applyNumberFormat="1" applyFont="1" applyFill="1" applyBorder="1" applyAlignment="1">
      <alignment/>
      <protection/>
    </xf>
    <xf numFmtId="3" fontId="3" fillId="14" borderId="14" xfId="59" applyNumberFormat="1" applyFont="1" applyFill="1" applyBorder="1" applyAlignment="1">
      <alignment/>
      <protection/>
    </xf>
    <xf numFmtId="3" fontId="2" fillId="14" borderId="12" xfId="59" applyNumberFormat="1" applyFont="1" applyFill="1" applyBorder="1" applyAlignment="1">
      <alignment/>
      <protection/>
    </xf>
    <xf numFmtId="3" fontId="2" fillId="14" borderId="14" xfId="59" applyNumberFormat="1" applyFont="1" applyFill="1" applyBorder="1" applyAlignment="1">
      <alignment/>
      <protection/>
    </xf>
    <xf numFmtId="3" fontId="3" fillId="14" borderId="23" xfId="59" applyNumberFormat="1" applyFont="1" applyFill="1" applyBorder="1" applyAlignment="1">
      <alignment/>
      <protection/>
    </xf>
    <xf numFmtId="3" fontId="3" fillId="14" borderId="46" xfId="59" applyNumberFormat="1" applyFont="1" applyFill="1" applyBorder="1" applyAlignment="1">
      <alignment/>
      <protection/>
    </xf>
    <xf numFmtId="3" fontId="3" fillId="14" borderId="27" xfId="59" applyNumberFormat="1" applyFont="1" applyFill="1" applyBorder="1" applyAlignment="1">
      <alignment/>
      <protection/>
    </xf>
    <xf numFmtId="3" fontId="3" fillId="14" borderId="23" xfId="59" applyNumberFormat="1" applyFont="1" applyFill="1" applyBorder="1" applyAlignment="1">
      <alignment/>
      <protection/>
    </xf>
    <xf numFmtId="3" fontId="9" fillId="14" borderId="39" xfId="63" applyNumberFormat="1" applyFont="1" applyFill="1" applyBorder="1" applyAlignment="1">
      <alignment horizontal="right"/>
      <protection/>
    </xf>
    <xf numFmtId="3" fontId="2" fillId="14" borderId="39" xfId="68" applyNumberFormat="1" applyFont="1" applyFill="1" applyBorder="1" applyAlignment="1">
      <alignment horizontal="right"/>
      <protection/>
    </xf>
    <xf numFmtId="3" fontId="2" fillId="14" borderId="15" xfId="0" applyNumberFormat="1" applyFont="1" applyFill="1" applyBorder="1" applyAlignment="1">
      <alignment horizontal="right"/>
    </xf>
    <xf numFmtId="3" fontId="8" fillId="14" borderId="15" xfId="0" applyNumberFormat="1" applyFont="1" applyFill="1" applyBorder="1" applyAlignment="1">
      <alignment horizontal="right"/>
    </xf>
    <xf numFmtId="3" fontId="8" fillId="14" borderId="14" xfId="0" applyNumberFormat="1" applyFont="1" applyFill="1" applyBorder="1" applyAlignment="1">
      <alignment horizontal="right"/>
    </xf>
    <xf numFmtId="3" fontId="2" fillId="14" borderId="14" xfId="0" applyNumberFormat="1" applyFont="1" applyFill="1" applyBorder="1" applyAlignment="1">
      <alignment horizontal="right"/>
    </xf>
    <xf numFmtId="3" fontId="7" fillId="14" borderId="16" xfId="0" applyNumberFormat="1" applyFont="1" applyFill="1" applyBorder="1"/>
    <xf numFmtId="3" fontId="3" fillId="14" borderId="38" xfId="0" applyNumberFormat="1" applyFont="1" applyFill="1" applyBorder="1"/>
    <xf numFmtId="3" fontId="33" fillId="0" borderId="47" xfId="0" applyNumberFormat="1" applyFont="1" applyFill="1" applyBorder="1"/>
    <xf numFmtId="0" fontId="0" fillId="14" borderId="42" xfId="0" applyFill="1" applyBorder="1" applyAlignment="1">
      <alignment/>
    </xf>
    <xf numFmtId="3" fontId="37" fillId="14" borderId="23" xfId="61" applyNumberFormat="1" applyFont="1" applyFill="1" applyBorder="1" applyAlignment="1">
      <alignment horizontal="right"/>
      <protection/>
    </xf>
    <xf numFmtId="3" fontId="37" fillId="14" borderId="13" xfId="61" applyNumberFormat="1" applyFont="1" applyFill="1" applyBorder="1" applyAlignment="1">
      <alignment horizontal="right"/>
      <protection/>
    </xf>
    <xf numFmtId="0" fontId="35" fillId="0" borderId="52" xfId="59" applyFont="1" applyBorder="1" applyAlignment="1">
      <alignment/>
      <protection/>
    </xf>
    <xf numFmtId="3" fontId="35" fillId="0" borderId="52" xfId="58" applyNumberFormat="1" applyFont="1" applyBorder="1">
      <alignment/>
      <protection/>
    </xf>
    <xf numFmtId="0" fontId="35" fillId="0" borderId="53" xfId="58" applyFont="1" applyBorder="1">
      <alignment/>
      <protection/>
    </xf>
    <xf numFmtId="0" fontId="1" fillId="0" borderId="0" xfId="58" applyAlignment="1">
      <alignment horizontal="right"/>
      <protection/>
    </xf>
    <xf numFmtId="0" fontId="37" fillId="0" borderId="23" xfId="61" applyFont="1" applyFill="1" applyBorder="1" applyAlignment="1">
      <alignment/>
      <protection/>
    </xf>
    <xf numFmtId="0" fontId="37" fillId="0" borderId="42" xfId="61" applyFont="1" applyFill="1" applyBorder="1" applyAlignment="1">
      <alignment/>
      <protection/>
    </xf>
    <xf numFmtId="3" fontId="37" fillId="0" borderId="12" xfId="61" applyNumberFormat="1" applyFont="1" applyFill="1" applyBorder="1">
      <alignment/>
      <protection/>
    </xf>
    <xf numFmtId="3" fontId="37" fillId="0" borderId="23" xfId="61" applyNumberFormat="1" applyFont="1" applyFill="1" applyBorder="1">
      <alignment/>
      <protection/>
    </xf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3" fontId="1" fillId="0" borderId="11" xfId="67" applyNumberFormat="1" applyFont="1" applyBorder="1" applyAlignment="1">
      <alignment vertical="center"/>
      <protection/>
    </xf>
    <xf numFmtId="3" fontId="37" fillId="0" borderId="13" xfId="0" applyNumberFormat="1" applyFont="1" applyFill="1" applyBorder="1"/>
    <xf numFmtId="0" fontId="37" fillId="0" borderId="23" xfId="0" applyFont="1" applyBorder="1" applyAlignment="1">
      <alignment horizontal="left"/>
    </xf>
    <xf numFmtId="0" fontId="37" fillId="0" borderId="42" xfId="0" applyFont="1" applyBorder="1" applyAlignment="1">
      <alignment horizontal="left"/>
    </xf>
    <xf numFmtId="0" fontId="33" fillId="0" borderId="12" xfId="59" applyFont="1" applyBorder="1" applyAlignment="1">
      <alignment/>
      <protection/>
    </xf>
    <xf numFmtId="3" fontId="0" fillId="0" borderId="0" xfId="63" applyNumberFormat="1" applyFont="1">
      <alignment/>
      <protection/>
    </xf>
    <xf numFmtId="3" fontId="3" fillId="14" borderId="11" xfId="0" applyNumberFormat="1" applyFont="1" applyFill="1" applyBorder="1"/>
    <xf numFmtId="0" fontId="3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20" xfId="0" applyFont="1" applyFill="1" applyBorder="1"/>
    <xf numFmtId="0" fontId="35" fillId="0" borderId="0" xfId="58" applyFont="1" applyBorder="1">
      <alignment/>
      <protection/>
    </xf>
    <xf numFmtId="3" fontId="34" fillId="0" borderId="0" xfId="58" applyNumberFormat="1" applyFont="1" applyBorder="1">
      <alignment/>
      <protection/>
    </xf>
    <xf numFmtId="3" fontId="35" fillId="0" borderId="54" xfId="58" applyNumberFormat="1" applyFont="1" applyBorder="1">
      <alignment/>
      <protection/>
    </xf>
    <xf numFmtId="0" fontId="35" fillId="0" borderId="54" xfId="58" applyFont="1" applyBorder="1">
      <alignment/>
      <protection/>
    </xf>
    <xf numFmtId="0" fontId="33" fillId="0" borderId="23" xfId="0" applyFont="1" applyFill="1" applyBorder="1" applyAlignment="1">
      <alignment horizontal="left"/>
    </xf>
    <xf numFmtId="3" fontId="7" fillId="14" borderId="11" xfId="0" applyNumberFormat="1" applyFont="1" applyFill="1" applyBorder="1" applyAlignment="1">
      <alignment horizontal="right"/>
    </xf>
    <xf numFmtId="3" fontId="8" fillId="14" borderId="11" xfId="0" applyNumberFormat="1" applyFont="1" applyFill="1" applyBorder="1" applyAlignment="1">
      <alignment horizontal="right"/>
    </xf>
    <xf numFmtId="3" fontId="8" fillId="14" borderId="21" xfId="0" applyNumberFormat="1" applyFont="1" applyFill="1" applyBorder="1" applyAlignment="1">
      <alignment horizontal="right"/>
    </xf>
    <xf numFmtId="3" fontId="8" fillId="14" borderId="32" xfId="0" applyNumberFormat="1" applyFont="1" applyFill="1" applyBorder="1" applyAlignment="1">
      <alignment horizontal="right"/>
    </xf>
    <xf numFmtId="3" fontId="7" fillId="14" borderId="21" xfId="0" applyNumberFormat="1" applyFont="1" applyFill="1" applyBorder="1" applyAlignment="1">
      <alignment horizontal="right"/>
    </xf>
    <xf numFmtId="3" fontId="8" fillId="14" borderId="27" xfId="0" applyNumberFormat="1" applyFont="1" applyFill="1" applyBorder="1" applyAlignment="1">
      <alignment horizontal="right"/>
    </xf>
    <xf numFmtId="3" fontId="7" fillId="14" borderId="27" xfId="0" applyNumberFormat="1" applyFont="1" applyFill="1" applyBorder="1" applyAlignment="1">
      <alignment horizontal="right"/>
    </xf>
    <xf numFmtId="3" fontId="7" fillId="14" borderId="46" xfId="0" applyNumberFormat="1" applyFont="1" applyFill="1" applyBorder="1" applyAlignment="1">
      <alignment horizontal="right"/>
    </xf>
    <xf numFmtId="3" fontId="8" fillId="14" borderId="39" xfId="0" applyNumberFormat="1" applyFont="1" applyFill="1" applyBorder="1" applyAlignment="1">
      <alignment horizontal="right"/>
    </xf>
    <xf numFmtId="3" fontId="2" fillId="14" borderId="11" xfId="0" applyNumberFormat="1" applyFont="1" applyFill="1" applyBorder="1" applyAlignment="1">
      <alignment horizontal="right"/>
    </xf>
    <xf numFmtId="3" fontId="3" fillId="14" borderId="11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3" fillId="14" borderId="14" xfId="0" applyNumberFormat="1" applyFont="1" applyFill="1" applyBorder="1" applyAlignment="1">
      <alignment horizontal="right"/>
    </xf>
    <xf numFmtId="3" fontId="2" fillId="14" borderId="21" xfId="0" applyNumberFormat="1" applyFont="1" applyFill="1" applyBorder="1" applyAlignment="1">
      <alignment horizontal="right"/>
    </xf>
    <xf numFmtId="3" fontId="3" fillId="14" borderId="21" xfId="0" applyNumberFormat="1" applyFont="1" applyFill="1" applyBorder="1" applyAlignment="1">
      <alignment horizontal="right"/>
    </xf>
    <xf numFmtId="3" fontId="7" fillId="14" borderId="14" xfId="0" applyNumberFormat="1" applyFont="1" applyFill="1" applyBorder="1" applyAlignment="1">
      <alignment horizontal="right"/>
    </xf>
    <xf numFmtId="3" fontId="3" fillId="14" borderId="14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2" fillId="14" borderId="18" xfId="0" applyNumberFormat="1" applyFont="1" applyFill="1" applyBorder="1" applyAlignment="1">
      <alignment horizontal="right"/>
    </xf>
    <xf numFmtId="3" fontId="7" fillId="14" borderId="10" xfId="0" applyNumberFormat="1" applyFont="1" applyFill="1" applyBorder="1" applyAlignment="1">
      <alignment horizontal="right"/>
    </xf>
    <xf numFmtId="3" fontId="2" fillId="14" borderId="14" xfId="0" applyNumberFormat="1" applyFont="1" applyFill="1" applyBorder="1" applyAlignment="1">
      <alignment horizontal="right"/>
    </xf>
    <xf numFmtId="3" fontId="2" fillId="14" borderId="15" xfId="0" applyNumberFormat="1" applyFont="1" applyFill="1" applyBorder="1" applyAlignment="1">
      <alignment horizontal="right" vertical="center"/>
    </xf>
    <xf numFmtId="3" fontId="2" fillId="14" borderId="39" xfId="0" applyNumberFormat="1" applyFont="1" applyFill="1" applyBorder="1"/>
    <xf numFmtId="3" fontId="2" fillId="14" borderId="16" xfId="0" applyNumberFormat="1" applyFont="1" applyFill="1" applyBorder="1"/>
    <xf numFmtId="3" fontId="3" fillId="14" borderId="16" xfId="0" applyNumberFormat="1" applyFont="1" applyFill="1" applyBorder="1"/>
    <xf numFmtId="3" fontId="5" fillId="14" borderId="16" xfId="0" applyNumberFormat="1" applyFont="1" applyFill="1" applyBorder="1"/>
    <xf numFmtId="3" fontId="3" fillId="14" borderId="38" xfId="0" applyNumberFormat="1" applyFont="1" applyFill="1" applyBorder="1"/>
    <xf numFmtId="3" fontId="2" fillId="14" borderId="16" xfId="0" applyNumberFormat="1" applyFont="1" applyFill="1" applyBorder="1" applyAlignment="1">
      <alignment horizontal="center"/>
    </xf>
    <xf numFmtId="3" fontId="8" fillId="14" borderId="16" xfId="0" applyNumberFormat="1" applyFont="1" applyFill="1" applyBorder="1"/>
    <xf numFmtId="3" fontId="8" fillId="14" borderId="39" xfId="0" applyNumberFormat="1" applyFont="1" applyFill="1" applyBorder="1"/>
    <xf numFmtId="3" fontId="2" fillId="14" borderId="23" xfId="0" applyNumberFormat="1" applyFont="1" applyFill="1" applyBorder="1"/>
    <xf numFmtId="3" fontId="2" fillId="14" borderId="11" xfId="45" applyNumberFormat="1" applyFont="1" applyFill="1" applyBorder="1" applyAlignment="1">
      <alignment horizontal="right"/>
    </xf>
    <xf numFmtId="3" fontId="2" fillId="14" borderId="12" xfId="0" applyNumberFormat="1" applyFont="1" applyFill="1" applyBorder="1" applyAlignment="1">
      <alignment horizontal="right"/>
    </xf>
    <xf numFmtId="0" fontId="0" fillId="14" borderId="10" xfId="0" applyFill="1" applyBorder="1"/>
    <xf numFmtId="3" fontId="2" fillId="14" borderId="11" xfId="0" applyNumberFormat="1" applyFont="1" applyFill="1" applyBorder="1" applyAlignment="1">
      <alignment horizontal="right"/>
    </xf>
    <xf numFmtId="3" fontId="2" fillId="14" borderId="12" xfId="0" applyNumberFormat="1" applyFont="1" applyFill="1" applyBorder="1" applyAlignment="1">
      <alignment horizontal="right"/>
    </xf>
    <xf numFmtId="3" fontId="2" fillId="14" borderId="12" xfId="0" applyNumberFormat="1" applyFont="1" applyFill="1" applyBorder="1"/>
    <xf numFmtId="3" fontId="2" fillId="14" borderId="10" xfId="0" applyNumberFormat="1" applyFont="1" applyFill="1" applyBorder="1" applyAlignment="1">
      <alignment horizontal="right"/>
    </xf>
    <xf numFmtId="3" fontId="2" fillId="14" borderId="10" xfId="0" applyNumberFormat="1" applyFont="1" applyFill="1" applyBorder="1"/>
    <xf numFmtId="3" fontId="2" fillId="14" borderId="11" xfId="0" applyNumberFormat="1" applyFont="1" applyFill="1" applyBorder="1"/>
    <xf numFmtId="3" fontId="2" fillId="14" borderId="12" xfId="0" applyNumberFormat="1" applyFont="1" applyFill="1" applyBorder="1"/>
    <xf numFmtId="3" fontId="33" fillId="0" borderId="11" xfId="0" applyNumberFormat="1" applyFont="1" applyBorder="1" applyAlignment="1">
      <alignment horizontal="right" vertical="center"/>
    </xf>
    <xf numFmtId="3" fontId="36" fillId="0" borderId="12" xfId="58" applyNumberFormat="1" applyFont="1" applyBorder="1">
      <alignment/>
      <protection/>
    </xf>
    <xf numFmtId="3" fontId="4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/>
    <xf numFmtId="3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/>
    <xf numFmtId="3" fontId="2" fillId="0" borderId="21" xfId="0" applyNumberFormat="1" applyFont="1" applyFill="1" applyBorder="1"/>
    <xf numFmtId="3" fontId="3" fillId="0" borderId="14" xfId="0" applyNumberFormat="1" applyFont="1" applyFill="1" applyBorder="1"/>
    <xf numFmtId="3" fontId="2" fillId="0" borderId="14" xfId="0" applyNumberFormat="1" applyFont="1" applyFill="1" applyBorder="1" applyAlignment="1">
      <alignment vertical="center"/>
    </xf>
    <xf numFmtId="9" fontId="3" fillId="0" borderId="12" xfId="59" applyNumberFormat="1" applyFont="1" applyBorder="1" applyAlignment="1">
      <alignment/>
      <protection/>
    </xf>
    <xf numFmtId="9" fontId="2" fillId="0" borderId="15" xfId="59" applyNumberFormat="1" applyFont="1" applyBorder="1" applyAlignment="1">
      <alignment/>
      <protection/>
    </xf>
    <xf numFmtId="9" fontId="3" fillId="0" borderId="11" xfId="59" applyNumberFormat="1" applyFont="1" applyBorder="1" applyAlignment="1">
      <alignment/>
      <protection/>
    </xf>
    <xf numFmtId="9" fontId="3" fillId="0" borderId="12" xfId="0" applyNumberFormat="1" applyFont="1" applyBorder="1"/>
    <xf numFmtId="9" fontId="2" fillId="0" borderId="15" xfId="0" applyNumberFormat="1" applyFont="1" applyBorder="1"/>
    <xf numFmtId="9" fontId="2" fillId="0" borderId="15" xfId="63" applyNumberFormat="1" applyFont="1" applyFill="1" applyBorder="1">
      <alignment/>
      <protection/>
    </xf>
    <xf numFmtId="9" fontId="3" fillId="0" borderId="12" xfId="0" applyNumberFormat="1" applyFont="1" applyFill="1" applyBorder="1"/>
    <xf numFmtId="9" fontId="2" fillId="0" borderId="11" xfId="0" applyNumberFormat="1" applyFont="1" applyFill="1" applyBorder="1"/>
    <xf numFmtId="9" fontId="3" fillId="0" borderId="21" xfId="0" applyNumberFormat="1" applyFont="1" applyFill="1" applyBorder="1"/>
    <xf numFmtId="9" fontId="2" fillId="0" borderId="15" xfId="0" applyNumberFormat="1" applyFont="1" applyFill="1" applyBorder="1"/>
    <xf numFmtId="9" fontId="2" fillId="0" borderId="21" xfId="0" applyNumberFormat="1" applyFont="1" applyFill="1" applyBorder="1"/>
    <xf numFmtId="9" fontId="2" fillId="0" borderId="10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8" fillId="0" borderId="12" xfId="75" applyNumberFormat="1" applyFont="1" applyFill="1" applyBorder="1" applyAlignment="1">
      <alignment horizontal="right"/>
    </xf>
    <xf numFmtId="9" fontId="3" fillId="0" borderId="15" xfId="63" applyNumberFormat="1" applyFont="1" applyFill="1" applyBorder="1">
      <alignment/>
      <protection/>
    </xf>
    <xf numFmtId="9" fontId="2" fillId="0" borderId="14" xfId="63" applyNumberFormat="1" applyFont="1" applyFill="1" applyBorder="1">
      <alignment/>
      <protection/>
    </xf>
    <xf numFmtId="0" fontId="7" fillId="0" borderId="23" xfId="0" applyFont="1" applyFill="1" applyBorder="1"/>
    <xf numFmtId="9" fontId="3" fillId="0" borderId="14" xfId="0" applyNumberFormat="1" applyFont="1" applyBorder="1"/>
    <xf numFmtId="3" fontId="0" fillId="0" borderId="12" xfId="0" applyNumberFormat="1" applyFont="1" applyBorder="1" applyAlignment="1">
      <alignment vertical="center"/>
    </xf>
    <xf numFmtId="0" fontId="37" fillId="14" borderId="23" xfId="61" applyFont="1" applyFill="1" applyBorder="1" applyAlignment="1">
      <alignment/>
      <protection/>
    </xf>
    <xf numFmtId="0" fontId="37" fillId="14" borderId="23" xfId="61" applyFont="1" applyFill="1" applyBorder="1" applyAlignment="1">
      <alignment/>
      <protection/>
    </xf>
    <xf numFmtId="0" fontId="3" fillId="0" borderId="11" xfId="0" applyFont="1" applyFill="1" applyBorder="1" applyAlignment="1">
      <alignment/>
    </xf>
    <xf numFmtId="3" fontId="3" fillId="14" borderId="13" xfId="59" applyNumberFormat="1" applyFont="1" applyFill="1" applyBorder="1" applyAlignment="1">
      <alignment/>
      <protection/>
    </xf>
    <xf numFmtId="3" fontId="3" fillId="14" borderId="14" xfId="59" applyNumberFormat="1" applyFont="1" applyFill="1" applyBorder="1" applyAlignment="1">
      <alignment/>
      <protection/>
    </xf>
    <xf numFmtId="3" fontId="3" fillId="14" borderId="12" xfId="59" applyNumberFormat="1" applyFont="1" applyFill="1" applyBorder="1" applyAlignment="1">
      <alignment/>
      <protection/>
    </xf>
    <xf numFmtId="9" fontId="3" fillId="0" borderId="11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3" fillId="0" borderId="12" xfId="0" applyNumberFormat="1" applyFont="1" applyFill="1" applyBorder="1" applyAlignment="1">
      <alignment horizontal="right" vertical="center"/>
    </xf>
    <xf numFmtId="9" fontId="3" fillId="0" borderId="21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right" vertical="center"/>
    </xf>
    <xf numFmtId="9" fontId="2" fillId="0" borderId="14" xfId="0" applyNumberFormat="1" applyFont="1" applyBorder="1"/>
    <xf numFmtId="9" fontId="8" fillId="0" borderId="11" xfId="75" applyNumberFormat="1" applyFont="1" applyFill="1" applyBorder="1" applyAlignment="1">
      <alignment horizontal="right"/>
    </xf>
    <xf numFmtId="0" fontId="64" fillId="0" borderId="12" xfId="0" applyFont="1" applyFill="1" applyBorder="1"/>
    <xf numFmtId="3" fontId="6" fillId="0" borderId="12" xfId="0" applyNumberFormat="1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0" fillId="0" borderId="0" xfId="63" applyFont="1">
      <alignment/>
      <protection/>
    </xf>
    <xf numFmtId="49" fontId="0" fillId="0" borderId="0" xfId="63" applyNumberFormat="1" applyFont="1">
      <alignment/>
      <protection/>
    </xf>
    <xf numFmtId="49" fontId="3" fillId="0" borderId="0" xfId="59" applyNumberFormat="1" applyFont="1" applyAlignment="1">
      <alignment/>
      <protection/>
    </xf>
    <xf numFmtId="0" fontId="2" fillId="0" borderId="0" xfId="0" applyFont="1" applyFill="1"/>
    <xf numFmtId="49" fontId="4" fillId="0" borderId="0" xfId="59" applyNumberFormat="1" applyFont="1" applyAlignment="1">
      <alignment/>
      <protection/>
    </xf>
    <xf numFmtId="9" fontId="3" fillId="0" borderId="15" xfId="59" applyNumberFormat="1" applyFont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37" fillId="14" borderId="23" xfId="61" applyFont="1" applyFill="1" applyBorder="1" applyAlignment="1">
      <alignment/>
      <protection/>
    </xf>
    <xf numFmtId="0" fontId="3" fillId="0" borderId="41" xfId="0" applyFont="1" applyFill="1" applyBorder="1"/>
    <xf numFmtId="0" fontId="7" fillId="0" borderId="12" xfId="0" applyFont="1" applyFill="1" applyBorder="1" applyAlignment="1">
      <alignment horizontal="left"/>
    </xf>
    <xf numFmtId="3" fontId="3" fillId="14" borderId="11" xfId="0" applyNumberFormat="1" applyFont="1" applyFill="1" applyBorder="1"/>
    <xf numFmtId="3" fontId="3" fillId="14" borderId="12" xfId="0" applyNumberFormat="1" applyFont="1" applyFill="1" applyBorder="1"/>
    <xf numFmtId="3" fontId="2" fillId="14" borderId="13" xfId="0" applyNumberFormat="1" applyFont="1" applyFill="1" applyBorder="1"/>
    <xf numFmtId="3" fontId="5" fillId="14" borderId="12" xfId="0" applyNumberFormat="1" applyFont="1" applyFill="1" applyBorder="1"/>
    <xf numFmtId="3" fontId="6" fillId="14" borderId="12" xfId="0" applyNumberFormat="1" applyFont="1" applyFill="1" applyBorder="1"/>
    <xf numFmtId="3" fontId="3" fillId="14" borderId="13" xfId="0" applyNumberFormat="1" applyFont="1" applyFill="1" applyBorder="1"/>
    <xf numFmtId="3" fontId="3" fillId="14" borderId="12" xfId="0" applyNumberFormat="1" applyFont="1" applyFill="1" applyBorder="1"/>
    <xf numFmtId="3" fontId="5" fillId="14" borderId="21" xfId="0" applyNumberFormat="1" applyFont="1" applyFill="1" applyBorder="1"/>
    <xf numFmtId="3" fontId="4" fillId="14" borderId="15" xfId="0" applyNumberFormat="1" applyFont="1" applyFill="1" applyBorder="1" applyAlignment="1">
      <alignment vertical="center"/>
    </xf>
    <xf numFmtId="3" fontId="2" fillId="14" borderId="15" xfId="0" applyNumberFormat="1" applyFont="1" applyFill="1" applyBorder="1" applyAlignment="1">
      <alignment vertical="center"/>
    </xf>
    <xf numFmtId="3" fontId="3" fillId="14" borderId="21" xfId="0" applyNumberFormat="1" applyFont="1" applyFill="1" applyBorder="1"/>
    <xf numFmtId="3" fontId="4" fillId="14" borderId="14" xfId="0" applyNumberFormat="1" applyFont="1" applyFill="1" applyBorder="1" applyAlignment="1">
      <alignment vertical="center"/>
    </xf>
    <xf numFmtId="3" fontId="4" fillId="14" borderId="38" xfId="63" applyNumberFormat="1" applyFont="1" applyFill="1" applyBorder="1" applyAlignment="1">
      <alignment horizontal="right" vertical="center"/>
      <protection/>
    </xf>
    <xf numFmtId="3" fontId="3" fillId="14" borderId="16" xfId="63" applyNumberFormat="1" applyFont="1" applyFill="1" applyBorder="1" applyAlignment="1">
      <alignment horizontal="right"/>
      <protection/>
    </xf>
    <xf numFmtId="3" fontId="3" fillId="14" borderId="38" xfId="63" applyNumberFormat="1" applyFont="1" applyFill="1" applyBorder="1" applyAlignment="1">
      <alignment horizontal="right"/>
      <protection/>
    </xf>
    <xf numFmtId="3" fontId="2" fillId="14" borderId="39" xfId="63" applyNumberFormat="1" applyFont="1" applyFill="1" applyBorder="1" applyAlignment="1">
      <alignment horizontal="right"/>
      <protection/>
    </xf>
    <xf numFmtId="0" fontId="2" fillId="14" borderId="16" xfId="63" applyFont="1" applyFill="1" applyBorder="1" applyAlignment="1">
      <alignment horizontal="center"/>
      <protection/>
    </xf>
    <xf numFmtId="0" fontId="3" fillId="14" borderId="38" xfId="63" applyFont="1" applyFill="1" applyBorder="1" applyAlignment="1">
      <alignment/>
      <protection/>
    </xf>
    <xf numFmtId="0" fontId="2" fillId="14" borderId="38" xfId="63" applyFont="1" applyFill="1" applyBorder="1" applyAlignment="1">
      <alignment/>
      <protection/>
    </xf>
    <xf numFmtId="3" fontId="5" fillId="14" borderId="16" xfId="63" applyNumberFormat="1" applyFont="1" applyFill="1" applyBorder="1" applyAlignment="1">
      <alignment horizontal="right"/>
      <protection/>
    </xf>
    <xf numFmtId="3" fontId="2" fillId="14" borderId="38" xfId="63" applyNumberFormat="1" applyFont="1" applyFill="1" applyBorder="1" applyAlignment="1">
      <alignment horizontal="right"/>
      <protection/>
    </xf>
    <xf numFmtId="3" fontId="4" fillId="14" borderId="38" xfId="63" applyNumberFormat="1" applyFont="1" applyFill="1" applyBorder="1" applyAlignment="1">
      <alignment horizontal="right" vertical="center"/>
      <protection/>
    </xf>
    <xf numFmtId="3" fontId="3" fillId="14" borderId="38" xfId="63" applyNumberFormat="1" applyFont="1" applyFill="1" applyBorder="1" applyAlignment="1">
      <alignment horizontal="right" vertical="center"/>
      <protection/>
    </xf>
    <xf numFmtId="3" fontId="2" fillId="14" borderId="38" xfId="63" applyNumberFormat="1" applyFont="1" applyFill="1" applyBorder="1" applyAlignment="1">
      <alignment horizontal="right" vertical="center"/>
      <protection/>
    </xf>
    <xf numFmtId="3" fontId="3" fillId="14" borderId="16" xfId="63" applyNumberFormat="1" applyFont="1" applyFill="1" applyBorder="1" applyAlignment="1">
      <alignment horizontal="right" vertical="center"/>
      <protection/>
    </xf>
    <xf numFmtId="3" fontId="3" fillId="14" borderId="39" xfId="63" applyNumberFormat="1" applyFont="1" applyFill="1" applyBorder="1" applyAlignment="1">
      <alignment horizontal="right" vertical="center"/>
      <protection/>
    </xf>
    <xf numFmtId="3" fontId="4" fillId="14" borderId="39" xfId="63" applyNumberFormat="1" applyFont="1" applyFill="1" applyBorder="1" applyAlignment="1">
      <alignment horizontal="right" vertical="center"/>
      <protection/>
    </xf>
    <xf numFmtId="3" fontId="2" fillId="14" borderId="38" xfId="63" applyNumberFormat="1" applyFont="1" applyFill="1" applyBorder="1" applyAlignment="1">
      <alignment/>
      <protection/>
    </xf>
    <xf numFmtId="3" fontId="3" fillId="14" borderId="16" xfId="63" applyNumberFormat="1" applyFont="1" applyFill="1" applyBorder="1" applyAlignment="1" applyProtection="1">
      <alignment horizontal="right"/>
      <protection locked="0"/>
    </xf>
    <xf numFmtId="3" fontId="3" fillId="14" borderId="38" xfId="63" applyNumberFormat="1" applyFont="1" applyFill="1" applyBorder="1" applyAlignment="1">
      <alignment/>
      <protection/>
    </xf>
    <xf numFmtId="3" fontId="4" fillId="14" borderId="39" xfId="63" applyNumberFormat="1" applyFont="1" applyFill="1" applyBorder="1" applyAlignment="1">
      <alignment horizontal="right" vertical="center"/>
      <protection/>
    </xf>
    <xf numFmtId="3" fontId="9" fillId="14" borderId="39" xfId="63" applyNumberFormat="1" applyFont="1" applyFill="1" applyBorder="1" applyAlignment="1">
      <alignment horizontal="right" vertical="center"/>
      <protection/>
    </xf>
    <xf numFmtId="3" fontId="35" fillId="14" borderId="16" xfId="63" applyNumberFormat="1" applyFont="1" applyFill="1" applyBorder="1" applyAlignment="1">
      <alignment horizontal="right"/>
      <protection/>
    </xf>
    <xf numFmtId="3" fontId="2" fillId="14" borderId="38" xfId="63" applyNumberFormat="1" applyFont="1" applyFill="1" applyBorder="1" applyAlignment="1">
      <alignment horizontal="right"/>
      <protection/>
    </xf>
    <xf numFmtId="3" fontId="4" fillId="14" borderId="15" xfId="63" applyNumberFormat="1" applyFont="1" applyFill="1" applyBorder="1" applyAlignment="1">
      <alignment horizontal="right" vertical="center"/>
      <protection/>
    </xf>
    <xf numFmtId="3" fontId="3" fillId="14" borderId="40" xfId="63" applyNumberFormat="1" applyFont="1" applyFill="1" applyBorder="1" applyAlignment="1">
      <alignment horizontal="right" vertical="center"/>
      <protection/>
    </xf>
    <xf numFmtId="3" fontId="2" fillId="14" borderId="39" xfId="63" applyNumberFormat="1" applyFont="1" applyFill="1" applyBorder="1" applyAlignment="1">
      <alignment horizontal="right" vertical="center"/>
      <protection/>
    </xf>
    <xf numFmtId="0" fontId="3" fillId="14" borderId="38" xfId="63" applyFont="1" applyFill="1" applyBorder="1" applyAlignment="1">
      <alignment horizontal="right"/>
      <protection/>
    </xf>
    <xf numFmtId="0" fontId="2" fillId="14" borderId="39" xfId="63" applyFont="1" applyFill="1" applyBorder="1" applyAlignment="1">
      <alignment horizontal="right"/>
      <protection/>
    </xf>
    <xf numFmtId="3" fontId="9" fillId="14" borderId="38" xfId="63" applyNumberFormat="1" applyFont="1" applyFill="1" applyBorder="1" applyAlignment="1">
      <alignment horizontal="right"/>
      <protection/>
    </xf>
    <xf numFmtId="3" fontId="0" fillId="14" borderId="38" xfId="63" applyNumberFormat="1" applyFont="1" applyFill="1" applyBorder="1" applyAlignment="1">
      <alignment horizontal="right" vertical="center"/>
      <protection/>
    </xf>
    <xf numFmtId="3" fontId="3" fillId="14" borderId="16" xfId="63" applyNumberFormat="1" applyFont="1" applyFill="1" applyBorder="1" applyAlignment="1">
      <alignment/>
      <protection/>
    </xf>
    <xf numFmtId="3" fontId="2" fillId="14" borderId="32" xfId="63" applyNumberFormat="1" applyFont="1" applyFill="1" applyBorder="1" applyAlignment="1">
      <alignment horizontal="right"/>
      <protection/>
    </xf>
    <xf numFmtId="3" fontId="5" fillId="14" borderId="27" xfId="63" applyNumberFormat="1" applyFont="1" applyFill="1" applyBorder="1" applyAlignment="1">
      <alignment horizontal="right"/>
      <protection/>
    </xf>
    <xf numFmtId="3" fontId="4" fillId="14" borderId="39" xfId="63" applyNumberFormat="1" applyFont="1" applyFill="1" applyBorder="1" applyAlignment="1">
      <alignment horizontal="right"/>
      <protection/>
    </xf>
    <xf numFmtId="3" fontId="2" fillId="14" borderId="39" xfId="63" applyNumberFormat="1" applyFont="1" applyFill="1" applyBorder="1" applyAlignment="1">
      <alignment horizontal="right"/>
      <protection/>
    </xf>
    <xf numFmtId="3" fontId="2" fillId="14" borderId="13" xfId="0" applyNumberFormat="1" applyFont="1" applyFill="1" applyBorder="1" applyAlignment="1">
      <alignment horizontal="right"/>
    </xf>
    <xf numFmtId="3" fontId="3" fillId="14" borderId="21" xfId="0" applyNumberFormat="1" applyFont="1" applyFill="1" applyBorder="1" applyAlignment="1">
      <alignment horizontal="right"/>
    </xf>
    <xf numFmtId="3" fontId="2" fillId="14" borderId="15" xfId="0" applyNumberFormat="1" applyFont="1" applyFill="1" applyBorder="1"/>
    <xf numFmtId="3" fontId="3" fillId="14" borderId="10" xfId="75" applyNumberFormat="1" applyFont="1" applyFill="1" applyBorder="1" applyAlignment="1">
      <alignment horizontal="right"/>
    </xf>
    <xf numFmtId="3" fontId="2" fillId="14" borderId="10" xfId="0" applyNumberFormat="1" applyFont="1" applyFill="1" applyBorder="1"/>
    <xf numFmtId="3" fontId="2" fillId="14" borderId="11" xfId="0" applyNumberFormat="1" applyFont="1" applyFill="1" applyBorder="1"/>
    <xf numFmtId="3" fontId="2" fillId="14" borderId="10" xfId="0" applyNumberFormat="1" applyFont="1" applyFill="1" applyBorder="1" applyAlignment="1">
      <alignment horizontal="right"/>
    </xf>
    <xf numFmtId="3" fontId="0" fillId="14" borderId="12" xfId="0" applyNumberFormat="1" applyFill="1" applyBorder="1"/>
    <xf numFmtId="3" fontId="4" fillId="14" borderId="12" xfId="0" applyNumberFormat="1" applyFont="1" applyFill="1" applyBorder="1"/>
    <xf numFmtId="3" fontId="0" fillId="14" borderId="12" xfId="0" applyNumberFormat="1" applyFont="1" applyFill="1" applyBorder="1"/>
    <xf numFmtId="0" fontId="33" fillId="0" borderId="20" xfId="0" applyFont="1" applyFill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9" fontId="1" fillId="0" borderId="0" xfId="64" applyNumberFormat="1">
      <alignment/>
      <protection/>
    </xf>
    <xf numFmtId="0" fontId="3" fillId="0" borderId="12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left"/>
    </xf>
    <xf numFmtId="0" fontId="36" fillId="0" borderId="23" xfId="58" applyFont="1" applyBorder="1">
      <alignment/>
      <protection/>
    </xf>
    <xf numFmtId="3" fontId="65" fillId="0" borderId="12" xfId="0" applyNumberFormat="1" applyFont="1" applyBorder="1"/>
    <xf numFmtId="3" fontId="4" fillId="0" borderId="0" xfId="0" applyNumberFormat="1" applyFont="1" applyAlignment="1">
      <alignment horizontal="right"/>
    </xf>
    <xf numFmtId="0" fontId="3" fillId="0" borderId="12" xfId="0" applyFont="1" applyBorder="1"/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3" fontId="34" fillId="0" borderId="42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31" xfId="0" applyFont="1" applyBorder="1"/>
    <xf numFmtId="3" fontId="34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23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3" fontId="35" fillId="0" borderId="35" xfId="58" applyNumberFormat="1" applyFont="1" applyBorder="1">
      <alignment/>
      <protection/>
    </xf>
    <xf numFmtId="3" fontId="35" fillId="0" borderId="47" xfId="58" applyNumberFormat="1" applyFont="1" applyBorder="1">
      <alignment/>
      <protection/>
    </xf>
    <xf numFmtId="1" fontId="1" fillId="0" borderId="12" xfId="67" applyNumberFormat="1" applyFont="1" applyBorder="1" applyAlignment="1">
      <alignment horizontal="right" vertical="center" wrapText="1"/>
      <protection/>
    </xf>
    <xf numFmtId="3" fontId="64" fillId="0" borderId="12" xfId="0" applyNumberFormat="1" applyFont="1" applyBorder="1"/>
    <xf numFmtId="3" fontId="64" fillId="14" borderId="12" xfId="0" applyNumberFormat="1" applyFont="1" applyFill="1" applyBorder="1"/>
    <xf numFmtId="3" fontId="45" fillId="14" borderId="12" xfId="0" applyNumberFormat="1" applyFont="1" applyFill="1" applyBorder="1"/>
    <xf numFmtId="0" fontId="0" fillId="0" borderId="0" xfId="0" applyFill="1" applyAlignment="1">
      <alignment horizontal="center" vertical="center"/>
    </xf>
    <xf numFmtId="3" fontId="8" fillId="14" borderId="10" xfId="0" applyNumberFormat="1" applyFont="1" applyFill="1" applyBorder="1" applyAlignment="1">
      <alignment horizontal="right"/>
    </xf>
    <xf numFmtId="3" fontId="7" fillId="14" borderId="12" xfId="7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14" borderId="10" xfId="0" applyNumberFormat="1" applyFont="1" applyFill="1" applyBorder="1" applyAlignment="1">
      <alignment horizontal="right"/>
    </xf>
    <xf numFmtId="3" fontId="41" fillId="14" borderId="10" xfId="0" applyNumberFormat="1" applyFont="1" applyFill="1" applyBorder="1"/>
    <xf numFmtId="0" fontId="5" fillId="0" borderId="10" xfId="0" applyFont="1" applyFill="1" applyBorder="1" applyAlignment="1">
      <alignment/>
    </xf>
    <xf numFmtId="3" fontId="5" fillId="14" borderId="10" xfId="0" applyNumberFormat="1" applyFont="1" applyFill="1" applyBorder="1"/>
    <xf numFmtId="0" fontId="41" fillId="0" borderId="10" xfId="0" applyFont="1" applyFill="1" applyBorder="1" applyAlignment="1">
      <alignment horizontal="left"/>
    </xf>
    <xf numFmtId="0" fontId="35" fillId="0" borderId="35" xfId="58" applyFont="1" applyBorder="1">
      <alignment/>
      <protection/>
    </xf>
    <xf numFmtId="0" fontId="35" fillId="0" borderId="47" xfId="58" applyFont="1" applyBorder="1">
      <alignment/>
      <protection/>
    </xf>
    <xf numFmtId="9" fontId="2" fillId="0" borderId="15" xfId="59" applyNumberFormat="1" applyFont="1" applyBorder="1" applyAlignment="1">
      <alignment vertical="center"/>
      <protection/>
    </xf>
    <xf numFmtId="9" fontId="3" fillId="0" borderId="10" xfId="0" applyNumberFormat="1" applyFont="1" applyBorder="1"/>
    <xf numFmtId="0" fontId="3" fillId="0" borderId="20" xfId="0" applyFont="1" applyFill="1" applyBorder="1"/>
    <xf numFmtId="0" fontId="33" fillId="0" borderId="23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14" borderId="12" xfId="0" applyNumberFormat="1" applyFont="1" applyFill="1" applyBorder="1"/>
    <xf numFmtId="0" fontId="33" fillId="0" borderId="23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3" fontId="0" fillId="0" borderId="11" xfId="0" applyNumberFormat="1" applyBorder="1"/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9" fontId="3" fillId="14" borderId="10" xfId="0" applyNumberFormat="1" applyFont="1" applyFill="1" applyBorder="1"/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0" fontId="33" fillId="0" borderId="23" xfId="0" applyFont="1" applyBorder="1" applyAlignment="1">
      <alignment horizontal="left" vertical="center"/>
    </xf>
    <xf numFmtId="0" fontId="33" fillId="0" borderId="51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3" fontId="4" fillId="14" borderId="11" xfId="0" applyNumberFormat="1" applyFont="1" applyFill="1" applyBorder="1"/>
    <xf numFmtId="3" fontId="2" fillId="14" borderId="21" xfId="0" applyNumberFormat="1" applyFont="1" applyFill="1" applyBorder="1"/>
    <xf numFmtId="3" fontId="6" fillId="14" borderId="14" xfId="0" applyNumberFormat="1" applyFont="1" applyFill="1" applyBorder="1"/>
    <xf numFmtId="3" fontId="6" fillId="14" borderId="10" xfId="0" applyNumberFormat="1" applyFont="1" applyFill="1" applyBorder="1"/>
    <xf numFmtId="3" fontId="3" fillId="14" borderId="14" xfId="0" applyNumberFormat="1" applyFont="1" applyFill="1" applyBorder="1"/>
    <xf numFmtId="0" fontId="0" fillId="0" borderId="0" xfId="0" applyFill="1" applyAlignment="1">
      <alignment horizontal="center" vertical="center"/>
    </xf>
    <xf numFmtId="0" fontId="37" fillId="0" borderId="23" xfId="0" applyFont="1" applyBorder="1" applyAlignment="1">
      <alignment horizontal="left"/>
    </xf>
    <xf numFmtId="0" fontId="37" fillId="0" borderId="42" xfId="0" applyFont="1" applyBorder="1" applyAlignment="1">
      <alignment horizontal="left"/>
    </xf>
    <xf numFmtId="9" fontId="3" fillId="0" borderId="31" xfId="63" applyNumberFormat="1" applyFont="1" applyFill="1" applyBorder="1">
      <alignment/>
      <protection/>
    </xf>
    <xf numFmtId="9" fontId="8" fillId="0" borderId="10" xfId="75" applyNumberFormat="1" applyFont="1" applyFill="1" applyBorder="1" applyAlignment="1">
      <alignment horizontal="right"/>
    </xf>
    <xf numFmtId="9" fontId="2" fillId="0" borderId="10" xfId="63" applyNumberFormat="1" applyFont="1" applyFill="1" applyBorder="1">
      <alignment/>
      <protection/>
    </xf>
    <xf numFmtId="9" fontId="3" fillId="0" borderId="11" xfId="63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3" fillId="0" borderId="18" xfId="0" applyNumberFormat="1" applyFont="1" applyFill="1" applyBorder="1" applyAlignment="1">
      <alignment horizontal="right" vertical="center"/>
    </xf>
    <xf numFmtId="9" fontId="7" fillId="0" borderId="14" xfId="68" applyNumberFormat="1" applyFont="1" applyFill="1" applyBorder="1">
      <alignment/>
      <protection/>
    </xf>
    <xf numFmtId="9" fontId="7" fillId="0" borderId="15" xfId="68" applyNumberFormat="1" applyFont="1" applyFill="1" applyBorder="1">
      <alignment/>
      <protection/>
    </xf>
    <xf numFmtId="9" fontId="8" fillId="0" borderId="15" xfId="68" applyNumberFormat="1" applyFont="1" applyFill="1" applyBorder="1">
      <alignment/>
      <protection/>
    </xf>
    <xf numFmtId="9" fontId="8" fillId="0" borderId="10" xfId="68" applyNumberFormat="1" applyFont="1" applyFill="1" applyBorder="1">
      <alignment/>
      <protection/>
    </xf>
    <xf numFmtId="9" fontId="41" fillId="0" borderId="10" xfId="68" applyNumberFormat="1" applyFont="1" applyFill="1" applyBorder="1">
      <alignment/>
      <protection/>
    </xf>
    <xf numFmtId="9" fontId="41" fillId="0" borderId="14" xfId="68" applyNumberFormat="1" applyFont="1" applyFill="1" applyBorder="1">
      <alignment/>
      <protection/>
    </xf>
    <xf numFmtId="9" fontId="8" fillId="0" borderId="14" xfId="68" applyNumberFormat="1" applyFont="1" applyFill="1" applyBorder="1">
      <alignment/>
      <protection/>
    </xf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0" fontId="0" fillId="0" borderId="0" xfId="0" applyFill="1" applyAlignment="1">
      <alignment horizontal="center" vertical="center"/>
    </xf>
    <xf numFmtId="3" fontId="32" fillId="0" borderId="55" xfId="58" applyNumberFormat="1" applyFont="1" applyFill="1" applyBorder="1" applyAlignment="1">
      <alignment vertical="center"/>
      <protection/>
    </xf>
    <xf numFmtId="9" fontId="3" fillId="0" borderId="13" xfId="59" applyNumberFormat="1" applyFont="1" applyBorder="1" applyAlignment="1">
      <alignment/>
      <protection/>
    </xf>
    <xf numFmtId="9" fontId="2" fillId="0" borderId="56" xfId="59" applyNumberFormat="1" applyFont="1" applyBorder="1" applyAlignment="1">
      <alignment/>
      <protection/>
    </xf>
    <xf numFmtId="9" fontId="2" fillId="0" borderId="56" xfId="59" applyNumberFormat="1" applyFont="1" applyBorder="1" applyAlignment="1">
      <alignment vertical="center"/>
      <protection/>
    </xf>
    <xf numFmtId="9" fontId="9" fillId="12" borderId="15" xfId="59" applyNumberFormat="1" applyFont="1" applyFill="1" applyBorder="1" applyAlignment="1">
      <alignment horizontal="right"/>
      <protection/>
    </xf>
    <xf numFmtId="9" fontId="2" fillId="0" borderId="18" xfId="59" applyNumberFormat="1" applyFont="1" applyBorder="1" applyAlignment="1">
      <alignment/>
      <protection/>
    </xf>
    <xf numFmtId="9" fontId="3" fillId="0" borderId="10" xfId="59" applyNumberFormat="1" applyFont="1" applyBorder="1" applyAlignment="1">
      <alignment/>
      <protection/>
    </xf>
    <xf numFmtId="3" fontId="3" fillId="0" borderId="16" xfId="63" applyNumberFormat="1" applyFont="1" applyFill="1" applyBorder="1" applyAlignment="1">
      <alignment horizontal="right"/>
      <protection/>
    </xf>
    <xf numFmtId="3" fontId="2" fillId="0" borderId="39" xfId="63" applyNumberFormat="1" applyFont="1" applyFill="1" applyBorder="1" applyAlignment="1">
      <alignment horizontal="right"/>
      <protection/>
    </xf>
    <xf numFmtId="0" fontId="3" fillId="0" borderId="38" xfId="59" applyFont="1" applyBorder="1" applyAlignment="1">
      <alignment/>
      <protection/>
    </xf>
    <xf numFmtId="3" fontId="4" fillId="0" borderId="10" xfId="0" applyNumberFormat="1" applyFont="1" applyBorder="1" applyAlignment="1">
      <alignment vertical="center"/>
    </xf>
    <xf numFmtId="3" fontId="2" fillId="14" borderId="10" xfId="0" applyNumberFormat="1" applyFont="1" applyFill="1" applyBorder="1" applyAlignment="1">
      <alignment vertical="center"/>
    </xf>
    <xf numFmtId="3" fontId="3" fillId="12" borderId="10" xfId="59" applyNumberFormat="1" applyFont="1" applyFill="1" applyBorder="1" applyAlignment="1">
      <alignment/>
      <protection/>
    </xf>
    <xf numFmtId="9" fontId="2" fillId="0" borderId="14" xfId="59" applyNumberFormat="1" applyFont="1" applyBorder="1" applyAlignment="1">
      <alignment/>
      <protection/>
    </xf>
    <xf numFmtId="3" fontId="3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/>
    </xf>
    <xf numFmtId="3" fontId="41" fillId="14" borderId="10" xfId="75" applyNumberFormat="1" applyFont="1" applyFill="1" applyBorder="1" applyAlignment="1">
      <alignment horizontal="right"/>
    </xf>
    <xf numFmtId="3" fontId="1" fillId="0" borderId="0" xfId="58" applyNumberFormat="1">
      <alignment/>
      <protection/>
    </xf>
    <xf numFmtId="3" fontId="35" fillId="0" borderId="12" xfId="58" applyNumberFormat="1" applyFont="1" applyFill="1" applyBorder="1">
      <alignment/>
      <protection/>
    </xf>
    <xf numFmtId="0" fontId="1" fillId="0" borderId="0" xfId="58" applyFill="1">
      <alignment/>
      <protection/>
    </xf>
    <xf numFmtId="3" fontId="1" fillId="0" borderId="0" xfId="58" applyNumberFormat="1" applyFill="1">
      <alignment/>
      <protection/>
    </xf>
    <xf numFmtId="0" fontId="31" fillId="0" borderId="28" xfId="58" applyFont="1" applyFill="1" applyBorder="1" applyAlignment="1">
      <alignment vertical="center"/>
      <protection/>
    </xf>
    <xf numFmtId="3" fontId="32" fillId="0" borderId="0" xfId="58" applyNumberFormat="1" applyFont="1" applyFill="1" applyBorder="1" applyAlignment="1">
      <alignment vertical="center"/>
      <protection/>
    </xf>
    <xf numFmtId="3" fontId="11" fillId="0" borderId="0" xfId="58" applyNumberFormat="1" applyFont="1" applyFill="1">
      <alignment/>
      <protection/>
    </xf>
    <xf numFmtId="3" fontId="3" fillId="0" borderId="0" xfId="0" applyNumberFormat="1" applyFont="1" applyFill="1" applyBorder="1"/>
    <xf numFmtId="3" fontId="3" fillId="0" borderId="21" xfId="59" applyNumberFormat="1" applyFont="1" applyFill="1" applyBorder="1" applyAlignment="1">
      <alignment/>
      <protection/>
    </xf>
    <xf numFmtId="9" fontId="3" fillId="0" borderId="21" xfId="59" applyNumberFormat="1" applyFont="1" applyFill="1" applyBorder="1" applyAlignment="1">
      <alignment/>
      <protection/>
    </xf>
    <xf numFmtId="9" fontId="3" fillId="0" borderId="21" xfId="59" applyNumberFormat="1" applyFont="1" applyBorder="1" applyAlignment="1">
      <alignment/>
      <protection/>
    </xf>
    <xf numFmtId="9" fontId="3" fillId="0" borderId="18" xfId="59" applyNumberFormat="1" applyFont="1" applyBorder="1" applyAlignment="1">
      <alignment/>
      <protection/>
    </xf>
    <xf numFmtId="9" fontId="3" fillId="0" borderId="33" xfId="59" applyNumberFormat="1" applyFont="1" applyBorder="1" applyAlignment="1">
      <alignment/>
      <protection/>
    </xf>
    <xf numFmtId="9" fontId="2" fillId="0" borderId="28" xfId="59" applyNumberFormat="1" applyFont="1" applyBorder="1" applyAlignment="1">
      <alignment/>
      <protection/>
    </xf>
    <xf numFmtId="9" fontId="2" fillId="0" borderId="33" xfId="59" applyNumberFormat="1" applyFont="1" applyBorder="1" applyAlignment="1">
      <alignment/>
      <protection/>
    </xf>
    <xf numFmtId="9" fontId="3" fillId="0" borderId="21" xfId="0" applyNumberFormat="1" applyFont="1" applyBorder="1"/>
    <xf numFmtId="9" fontId="3" fillId="0" borderId="11" xfId="0" applyNumberFormat="1" applyFont="1" applyBorder="1"/>
    <xf numFmtId="9" fontId="2" fillId="0" borderId="10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 vertical="center"/>
    </xf>
    <xf numFmtId="9" fontId="3" fillId="0" borderId="15" xfId="0" applyNumberFormat="1" applyFont="1" applyBorder="1"/>
    <xf numFmtId="9" fontId="2" fillId="0" borderId="21" xfId="0" applyNumberFormat="1" applyFont="1" applyBorder="1"/>
    <xf numFmtId="3" fontId="35" fillId="0" borderId="11" xfId="58" applyNumberFormat="1" applyFont="1" applyFill="1" applyBorder="1">
      <alignment/>
      <protection/>
    </xf>
    <xf numFmtId="9" fontId="3" fillId="0" borderId="14" xfId="59" applyNumberFormat="1" applyFont="1" applyBorder="1" applyAlignment="1">
      <alignment/>
      <protection/>
    </xf>
    <xf numFmtId="3" fontId="4" fillId="0" borderId="10" xfId="0" applyNumberFormat="1" applyFont="1" applyFill="1" applyBorder="1" applyAlignment="1">
      <alignment vertical="center"/>
    </xf>
    <xf numFmtId="3" fontId="4" fillId="14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14" borderId="10" xfId="0" applyNumberFormat="1" applyFont="1" applyFill="1" applyBorder="1" applyAlignment="1">
      <alignment vertical="center"/>
    </xf>
    <xf numFmtId="9" fontId="2" fillId="0" borderId="18" xfId="0" applyNumberFormat="1" applyFont="1" applyBorder="1"/>
    <xf numFmtId="0" fontId="3" fillId="0" borderId="13" xfId="0" applyFont="1" applyFill="1" applyBorder="1" applyAlignment="1">
      <alignment/>
    </xf>
    <xf numFmtId="3" fontId="5" fillId="0" borderId="10" xfId="0" applyNumberFormat="1" applyFont="1" applyBorder="1"/>
    <xf numFmtId="0" fontId="37" fillId="14" borderId="23" xfId="61" applyFont="1" applyFill="1" applyBorder="1" applyAlignment="1">
      <alignment/>
      <protection/>
    </xf>
    <xf numFmtId="49" fontId="2" fillId="0" borderId="13" xfId="59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0" fillId="0" borderId="0" xfId="0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/>
      <protection/>
    </xf>
    <xf numFmtId="0" fontId="0" fillId="0" borderId="11" xfId="59" applyBorder="1" applyAlignment="1">
      <alignment horizontal="center" vertical="center"/>
      <protection/>
    </xf>
    <xf numFmtId="3" fontId="2" fillId="0" borderId="13" xfId="59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0" xfId="59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2" fillId="0" borderId="0" xfId="63" applyNumberFormat="1" applyFont="1" applyBorder="1" applyAlignment="1">
      <alignment horizontal="center"/>
      <protection/>
    </xf>
    <xf numFmtId="2" fontId="0" fillId="0" borderId="0" xfId="63" applyNumberFormat="1" applyAlignment="1">
      <alignment/>
      <protection/>
    </xf>
    <xf numFmtId="0" fontId="0" fillId="0" borderId="0" xfId="63" applyAlignment="1">
      <alignment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1" fillId="0" borderId="10" xfId="54" applyFill="1" applyBorder="1" applyAlignment="1">
      <alignment horizontal="center" vertical="center"/>
      <protection/>
    </xf>
    <xf numFmtId="0" fontId="1" fillId="0" borderId="14" xfId="54" applyFill="1" applyBorder="1" applyAlignment="1">
      <alignment horizontal="center" vertical="center"/>
      <protection/>
    </xf>
    <xf numFmtId="49" fontId="2" fillId="0" borderId="13" xfId="59" applyNumberFormat="1" applyFont="1" applyFill="1" applyBorder="1" applyAlignment="1">
      <alignment horizontal="center" vertical="center" wrapText="1"/>
      <protection/>
    </xf>
    <xf numFmtId="0" fontId="0" fillId="0" borderId="10" xfId="59" applyFill="1" applyBorder="1" applyAlignment="1">
      <alignment horizontal="center" vertical="center" wrapText="1"/>
      <protection/>
    </xf>
    <xf numFmtId="0" fontId="0" fillId="0" borderId="14" xfId="63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0" xfId="6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68" applyFont="1" applyFill="1" applyAlignment="1">
      <alignment horizontal="center" vertical="center"/>
      <protection/>
    </xf>
    <xf numFmtId="0" fontId="12" fillId="0" borderId="0" xfId="68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0" xfId="59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8" fillId="0" borderId="13" xfId="59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7" fillId="14" borderId="23" xfId="61" applyFont="1" applyFill="1" applyBorder="1" applyAlignment="1">
      <alignment/>
      <protection/>
    </xf>
    <xf numFmtId="0" fontId="37" fillId="14" borderId="42" xfId="61" applyFont="1" applyFill="1" applyBorder="1" applyAlignment="1">
      <alignment/>
      <protection/>
    </xf>
    <xf numFmtId="0" fontId="37" fillId="0" borderId="23" xfId="0" applyFont="1" applyBorder="1" applyAlignment="1">
      <alignment horizontal="left"/>
    </xf>
    <xf numFmtId="0" fontId="37" fillId="0" borderId="42" xfId="0" applyFont="1" applyBorder="1" applyAlignment="1">
      <alignment horizontal="left"/>
    </xf>
    <xf numFmtId="0" fontId="31" fillId="0" borderId="23" xfId="61" applyFont="1" applyBorder="1" applyAlignment="1">
      <alignment/>
      <protection/>
    </xf>
    <xf numFmtId="0" fontId="0" fillId="0" borderId="42" xfId="0" applyBorder="1" applyAlignment="1">
      <alignment/>
    </xf>
    <xf numFmtId="0" fontId="37" fillId="0" borderId="10" xfId="61" applyFont="1" applyBorder="1" applyAlignment="1">
      <alignment vertical="center"/>
      <protection/>
    </xf>
    <xf numFmtId="0" fontId="37" fillId="0" borderId="13" xfId="61" applyFont="1" applyBorder="1" applyAlignment="1">
      <alignment vertical="center"/>
      <protection/>
    </xf>
    <xf numFmtId="0" fontId="37" fillId="0" borderId="11" xfId="61" applyFont="1" applyBorder="1" applyAlignment="1">
      <alignment vertical="center"/>
      <protection/>
    </xf>
    <xf numFmtId="0" fontId="31" fillId="0" borderId="0" xfId="61" applyFont="1" applyBorder="1" applyAlignment="1">
      <alignment vertical="center" wrapText="1"/>
      <protection/>
    </xf>
    <xf numFmtId="0" fontId="37" fillId="0" borderId="0" xfId="61" applyFont="1" applyBorder="1" applyAlignment="1">
      <alignment vertical="center" wrapText="1"/>
      <protection/>
    </xf>
    <xf numFmtId="0" fontId="11" fillId="0" borderId="0" xfId="6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1" fillId="0" borderId="0" xfId="61" applyFont="1" applyAlignment="1">
      <alignment/>
      <protection/>
    </xf>
    <xf numFmtId="0" fontId="4" fillId="0" borderId="0" xfId="0" applyFont="1" applyAlignment="1">
      <alignment/>
    </xf>
    <xf numFmtId="0" fontId="31" fillId="0" borderId="10" xfId="61" applyFont="1" applyBorder="1" applyAlignment="1">
      <alignment vertical="center" wrapText="1"/>
      <protection/>
    </xf>
    <xf numFmtId="0" fontId="37" fillId="0" borderId="25" xfId="61" applyFont="1" applyBorder="1" applyAlignment="1">
      <alignment vertical="center" wrapText="1"/>
      <protection/>
    </xf>
    <xf numFmtId="0" fontId="31" fillId="0" borderId="13" xfId="61" applyFont="1" applyBorder="1" applyAlignment="1">
      <alignment vertical="center" wrapText="1"/>
      <protection/>
    </xf>
    <xf numFmtId="0" fontId="47" fillId="0" borderId="40" xfId="65" applyFont="1" applyBorder="1" applyAlignment="1">
      <alignment horizontal="center" vertical="center"/>
      <protection/>
    </xf>
    <xf numFmtId="0" fontId="47" fillId="0" borderId="16" xfId="65" applyFont="1" applyBorder="1" applyAlignment="1">
      <alignment horizontal="center" vertical="center"/>
      <protection/>
    </xf>
    <xf numFmtId="0" fontId="1" fillId="0" borderId="16" xfId="65" applyBorder="1" applyAlignment="1">
      <alignment horizontal="center" vertical="center"/>
      <protection/>
    </xf>
    <xf numFmtId="0" fontId="1" fillId="0" borderId="38" xfId="65" applyBorder="1" applyAlignment="1">
      <alignment horizontal="center" vertical="center"/>
      <protection/>
    </xf>
    <xf numFmtId="0" fontId="49" fillId="0" borderId="49" xfId="65" applyFont="1" applyBorder="1" applyAlignment="1">
      <alignment horizontal="center" vertical="center" wrapText="1"/>
      <protection/>
    </xf>
    <xf numFmtId="0" fontId="49" fillId="0" borderId="44" xfId="65" applyFont="1" applyBorder="1" applyAlignment="1">
      <alignment horizontal="center" vertical="center" wrapText="1"/>
      <protection/>
    </xf>
    <xf numFmtId="0" fontId="49" fillId="0" borderId="0" xfId="65" applyFont="1" applyBorder="1" applyAlignment="1">
      <alignment horizontal="center" vertical="center" wrapText="1"/>
      <protection/>
    </xf>
    <xf numFmtId="0" fontId="49" fillId="0" borderId="20" xfId="65" applyFont="1" applyBorder="1" applyAlignment="1">
      <alignment horizontal="center" vertical="center" wrapText="1"/>
      <protection/>
    </xf>
    <xf numFmtId="0" fontId="50" fillId="0" borderId="0" xfId="65" applyFont="1" applyBorder="1" applyAlignment="1">
      <alignment horizontal="center" vertical="center" wrapText="1"/>
      <protection/>
    </xf>
    <xf numFmtId="0" fontId="50" fillId="0" borderId="20" xfId="65" applyFont="1" applyBorder="1" applyAlignment="1">
      <alignment horizontal="center" vertical="center" wrapText="1"/>
      <protection/>
    </xf>
    <xf numFmtId="0" fontId="50" fillId="0" borderId="48" xfId="65" applyFont="1" applyBorder="1" applyAlignment="1">
      <alignment horizontal="center" vertical="center" wrapText="1"/>
      <protection/>
    </xf>
    <xf numFmtId="0" fontId="50" fillId="0" borderId="26" xfId="65" applyFont="1" applyBorder="1" applyAlignment="1">
      <alignment horizontal="center" vertical="center" wrapText="1"/>
      <protection/>
    </xf>
    <xf numFmtId="0" fontId="47" fillId="0" borderId="31" xfId="65" applyFont="1" applyBorder="1" applyAlignment="1">
      <alignment horizontal="center" vertical="center"/>
      <protection/>
    </xf>
    <xf numFmtId="0" fontId="47" fillId="0" borderId="14" xfId="65" applyFont="1" applyBorder="1" applyAlignment="1">
      <alignment horizontal="center" vertical="center"/>
      <protection/>
    </xf>
    <xf numFmtId="0" fontId="47" fillId="0" borderId="10" xfId="65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7" fillId="0" borderId="40" xfId="65" applyFont="1" applyBorder="1" applyAlignment="1">
      <alignment horizontal="center" vertical="center" wrapText="1"/>
      <protection/>
    </xf>
    <xf numFmtId="0" fontId="47" fillId="0" borderId="44" xfId="65" applyFont="1" applyBorder="1" applyAlignment="1">
      <alignment horizontal="center" vertical="center" wrapText="1"/>
      <protection/>
    </xf>
    <xf numFmtId="0" fontId="47" fillId="0" borderId="16" xfId="65" applyFont="1" applyBorder="1" applyAlignment="1">
      <alignment horizontal="center" vertical="center" wrapText="1"/>
      <protection/>
    </xf>
    <xf numFmtId="0" fontId="47" fillId="0" borderId="20" xfId="65" applyFont="1" applyBorder="1" applyAlignment="1">
      <alignment horizontal="center" vertical="center" wrapText="1"/>
      <protection/>
    </xf>
    <xf numFmtId="0" fontId="1" fillId="0" borderId="16" xfId="65" applyBorder="1" applyAlignment="1">
      <alignment horizontal="center" vertical="center" wrapText="1"/>
      <protection/>
    </xf>
    <xf numFmtId="0" fontId="1" fillId="0" borderId="20" xfId="65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7" fillId="0" borderId="13" xfId="65" applyFont="1" applyBorder="1" applyAlignment="1">
      <alignment horizontal="center" vertical="center"/>
      <protection/>
    </xf>
    <xf numFmtId="0" fontId="40" fillId="0" borderId="13" xfId="65" applyFont="1" applyBorder="1" applyAlignment="1">
      <alignment horizontal="center" vertical="center" wrapText="1"/>
      <protection/>
    </xf>
    <xf numFmtId="0" fontId="40" fillId="0" borderId="14" xfId="65" applyFont="1" applyBorder="1" applyAlignment="1">
      <alignment horizontal="center" vertical="center" wrapText="1"/>
      <protection/>
    </xf>
    <xf numFmtId="0" fontId="11" fillId="0" borderId="0" xfId="65" applyFont="1" applyAlignment="1">
      <alignment horizontal="center"/>
      <protection/>
    </xf>
    <xf numFmtId="0" fontId="32" fillId="0" borderId="0" xfId="65" applyFont="1" applyAlignment="1">
      <alignment horizontal="center" vertical="center" wrapText="1"/>
      <protection/>
    </xf>
    <xf numFmtId="0" fontId="40" fillId="0" borderId="13" xfId="65" applyFont="1" applyBorder="1" applyAlignment="1">
      <alignment horizontal="center" vertical="center"/>
      <protection/>
    </xf>
    <xf numFmtId="0" fontId="40" fillId="0" borderId="11" xfId="65" applyFont="1" applyBorder="1" applyAlignment="1">
      <alignment horizontal="center" vertical="center"/>
      <protection/>
    </xf>
    <xf numFmtId="0" fontId="40" fillId="0" borderId="17" xfId="65" applyFont="1" applyBorder="1" applyAlignment="1">
      <alignment horizontal="center" vertical="center"/>
      <protection/>
    </xf>
    <xf numFmtId="0" fontId="40" fillId="0" borderId="47" xfId="65" applyFont="1" applyBorder="1" applyAlignment="1">
      <alignment horizontal="center" vertical="center"/>
      <protection/>
    </xf>
    <xf numFmtId="0" fontId="40" fillId="0" borderId="27" xfId="65" applyFont="1" applyBorder="1" applyAlignment="1">
      <alignment horizontal="center" vertical="center"/>
      <protection/>
    </xf>
    <xf numFmtId="0" fontId="40" fillId="0" borderId="41" xfId="65" applyFont="1" applyBorder="1" applyAlignment="1">
      <alignment horizontal="center" vertical="center"/>
      <protection/>
    </xf>
    <xf numFmtId="0" fontId="40" fillId="0" borderId="35" xfId="65" applyFont="1" applyBorder="1" applyAlignment="1">
      <alignment horizontal="center" vertical="center"/>
      <protection/>
    </xf>
    <xf numFmtId="0" fontId="40" fillId="0" borderId="38" xfId="65" applyFont="1" applyBorder="1" applyAlignment="1">
      <alignment horizontal="center" vertical="center"/>
      <protection/>
    </xf>
    <xf numFmtId="0" fontId="40" fillId="0" borderId="48" xfId="65" applyFont="1" applyBorder="1" applyAlignment="1">
      <alignment horizontal="center" vertical="center"/>
      <protection/>
    </xf>
    <xf numFmtId="0" fontId="40" fillId="0" borderId="26" xfId="65" applyFont="1" applyBorder="1" applyAlignment="1">
      <alignment horizontal="center" vertical="center"/>
      <protection/>
    </xf>
    <xf numFmtId="0" fontId="1" fillId="0" borderId="13" xfId="62" applyBorder="1" applyAlignment="1">
      <alignment horizontal="right" vertical="center"/>
      <protection/>
    </xf>
    <xf numFmtId="0" fontId="1" fillId="0" borderId="11" xfId="62" applyBorder="1" applyAlignment="1">
      <alignment horizontal="right" vertical="center"/>
      <protection/>
    </xf>
    <xf numFmtId="0" fontId="11" fillId="0" borderId="13" xfId="62" applyFont="1" applyBorder="1" applyAlignment="1">
      <alignment horizontal="right" vertical="center"/>
      <protection/>
    </xf>
    <xf numFmtId="0" fontId="11" fillId="0" borderId="11" xfId="62" applyFont="1" applyBorder="1" applyAlignment="1">
      <alignment horizontal="right" vertical="center"/>
      <protection/>
    </xf>
    <xf numFmtId="0" fontId="1" fillId="0" borderId="13" xfId="62" applyFont="1" applyBorder="1" applyAlignment="1">
      <alignment/>
      <protection/>
    </xf>
    <xf numFmtId="0" fontId="1" fillId="0" borderId="11" xfId="62" applyBorder="1" applyAlignment="1">
      <alignment/>
      <protection/>
    </xf>
    <xf numFmtId="0" fontId="11" fillId="0" borderId="17" xfId="62" applyFont="1" applyBorder="1" applyAlignment="1">
      <alignment vertical="center"/>
      <protection/>
    </xf>
    <xf numFmtId="0" fontId="11" fillId="0" borderId="35" xfId="62" applyFont="1" applyBorder="1" applyAlignment="1">
      <alignment vertical="center"/>
      <protection/>
    </xf>
    <xf numFmtId="0" fontId="11" fillId="0" borderId="47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0" fontId="11" fillId="0" borderId="19" xfId="62" applyFont="1" applyBorder="1" applyAlignment="1">
      <alignment vertical="center"/>
      <protection/>
    </xf>
    <xf numFmtId="0" fontId="11" fillId="0" borderId="41" xfId="62" applyFont="1" applyBorder="1" applyAlignment="1">
      <alignment vertical="center"/>
      <protection/>
    </xf>
    <xf numFmtId="0" fontId="11" fillId="0" borderId="17" xfId="62" applyFont="1" applyBorder="1" applyAlignment="1">
      <alignment horizontal="left" vertical="center"/>
      <protection/>
    </xf>
    <xf numFmtId="0" fontId="11" fillId="0" borderId="35" xfId="62" applyFont="1" applyBorder="1" applyAlignment="1">
      <alignment horizontal="left" vertical="center"/>
      <protection/>
    </xf>
    <xf numFmtId="0" fontId="11" fillId="0" borderId="47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41" xfId="62" applyFont="1" applyBorder="1" applyAlignment="1">
      <alignment horizontal="left" vertical="center"/>
      <protection/>
    </xf>
    <xf numFmtId="0" fontId="1" fillId="0" borderId="10" xfId="62" applyFont="1" applyBorder="1" applyAlignment="1">
      <alignment/>
      <protection/>
    </xf>
    <xf numFmtId="0" fontId="1" fillId="0" borderId="17" xfId="62" applyFont="1" applyBorder="1" applyAlignment="1">
      <alignment/>
      <protection/>
    </xf>
    <xf numFmtId="0" fontId="1" fillId="0" borderId="35" xfId="62" applyBorder="1" applyAlignment="1">
      <alignment/>
      <protection/>
    </xf>
    <xf numFmtId="0" fontId="1" fillId="0" borderId="47" xfId="62" applyBorder="1" applyAlignment="1">
      <alignment/>
      <protection/>
    </xf>
    <xf numFmtId="0" fontId="1" fillId="0" borderId="27" xfId="62" applyBorder="1" applyAlignment="1">
      <alignment/>
      <protection/>
    </xf>
    <xf numFmtId="0" fontId="1" fillId="0" borderId="19" xfId="62" applyBorder="1" applyAlignment="1">
      <alignment/>
      <protection/>
    </xf>
    <xf numFmtId="0" fontId="1" fillId="0" borderId="41" xfId="62" applyBorder="1" applyAlignment="1">
      <alignment/>
      <protection/>
    </xf>
    <xf numFmtId="0" fontId="11" fillId="0" borderId="17" xfId="62" applyFont="1" applyBorder="1" applyAlignment="1">
      <alignment/>
      <protection/>
    </xf>
    <xf numFmtId="0" fontId="11" fillId="0" borderId="35" xfId="62" applyFont="1" applyBorder="1" applyAlignment="1">
      <alignment/>
      <protection/>
    </xf>
    <xf numFmtId="0" fontId="11" fillId="0" borderId="47" xfId="62" applyFont="1" applyBorder="1" applyAlignment="1">
      <alignment/>
      <protection/>
    </xf>
    <xf numFmtId="0" fontId="11" fillId="0" borderId="27" xfId="62" applyFont="1" applyBorder="1" applyAlignment="1">
      <alignment/>
      <protection/>
    </xf>
    <xf numFmtId="0" fontId="11" fillId="0" borderId="19" xfId="62" applyFont="1" applyBorder="1" applyAlignment="1">
      <alignment/>
      <protection/>
    </xf>
    <xf numFmtId="0" fontId="11" fillId="0" borderId="41" xfId="62" applyFont="1" applyBorder="1" applyAlignment="1">
      <alignment/>
      <protection/>
    </xf>
    <xf numFmtId="0" fontId="1" fillId="0" borderId="17" xfId="62" applyFont="1" applyBorder="1" applyAlignment="1">
      <alignment wrapText="1"/>
      <protection/>
    </xf>
    <xf numFmtId="0" fontId="1" fillId="0" borderId="35" xfId="62" applyBorder="1" applyAlignment="1">
      <alignment wrapText="1"/>
      <protection/>
    </xf>
    <xf numFmtId="0" fontId="1" fillId="0" borderId="47" xfId="62" applyBorder="1" applyAlignment="1">
      <alignment wrapText="1"/>
      <protection/>
    </xf>
    <xf numFmtId="0" fontId="1" fillId="0" borderId="27" xfId="62" applyBorder="1" applyAlignment="1">
      <alignment wrapText="1"/>
      <protection/>
    </xf>
    <xf numFmtId="0" fontId="1" fillId="0" borderId="19" xfId="62" applyBorder="1" applyAlignment="1">
      <alignment wrapText="1"/>
      <protection/>
    </xf>
    <xf numFmtId="0" fontId="1" fillId="0" borderId="41" xfId="62" applyBorder="1" applyAlignment="1">
      <alignment wrapText="1"/>
      <protection/>
    </xf>
    <xf numFmtId="0" fontId="11" fillId="0" borderId="0" xfId="62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1" fillId="0" borderId="0" xfId="62" applyAlignment="1">
      <alignment/>
      <protection/>
    </xf>
    <xf numFmtId="0" fontId="11" fillId="0" borderId="13" xfId="62" applyFont="1" applyBorder="1" applyAlignment="1">
      <alignment vertical="center"/>
      <protection/>
    </xf>
    <xf numFmtId="0" fontId="11" fillId="0" borderId="10" xfId="62" applyFont="1" applyBorder="1" applyAlignment="1">
      <alignment vertical="center"/>
      <protection/>
    </xf>
    <xf numFmtId="0" fontId="11" fillId="0" borderId="11" xfId="62" applyFont="1" applyBorder="1" applyAlignment="1">
      <alignment vertical="center"/>
      <protection/>
    </xf>
    <xf numFmtId="0" fontId="11" fillId="0" borderId="17" xfId="62" applyFont="1" applyBorder="1" applyAlignment="1">
      <alignment vertical="center" wrapText="1"/>
      <protection/>
    </xf>
    <xf numFmtId="0" fontId="11" fillId="0" borderId="35" xfId="62" applyFont="1" applyBorder="1" applyAlignment="1">
      <alignment vertical="center" wrapText="1"/>
      <protection/>
    </xf>
    <xf numFmtId="0" fontId="11" fillId="0" borderId="47" xfId="62" applyFont="1" applyBorder="1" applyAlignment="1">
      <alignment vertical="center" wrapText="1"/>
      <protection/>
    </xf>
    <xf numFmtId="0" fontId="11" fillId="0" borderId="16" xfId="62" applyFont="1" applyBorder="1" applyAlignment="1">
      <alignment vertical="center" wrapText="1"/>
      <protection/>
    </xf>
    <xf numFmtId="0" fontId="11" fillId="0" borderId="0" xfId="62" applyFont="1" applyBorder="1" applyAlignment="1">
      <alignment vertical="center" wrapText="1"/>
      <protection/>
    </xf>
    <xf numFmtId="0" fontId="11" fillId="0" borderId="20" xfId="62" applyFont="1" applyBorder="1" applyAlignment="1">
      <alignment vertical="center" wrapText="1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" fillId="0" borderId="10" xfId="62" applyBorder="1" applyAlignment="1">
      <alignment horizontal="center" wrapText="1"/>
      <protection/>
    </xf>
    <xf numFmtId="0" fontId="1" fillId="0" borderId="11" xfId="62" applyBorder="1" applyAlignment="1">
      <alignment horizontal="center" wrapText="1"/>
      <protection/>
    </xf>
    <xf numFmtId="0" fontId="11" fillId="0" borderId="23" xfId="62" applyFont="1" applyBorder="1" applyAlignment="1">
      <alignment horizontal="center"/>
      <protection/>
    </xf>
    <xf numFmtId="0" fontId="11" fillId="0" borderId="51" xfId="62" applyFont="1" applyBorder="1" applyAlignment="1">
      <alignment horizontal="center"/>
      <protection/>
    </xf>
    <xf numFmtId="0" fontId="1" fillId="0" borderId="51" xfId="62" applyBorder="1" applyAlignment="1">
      <alignment horizontal="center"/>
      <protection/>
    </xf>
    <xf numFmtId="0" fontId="11" fillId="0" borderId="42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0" xfId="62" applyBorder="1" applyAlignment="1">
      <alignment horizontal="center" vertical="center" wrapText="1"/>
      <protection/>
    </xf>
    <xf numFmtId="0" fontId="1" fillId="0" borderId="11" xfId="62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9" xfId="62" applyBorder="1" applyAlignment="1">
      <alignment horizontal="center" vertical="center" wrapText="1"/>
      <protection/>
    </xf>
    <xf numFmtId="0" fontId="43" fillId="0" borderId="0" xfId="55" applyFont="1" applyAlignment="1">
      <alignment horizontal="center" vertical="center"/>
      <protection/>
    </xf>
    <xf numFmtId="0" fontId="11" fillId="0" borderId="0" xfId="69" applyFont="1" applyAlignment="1">
      <alignment horizontal="center" vertical="center"/>
      <protection/>
    </xf>
    <xf numFmtId="0" fontId="11" fillId="0" borderId="13" xfId="69" applyFont="1" applyBorder="1" applyAlignment="1">
      <alignment horizontal="center" vertical="center"/>
      <protection/>
    </xf>
    <xf numFmtId="0" fontId="11" fillId="0" borderId="11" xfId="69" applyFont="1" applyBorder="1" applyAlignment="1">
      <alignment horizontal="center" vertical="center"/>
      <protection/>
    </xf>
    <xf numFmtId="0" fontId="12" fillId="0" borderId="35" xfId="69" applyFont="1" applyBorder="1" applyAlignment="1">
      <alignment horizontal="center" vertical="center"/>
      <protection/>
    </xf>
    <xf numFmtId="0" fontId="12" fillId="0" borderId="19" xfId="69" applyFont="1" applyBorder="1" applyAlignment="1">
      <alignment horizontal="center" vertical="center"/>
      <protection/>
    </xf>
    <xf numFmtId="0" fontId="12" fillId="0" borderId="23" xfId="69" applyFont="1" applyBorder="1" applyAlignment="1">
      <alignment horizontal="center" vertical="center"/>
      <protection/>
    </xf>
    <xf numFmtId="0" fontId="12" fillId="0" borderId="42" xfId="69" applyFont="1" applyBorder="1" applyAlignment="1">
      <alignment horizontal="center" vertical="center"/>
      <protection/>
    </xf>
    <xf numFmtId="0" fontId="55" fillId="0" borderId="17" xfId="67" applyFont="1" applyBorder="1" applyAlignment="1">
      <alignment horizontal="center" vertical="center" wrapText="1"/>
      <protection/>
    </xf>
    <xf numFmtId="0" fontId="55" fillId="0" borderId="27" xfId="67" applyFont="1" applyBorder="1" applyAlignment="1">
      <alignment horizontal="center" vertical="center" wrapText="1"/>
      <protection/>
    </xf>
    <xf numFmtId="0" fontId="55" fillId="0" borderId="13" xfId="67" applyFont="1" applyFill="1" applyBorder="1" applyAlignment="1">
      <alignment horizontal="center" vertical="center" wrapText="1"/>
      <protection/>
    </xf>
    <xf numFmtId="0" fontId="11" fillId="0" borderId="13" xfId="67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6" fillId="0" borderId="0" xfId="67" applyFont="1" applyAlignment="1">
      <alignment horizontal="center" vertical="center"/>
      <protection/>
    </xf>
    <xf numFmtId="0" fontId="53" fillId="0" borderId="0" xfId="67" applyFont="1" applyAlignment="1">
      <alignment horizontal="center" vertical="center"/>
      <protection/>
    </xf>
    <xf numFmtId="0" fontId="55" fillId="0" borderId="13" xfId="67" applyFont="1" applyBorder="1" applyAlignment="1">
      <alignment horizontal="center" vertical="center" wrapText="1"/>
      <protection/>
    </xf>
    <xf numFmtId="0" fontId="55" fillId="0" borderId="11" xfId="67" applyFont="1" applyBorder="1" applyAlignment="1">
      <alignment horizontal="center" vertical="center" wrapText="1"/>
      <protection/>
    </xf>
    <xf numFmtId="49" fontId="2" fillId="0" borderId="13" xfId="60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5" fillId="0" borderId="47" xfId="67" applyFont="1" applyBorder="1" applyAlignment="1">
      <alignment horizontal="center" vertical="center" wrapText="1"/>
      <protection/>
    </xf>
    <xf numFmtId="0" fontId="55" fillId="0" borderId="41" xfId="67" applyFont="1" applyBorder="1" applyAlignment="1">
      <alignment horizontal="center" vertical="center" wrapText="1"/>
      <protection/>
    </xf>
    <xf numFmtId="0" fontId="55" fillId="0" borderId="23" xfId="67" applyFont="1" applyBorder="1" applyAlignment="1">
      <alignment horizontal="center" vertical="center" wrapText="1"/>
      <protection/>
    </xf>
    <xf numFmtId="0" fontId="55" fillId="0" borderId="42" xfId="67" applyFont="1" applyBorder="1" applyAlignment="1">
      <alignment horizontal="center" vertical="center" wrapText="1"/>
      <protection/>
    </xf>
    <xf numFmtId="0" fontId="55" fillId="0" borderId="51" xfId="67" applyFont="1" applyBorder="1" applyAlignment="1">
      <alignment horizontal="center" vertical="center" wrapText="1"/>
      <protection/>
    </xf>
    <xf numFmtId="0" fontId="55" fillId="0" borderId="12" xfId="67" applyFont="1" applyFill="1" applyBorder="1" applyAlignment="1">
      <alignment horizontal="center" vertical="center" wrapText="1"/>
      <protection/>
    </xf>
    <xf numFmtId="0" fontId="1" fillId="0" borderId="11" xfId="67" applyBorder="1" applyAlignment="1">
      <alignment horizontal="center" vertical="center" wrapText="1"/>
      <protection/>
    </xf>
    <xf numFmtId="0" fontId="11" fillId="0" borderId="0" xfId="67" applyFont="1" applyAlignment="1">
      <alignment horizontal="center" vertical="center" wrapText="1"/>
      <protection/>
    </xf>
    <xf numFmtId="0" fontId="54" fillId="0" borderId="0" xfId="67" applyFont="1" applyAlignment="1">
      <alignment horizontal="center" vertical="center"/>
      <protection/>
    </xf>
    <xf numFmtId="0" fontId="54" fillId="0" borderId="0" xfId="67" applyFont="1" applyAlignment="1">
      <alignment horizontal="center"/>
      <protection/>
    </xf>
    <xf numFmtId="0" fontId="55" fillId="0" borderId="11" xfId="6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3" fontId="37" fillId="0" borderId="13" xfId="55" applyNumberFormat="1" applyFont="1" applyBorder="1" applyAlignment="1">
      <alignment vertical="center"/>
      <protection/>
    </xf>
    <xf numFmtId="3" fontId="37" fillId="0" borderId="14" xfId="53" applyNumberFormat="1" applyFont="1" applyBorder="1" applyAlignment="1">
      <alignment vertical="center"/>
      <protection/>
    </xf>
    <xf numFmtId="3" fontId="1" fillId="0" borderId="11" xfId="53" applyNumberFormat="1" applyFont="1" applyBorder="1" applyAlignment="1">
      <alignment vertical="center"/>
      <protection/>
    </xf>
    <xf numFmtId="3" fontId="31" fillId="0" borderId="13" xfId="55" applyNumberFormat="1" applyFont="1" applyBorder="1" applyAlignment="1">
      <alignment vertical="center"/>
      <protection/>
    </xf>
    <xf numFmtId="3" fontId="31" fillId="0" borderId="14" xfId="55" applyNumberFormat="1" applyFont="1" applyBorder="1" applyAlignment="1">
      <alignment vertical="center"/>
      <protection/>
    </xf>
    <xf numFmtId="3" fontId="31" fillId="0" borderId="11" xfId="55" applyNumberFormat="1" applyFont="1" applyBorder="1" applyAlignment="1">
      <alignment vertical="center"/>
      <protection/>
    </xf>
    <xf numFmtId="0" fontId="33" fillId="0" borderId="17" xfId="55" applyFont="1" applyBorder="1" applyAlignment="1">
      <alignment vertical="center" wrapText="1"/>
      <protection/>
    </xf>
    <xf numFmtId="0" fontId="33" fillId="0" borderId="47" xfId="53" applyFont="1" applyBorder="1" applyAlignment="1">
      <alignment vertical="center" wrapText="1"/>
      <protection/>
    </xf>
    <xf numFmtId="0" fontId="33" fillId="0" borderId="27" xfId="53" applyFont="1" applyBorder="1" applyAlignment="1">
      <alignment vertical="center" wrapText="1"/>
      <protection/>
    </xf>
    <xf numFmtId="0" fontId="33" fillId="0" borderId="41" xfId="53" applyFont="1" applyBorder="1" applyAlignment="1">
      <alignment vertical="center" wrapText="1"/>
      <protection/>
    </xf>
    <xf numFmtId="0" fontId="33" fillId="0" borderId="38" xfId="53" applyFont="1" applyBorder="1" applyAlignment="1">
      <alignment vertical="center" wrapText="1"/>
      <protection/>
    </xf>
    <xf numFmtId="0" fontId="33" fillId="0" borderId="26" xfId="53" applyFont="1" applyBorder="1" applyAlignment="1">
      <alignment vertical="center" wrapText="1"/>
      <protection/>
    </xf>
    <xf numFmtId="3" fontId="37" fillId="0" borderId="11" xfId="53" applyNumberFormat="1" applyFont="1" applyBorder="1" applyAlignment="1">
      <alignment vertical="center"/>
      <protection/>
    </xf>
    <xf numFmtId="3" fontId="37" fillId="0" borderId="10" xfId="55" applyNumberFormat="1" applyFont="1" applyBorder="1" applyAlignment="1">
      <alignment vertical="center"/>
      <protection/>
    </xf>
    <xf numFmtId="3" fontId="37" fillId="0" borderId="11" xfId="55" applyNumberFormat="1" applyFont="1" applyBorder="1" applyAlignment="1">
      <alignment vertical="center"/>
      <protection/>
    </xf>
    <xf numFmtId="0" fontId="33" fillId="0" borderId="16" xfId="55" applyFont="1" applyBorder="1" applyAlignment="1">
      <alignment vertical="center" wrapText="1"/>
      <protection/>
    </xf>
    <xf numFmtId="0" fontId="33" fillId="0" borderId="20" xfId="53" applyFont="1" applyBorder="1" applyAlignment="1">
      <alignment vertical="center" wrapText="1"/>
      <protection/>
    </xf>
    <xf numFmtId="0" fontId="33" fillId="0" borderId="17" xfId="55" applyFont="1" applyBorder="1" applyAlignment="1">
      <alignment horizontal="left" vertical="center" wrapText="1"/>
      <protection/>
    </xf>
    <xf numFmtId="0" fontId="33" fillId="0" borderId="47" xfId="53" applyFont="1" applyBorder="1" applyAlignment="1">
      <alignment horizontal="left" vertical="center" wrapText="1"/>
      <protection/>
    </xf>
    <xf numFmtId="0" fontId="33" fillId="0" borderId="27" xfId="53" applyFont="1" applyBorder="1" applyAlignment="1">
      <alignment horizontal="left" vertical="center" wrapText="1"/>
      <protection/>
    </xf>
    <xf numFmtId="0" fontId="33" fillId="0" borderId="41" xfId="53" applyFont="1" applyBorder="1" applyAlignment="1">
      <alignment horizontal="left" vertical="center" wrapText="1"/>
      <protection/>
    </xf>
    <xf numFmtId="0" fontId="0" fillId="0" borderId="0" xfId="55" applyFont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32" fillId="0" borderId="38" xfId="55" applyFont="1" applyBorder="1" applyAlignment="1">
      <alignment horizontal="center"/>
      <protection/>
    </xf>
    <xf numFmtId="0" fontId="32" fillId="0" borderId="26" xfId="55" applyFont="1" applyBorder="1" applyAlignment="1">
      <alignment horizontal="center"/>
      <protection/>
    </xf>
    <xf numFmtId="0" fontId="33" fillId="0" borderId="16" xfId="55" applyFont="1" applyBorder="1" applyAlignment="1">
      <alignment horizontal="left" vertical="center" wrapText="1"/>
      <protection/>
    </xf>
    <xf numFmtId="0" fontId="33" fillId="0" borderId="20" xfId="53" applyFont="1" applyBorder="1" applyAlignment="1">
      <alignment horizontal="left" vertical="center" wrapText="1"/>
      <protection/>
    </xf>
    <xf numFmtId="3" fontId="31" fillId="0" borderId="10" xfId="55" applyNumberFormat="1" applyFont="1" applyBorder="1" applyAlignment="1">
      <alignment vertical="center"/>
      <protection/>
    </xf>
    <xf numFmtId="0" fontId="32" fillId="0" borderId="12" xfId="64" applyFont="1" applyBorder="1" applyAlignment="1">
      <alignment vertical="center" wrapText="1"/>
      <protection/>
    </xf>
    <xf numFmtId="0" fontId="32" fillId="0" borderId="34" xfId="64" applyFont="1" applyBorder="1" applyAlignment="1">
      <alignment vertical="center" wrapText="1"/>
      <protection/>
    </xf>
    <xf numFmtId="3" fontId="32" fillId="0" borderId="12" xfId="64" applyNumberFormat="1" applyFont="1" applyBorder="1" applyAlignment="1">
      <alignment vertical="center"/>
      <protection/>
    </xf>
    <xf numFmtId="3" fontId="32" fillId="0" borderId="34" xfId="64" applyNumberFormat="1" applyFont="1" applyBorder="1" applyAlignment="1">
      <alignment vertical="center"/>
      <protection/>
    </xf>
    <xf numFmtId="0" fontId="32" fillId="0" borderId="37" xfId="64" applyFont="1" applyBorder="1" applyAlignment="1">
      <alignment vertical="center" wrapText="1"/>
      <protection/>
    </xf>
    <xf numFmtId="3" fontId="32" fillId="0" borderId="37" xfId="64" applyNumberFormat="1" applyFont="1" applyBorder="1" applyAlignment="1">
      <alignment vertical="center"/>
      <protection/>
    </xf>
    <xf numFmtId="0" fontId="33" fillId="0" borderId="12" xfId="64" applyFont="1" applyBorder="1" applyAlignment="1">
      <alignment vertical="center" wrapText="1"/>
      <protection/>
    </xf>
    <xf numFmtId="3" fontId="33" fillId="0" borderId="12" xfId="64" applyNumberFormat="1" applyFont="1" applyBorder="1" applyAlignment="1">
      <alignment vertical="center"/>
      <protection/>
    </xf>
    <xf numFmtId="49" fontId="33" fillId="0" borderId="13" xfId="64" applyNumberFormat="1" applyFont="1" applyBorder="1" applyAlignment="1">
      <alignment horizontal="center" vertical="center"/>
      <protection/>
    </xf>
    <xf numFmtId="49" fontId="33" fillId="0" borderId="10" xfId="64" applyNumberFormat="1" applyFont="1" applyBorder="1" applyAlignment="1">
      <alignment horizontal="center" vertical="center"/>
      <protection/>
    </xf>
    <xf numFmtId="49" fontId="33" fillId="0" borderId="11" xfId="64" applyNumberFormat="1" applyFont="1" applyBorder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1" fillId="0" borderId="0" xfId="6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2" fillId="0" borderId="12" xfId="64" applyFont="1" applyBorder="1" applyAlignment="1">
      <alignment horizontal="center" vertical="center"/>
      <protection/>
    </xf>
    <xf numFmtId="0" fontId="32" fillId="0" borderId="12" xfId="64" applyFont="1" applyBorder="1" applyAlignment="1">
      <alignment horizontal="center" vertical="center" wrapText="1"/>
      <protection/>
    </xf>
    <xf numFmtId="0" fontId="32" fillId="0" borderId="13" xfId="64" applyFont="1" applyBorder="1" applyAlignment="1">
      <alignment horizontal="center" vertical="center" wrapText="1"/>
      <protection/>
    </xf>
    <xf numFmtId="0" fontId="32" fillId="0" borderId="11" xfId="64" applyFont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/>
    </xf>
    <xf numFmtId="4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3" fontId="32" fillId="0" borderId="13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3" fontId="32" fillId="0" borderId="13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33" fillId="0" borderId="51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3" fontId="4" fillId="0" borderId="47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Normál 2" xfId="52"/>
    <cellStyle name="Normál_10mellütemterv" xfId="53"/>
    <cellStyle name="Normál_2.sz. melléklet javított" xfId="54"/>
    <cellStyle name="Normál_2007eredetiköltségvetés" xfId="55"/>
    <cellStyle name="Normál_2008évivéglegesköltségvetésfebr13" xfId="56"/>
    <cellStyle name="Normál_2010koltsegvetesjan13" xfId="57"/>
    <cellStyle name="Normál_2011müködésifelhalmérlegfebr17" xfId="58"/>
    <cellStyle name="Normál_2012éviköltségvetésjan19este" xfId="59"/>
    <cellStyle name="Normál_2012éviköltségvetésjan19este 2" xfId="60"/>
    <cellStyle name="Normál_2012koncepcióhozhitel állomány" xfId="61"/>
    <cellStyle name="Normál_2012létszám tábla" xfId="62"/>
    <cellStyle name="Normál_2014.évi költségvetés tervezés jan11" xfId="63"/>
    <cellStyle name="Normál_3évsaját bevétel-2013" xfId="64"/>
    <cellStyle name="Normál_eus tábla" xfId="65"/>
    <cellStyle name="Normal_KARSZJ3" xfId="66"/>
    <cellStyle name="Normál_Kötelző feladatok" xfId="67"/>
    <cellStyle name="Normál_közterület" xfId="68"/>
    <cellStyle name="Normál_közvetett támogatás" xfId="69"/>
    <cellStyle name="Normal_KTRSZJ" xfId="70"/>
    <cellStyle name="Összesen" xfId="71"/>
    <cellStyle name="Rossz" xfId="72"/>
    <cellStyle name="Semleges" xfId="73"/>
    <cellStyle name="Számítás" xfId="74"/>
    <cellStyle name="Százalék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3" name="Button 1" hidden="1">
              <a:extLst xmlns:a="http://schemas.openxmlformats.org/drawingml/2006/main"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4" name="Button 2" hidden="1">
              <a:extLst xmlns:a="http://schemas.openxmlformats.org/drawingml/2006/main"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5" name="Button 3" hidden="1">
              <a:extLst xmlns:a="http://schemas.openxmlformats.org/drawingml/2006/main"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6" name="Button 4" hidden="1">
              <a:extLst xmlns:a="http://schemas.openxmlformats.org/drawingml/2006/main"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7" name="Button 5" hidden="1">
              <a:extLst xmlns:a="http://schemas.openxmlformats.org/drawingml/2006/main"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8" name="Button 6" hidden="1">
              <a:extLst xmlns:a="http://schemas.openxmlformats.org/drawingml/2006/main"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9" name="Button 7" hidden="1">
              <a:extLst xmlns:a="http://schemas.openxmlformats.org/drawingml/2006/main">
                <a:ext uri="{63B3BB69-23CF-44E3-9099-C40C66FF867C}">
                  <a14:compatExt spid="_x0000_s337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0" name="Button 8" hidden="1">
              <a:extLst xmlns:a="http://schemas.openxmlformats.org/drawingml/2006/main">
                <a:ext uri="{63B3BB69-23CF-44E3-9099-C40C66FF867C}">
                  <a14:compatExt spid="_x0000_s3380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1" name="Button 9" hidden="1">
              <a:extLst xmlns:a="http://schemas.openxmlformats.org/drawingml/2006/main">
                <a:ext uri="{63B3BB69-23CF-44E3-9099-C40C66FF867C}">
                  <a14:compatExt spid="_x0000_s3380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2" name="Button 10" hidden="1">
              <a:extLst xmlns:a="http://schemas.openxmlformats.org/drawingml/2006/main">
                <a:ext uri="{63B3BB69-23CF-44E3-9099-C40C66FF867C}">
                  <a14:compatExt spid="_x0000_s3380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3" name="Button 11" hidden="1">
              <a:extLst xmlns:a="http://schemas.openxmlformats.org/drawingml/2006/main">
                <a:ext uri="{63B3BB69-23CF-44E3-9099-C40C66FF867C}">
                  <a14:compatExt spid="_x0000_s3380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4" name="Button 12" hidden="1">
              <a:extLst xmlns:a="http://schemas.openxmlformats.org/drawingml/2006/main">
                <a:ext uri="{63B3BB69-23CF-44E3-9099-C40C66FF867C}">
                  <a14:compatExt spid="_x0000_s3380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5" name="Button 13" hidden="1">
              <a:extLst xmlns:a="http://schemas.openxmlformats.org/drawingml/2006/main">
                <a:ext uri="{63B3BB69-23CF-44E3-9099-C40C66FF867C}">
                  <a14:compatExt spid="_x0000_s3380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6" name="Button 14" hidden="1">
              <a:extLst xmlns:a="http://schemas.openxmlformats.org/drawingml/2006/main">
                <a:ext uri="{63B3BB69-23CF-44E3-9099-C40C66FF867C}">
                  <a14:compatExt spid="_x0000_s3380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7" name="Button 15" hidden="1">
              <a:extLst xmlns:a="http://schemas.openxmlformats.org/drawingml/2006/main">
                <a:ext uri="{63B3BB69-23CF-44E3-9099-C40C66FF867C}">
                  <a14:compatExt spid="_x0000_s3380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8" name="Button 16" hidden="1">
              <a:extLst xmlns:a="http://schemas.openxmlformats.org/drawingml/2006/main">
                <a:ext uri="{63B3BB69-23CF-44E3-9099-C40C66FF867C}">
                  <a14:compatExt spid="_x0000_s3380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1</xdr:col>
          <xdr:colOff>28575</xdr:colOff>
          <xdr:row>0</xdr:row>
          <xdr:rowOff>0</xdr:rowOff>
        </xdr:to>
        <xdr:sp macro="" textlink="">
          <xdr:nvSpPr>
            <xdr:cNvPr id="17409" name="Button 1" hidden="1">
              <a:extLst xmlns:a="http://schemas.openxmlformats.org/drawingml/2006/main"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247650</xdr:colOff>
          <xdr:row>0</xdr:row>
          <xdr:rowOff>0</xdr:rowOff>
        </xdr:from>
        <xdr:to>
          <xdr:col>1</xdr:col>
          <xdr:colOff>276225</xdr:colOff>
          <xdr:row>0</xdr:row>
          <xdr:rowOff>0</xdr:rowOff>
        </xdr:to>
        <xdr:sp macro="" textlink="">
          <xdr:nvSpPr>
            <xdr:cNvPr id="17410" name="Button 2" hidden="1">
              <a:extLst xmlns:a="http://schemas.openxmlformats.org/drawingml/2006/main"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7" Type="http://schemas.openxmlformats.org/officeDocument/2006/relationships/ctrlProp" Target="../ctrlProps/ctrlProp14.xml" /><Relationship Id="rId11" Type="http://schemas.openxmlformats.org/officeDocument/2006/relationships/ctrlProp" Target="../ctrlProps/ctrlProp8.xml" /><Relationship Id="rId8" Type="http://schemas.openxmlformats.org/officeDocument/2006/relationships/ctrlProp" Target="../ctrlProps/ctrlProp5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19" Type="http://schemas.openxmlformats.org/officeDocument/2006/relationships/ctrlProp" Target="../ctrlProps/ctrlProp16.xml" /><Relationship Id="rId12" Type="http://schemas.openxmlformats.org/officeDocument/2006/relationships/ctrlProp" Target="../ctrlProps/ctrlProp9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view="pageBreakPreview" zoomScale="60" workbookViewId="0" topLeftCell="A1">
      <selection activeCell="L12" sqref="L12"/>
    </sheetView>
  </sheetViews>
  <sheetFormatPr defaultColWidth="9.125" defaultRowHeight="12.75"/>
  <cols>
    <col min="1" max="1" width="60.25390625" style="96" customWidth="1"/>
    <col min="2" max="6" width="14.125" style="96" customWidth="1"/>
    <col min="7" max="7" width="51.875" style="96" customWidth="1"/>
    <col min="8" max="8" width="12.75390625" style="96" customWidth="1"/>
    <col min="9" max="9" width="11.875" style="96" customWidth="1"/>
    <col min="10" max="10" width="12.25390625" style="96" customWidth="1"/>
    <col min="11" max="12" width="11.75390625" style="96" customWidth="1"/>
    <col min="13" max="16384" width="9.125" style="96" customWidth="1"/>
  </cols>
  <sheetData>
    <row r="1" spans="1:11" ht="12.75">
      <c r="A1" s="1303" t="s">
        <v>99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</row>
    <row r="2" spans="1:11" ht="12.75" customHeight="1">
      <c r="A2" s="1302" t="s">
        <v>100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</row>
    <row r="3" spans="1:12" ht="12.75" customHeight="1">
      <c r="A3" s="187"/>
      <c r="B3" s="187"/>
      <c r="C3" s="187"/>
      <c r="D3" s="187"/>
      <c r="E3" s="187"/>
      <c r="F3" s="187"/>
      <c r="G3" s="187"/>
      <c r="H3" s="985"/>
      <c r="I3" s="985"/>
      <c r="J3" s="985"/>
      <c r="L3" s="985" t="s">
        <v>368</v>
      </c>
    </row>
    <row r="4" spans="1:12" ht="12.75" customHeight="1">
      <c r="A4" s="1304" t="s">
        <v>299</v>
      </c>
      <c r="B4" s="1300" t="s">
        <v>1192</v>
      </c>
      <c r="C4" s="1300" t="s">
        <v>1225</v>
      </c>
      <c r="D4" s="1300" t="s">
        <v>1263</v>
      </c>
      <c r="E4" s="1300" t="s">
        <v>1272</v>
      </c>
      <c r="F4" s="1300" t="s">
        <v>1276</v>
      </c>
      <c r="G4" s="1304" t="s">
        <v>300</v>
      </c>
      <c r="H4" s="1300" t="s">
        <v>1192</v>
      </c>
      <c r="I4" s="1300" t="s">
        <v>1225</v>
      </c>
      <c r="J4" s="1300" t="s">
        <v>1263</v>
      </c>
      <c r="K4" s="1300" t="s">
        <v>1272</v>
      </c>
      <c r="L4" s="1300" t="s">
        <v>1276</v>
      </c>
    </row>
    <row r="5" spans="1:12" ht="24.75" customHeight="1" thickBot="1">
      <c r="A5" s="1305"/>
      <c r="B5" s="1301"/>
      <c r="C5" s="1301"/>
      <c r="D5" s="1301"/>
      <c r="E5" s="1301"/>
      <c r="F5" s="1301"/>
      <c r="G5" s="1305"/>
      <c r="H5" s="1301"/>
      <c r="I5" s="1301"/>
      <c r="J5" s="1301"/>
      <c r="K5" s="1301"/>
      <c r="L5" s="1301"/>
    </row>
    <row r="6" spans="1:12" s="150" customFormat="1" ht="12.75" thickTop="1">
      <c r="A6" s="163"/>
      <c r="B6" s="198"/>
      <c r="C6" s="198"/>
      <c r="D6" s="198"/>
      <c r="E6" s="198"/>
      <c r="F6" s="198"/>
      <c r="G6" s="166" t="s">
        <v>301</v>
      </c>
      <c r="H6" s="164">
        <f>SUM('1c.mell '!C138)</f>
        <v>4902413</v>
      </c>
      <c r="I6" s="164">
        <f>SUM('1c.mell '!D138)</f>
        <v>4875713</v>
      </c>
      <c r="J6" s="164">
        <f>SUM('1c.mell '!E138)</f>
        <v>5070588</v>
      </c>
      <c r="K6" s="164">
        <f>SUM('1c.mell '!F138)</f>
        <v>5092878</v>
      </c>
      <c r="L6" s="1290">
        <f>SUM('1c.mell '!G138)</f>
        <v>5149337</v>
      </c>
    </row>
    <row r="7" spans="1:12" s="150" customFormat="1" ht="12">
      <c r="A7" s="248" t="s">
        <v>207</v>
      </c>
      <c r="B7" s="157">
        <f>SUM('1b.mell '!C234)</f>
        <v>1811883</v>
      </c>
      <c r="C7" s="157">
        <f>SUM('1b.mell '!D234)</f>
        <v>1811883</v>
      </c>
      <c r="D7" s="157">
        <f>SUM('1b.mell '!E234)</f>
        <v>1875894</v>
      </c>
      <c r="E7" s="157">
        <f>SUM('1b.mell '!F234)</f>
        <v>1900745</v>
      </c>
      <c r="F7" s="1270">
        <f>SUM('1b.mell '!G234)</f>
        <v>1930545</v>
      </c>
      <c r="G7" s="167" t="s">
        <v>350</v>
      </c>
      <c r="H7" s="164">
        <f>SUM('1c.mell '!C139)</f>
        <v>957630</v>
      </c>
      <c r="I7" s="164">
        <f>SUM('1c.mell '!D139)</f>
        <v>948830</v>
      </c>
      <c r="J7" s="164">
        <f>SUM('1c.mell '!E139)</f>
        <v>1011093</v>
      </c>
      <c r="K7" s="164">
        <f>SUM('1c.mell '!F139)</f>
        <v>1014510</v>
      </c>
      <c r="L7" s="1290">
        <f>SUM('1c.mell '!G139)</f>
        <v>1023476</v>
      </c>
    </row>
    <row r="8" spans="1:12" s="150" customFormat="1" ht="12">
      <c r="A8" s="248" t="s">
        <v>211</v>
      </c>
      <c r="B8" s="157">
        <f>SUM('1b.mell '!C17)</f>
        <v>0</v>
      </c>
      <c r="C8" s="157">
        <f>SUM('1b.mell '!D17)</f>
        <v>0</v>
      </c>
      <c r="D8" s="157">
        <f>SUM('1b.mell '!E17)</f>
        <v>0</v>
      </c>
      <c r="E8" s="157">
        <f>SUM('1b.mell '!F17)</f>
        <v>0</v>
      </c>
      <c r="F8" s="1270">
        <f>SUM('1b.mell '!G17)</f>
        <v>0</v>
      </c>
      <c r="G8" s="156" t="s">
        <v>302</v>
      </c>
      <c r="H8" s="157">
        <f>SUM('1c.mell '!C140)</f>
        <v>5817814</v>
      </c>
      <c r="I8" s="157">
        <f>SUM('1c.mell '!D140)</f>
        <v>5643314</v>
      </c>
      <c r="J8" s="157">
        <f>SUM('1c.mell '!E140)</f>
        <v>6536812</v>
      </c>
      <c r="K8" s="157">
        <f>SUM('1c.mell '!F140)</f>
        <v>6565960</v>
      </c>
      <c r="L8" s="157">
        <f>SUM('1c.mell '!G140)</f>
        <v>6560996</v>
      </c>
    </row>
    <row r="9" spans="1:12" s="150" customFormat="1" ht="12.75" thickBot="1">
      <c r="A9" s="249" t="s">
        <v>212</v>
      </c>
      <c r="B9" s="257">
        <f>SUM('1b.mell '!C236)</f>
        <v>0</v>
      </c>
      <c r="C9" s="257">
        <f>SUM('1b.mell '!D236)</f>
        <v>0</v>
      </c>
      <c r="D9" s="257">
        <f>SUM('1b.mell '!E236)</f>
        <v>0</v>
      </c>
      <c r="E9" s="257">
        <f>SUM('1b.mell '!F236)</f>
        <v>0</v>
      </c>
      <c r="F9" s="257">
        <f>SUM('1b.mell '!G236)</f>
        <v>117027</v>
      </c>
      <c r="G9" s="156" t="s">
        <v>102</v>
      </c>
      <c r="H9" s="157">
        <f>SUM('1c.mell '!C141)</f>
        <v>269000</v>
      </c>
      <c r="I9" s="157">
        <f>SUM('1c.mell '!D141)</f>
        <v>568500</v>
      </c>
      <c r="J9" s="157">
        <f>SUM('1c.mell '!E141)</f>
        <v>584022</v>
      </c>
      <c r="K9" s="157">
        <f>SUM('1c.mell '!F141)</f>
        <v>538022</v>
      </c>
      <c r="L9" s="157">
        <f>SUM('1c.mell '!G141)</f>
        <v>412393</v>
      </c>
    </row>
    <row r="10" spans="1:12" s="150" customFormat="1" ht="12.75" thickBot="1">
      <c r="A10" s="250" t="s">
        <v>213</v>
      </c>
      <c r="B10" s="258">
        <f>SUM(B7:B9)</f>
        <v>1811883</v>
      </c>
      <c r="C10" s="258">
        <f>SUM(C7:C9)</f>
        <v>1811883</v>
      </c>
      <c r="D10" s="258">
        <f>SUM(D7:D9)</f>
        <v>1875894</v>
      </c>
      <c r="E10" s="258">
        <f>SUM(E7:E9)</f>
        <v>1900745</v>
      </c>
      <c r="F10" s="258">
        <f>SUM(F7:F9)</f>
        <v>2047572</v>
      </c>
      <c r="G10" s="156" t="s">
        <v>101</v>
      </c>
      <c r="H10" s="677">
        <f>SUM('1c.mell '!C142)</f>
        <v>2415050</v>
      </c>
      <c r="I10" s="677">
        <v>2165550</v>
      </c>
      <c r="J10" s="677">
        <f>SUM('1c.mell '!E142)</f>
        <v>2307673</v>
      </c>
      <c r="K10" s="677">
        <f>SUM('1c.mell '!F142)</f>
        <v>2173964</v>
      </c>
      <c r="L10" s="677">
        <f>SUM('1c.mell '!G142)</f>
        <v>2244156</v>
      </c>
    </row>
    <row r="11" spans="1:12" s="150" customFormat="1" ht="12">
      <c r="A11" s="192" t="s">
        <v>214</v>
      </c>
      <c r="B11" s="164">
        <f>SUM('1b.mell '!C238)</f>
        <v>3805000</v>
      </c>
      <c r="C11" s="164">
        <f>SUM('1b.mell '!D238)</f>
        <v>3805000</v>
      </c>
      <c r="D11" s="164">
        <f>SUM('1b.mell '!E238)</f>
        <v>3394000</v>
      </c>
      <c r="E11" s="164">
        <f>SUM('1b.mell '!F238)</f>
        <v>3394000</v>
      </c>
      <c r="F11" s="164">
        <f>SUM('1b.mell '!G238)</f>
        <v>3394000</v>
      </c>
      <c r="G11" s="1172" t="s">
        <v>503</v>
      </c>
      <c r="H11" s="1050">
        <v>71500</v>
      </c>
      <c r="I11" s="1050">
        <v>97358</v>
      </c>
      <c r="J11" s="1050">
        <v>27877</v>
      </c>
      <c r="K11" s="1050">
        <v>42914</v>
      </c>
      <c r="L11" s="1050">
        <v>110340</v>
      </c>
    </row>
    <row r="12" spans="1:12" s="150" customFormat="1" ht="12">
      <c r="A12" s="192" t="s">
        <v>215</v>
      </c>
      <c r="B12" s="164">
        <f>SUM('1b.mell '!C239)</f>
        <v>5838087</v>
      </c>
      <c r="C12" s="164">
        <f>SUM('1b.mell '!D239)</f>
        <v>5838087</v>
      </c>
      <c r="D12" s="164">
        <f>SUM('1b.mell '!E239)</f>
        <v>4100087</v>
      </c>
      <c r="E12" s="164">
        <f>SUM('1b.mell '!F239)</f>
        <v>4107922</v>
      </c>
      <c r="F12" s="164">
        <f>SUM('1b.mell '!G239)</f>
        <v>4107922</v>
      </c>
      <c r="G12" s="1172" t="s">
        <v>1223</v>
      </c>
      <c r="H12" s="1050"/>
      <c r="I12" s="1050">
        <v>316500</v>
      </c>
      <c r="J12" s="1050">
        <v>187500</v>
      </c>
      <c r="K12" s="1050">
        <v>144463</v>
      </c>
      <c r="L12" s="1050">
        <v>124463</v>
      </c>
    </row>
    <row r="13" spans="1:12" s="150" customFormat="1" ht="13.5" thickBot="1">
      <c r="A13" s="249" t="s">
        <v>5</v>
      </c>
      <c r="B13" s="164">
        <f>SUM('1b.mell '!C240)</f>
        <v>375093</v>
      </c>
      <c r="C13" s="164">
        <f>SUM('1b.mell '!D240)</f>
        <v>375093</v>
      </c>
      <c r="D13" s="164">
        <f>SUM('1b.mell '!E240)</f>
        <v>264545</v>
      </c>
      <c r="E13" s="164">
        <f>SUM('1b.mell '!F240)</f>
        <v>264545</v>
      </c>
      <c r="F13" s="164">
        <f>SUM('1b.mell '!G240)</f>
        <v>264545</v>
      </c>
      <c r="G13" s="1173"/>
      <c r="H13" s="1050"/>
      <c r="I13" s="1050"/>
      <c r="J13" s="1050"/>
      <c r="K13" s="1050"/>
      <c r="L13" s="1050"/>
    </row>
    <row r="14" spans="1:12" s="150" customFormat="1" ht="13.5" thickBot="1">
      <c r="A14" s="251" t="s">
        <v>221</v>
      </c>
      <c r="B14" s="258">
        <f>SUM(B11:B13)</f>
        <v>10018180</v>
      </c>
      <c r="C14" s="258">
        <f>SUM(C11:C13)</f>
        <v>10018180</v>
      </c>
      <c r="D14" s="258">
        <f>SUM(D11:D13)</f>
        <v>7758632</v>
      </c>
      <c r="E14" s="258">
        <f>SUM(E11:E13)</f>
        <v>7766467</v>
      </c>
      <c r="F14" s="258">
        <f>SUM(F11:F13)</f>
        <v>7766467</v>
      </c>
      <c r="G14" s="1173"/>
      <c r="H14" s="157"/>
      <c r="I14" s="157"/>
      <c r="J14" s="157"/>
      <c r="K14" s="157"/>
      <c r="L14" s="157"/>
    </row>
    <row r="15" spans="1:12" s="150" customFormat="1" ht="12.75">
      <c r="A15" s="255" t="s">
        <v>455</v>
      </c>
      <c r="B15" s="265">
        <f>SUM('1b.mell '!C242)</f>
        <v>0</v>
      </c>
      <c r="C15" s="265">
        <f>SUM('1b.mell '!D242)</f>
        <v>0</v>
      </c>
      <c r="D15" s="265">
        <f>SUM('1b.mell '!E242)</f>
        <v>0</v>
      </c>
      <c r="E15" s="265">
        <f>SUM('1b.mell '!F242)</f>
        <v>0</v>
      </c>
      <c r="F15" s="265">
        <f>SUM('1b.mell '!G242)</f>
        <v>0</v>
      </c>
      <c r="G15" s="1173"/>
      <c r="H15" s="1050"/>
      <c r="I15" s="1050"/>
      <c r="J15" s="1050"/>
      <c r="K15" s="1050"/>
      <c r="L15" s="1050"/>
    </row>
    <row r="16" spans="1:12" s="150" customFormat="1" ht="12.75">
      <c r="A16" s="192" t="s">
        <v>222</v>
      </c>
      <c r="B16" s="164">
        <f>SUM('1b.mell '!C243)</f>
        <v>1993072</v>
      </c>
      <c r="C16" s="164">
        <f>SUM('1b.mell '!D243)</f>
        <v>1993072</v>
      </c>
      <c r="D16" s="164">
        <f>SUM('1b.mell '!E243)</f>
        <v>1533907</v>
      </c>
      <c r="E16" s="164">
        <f>SUM('1b.mell '!F243)</f>
        <v>1553907</v>
      </c>
      <c r="F16" s="164">
        <f>SUM('1b.mell '!G243)</f>
        <v>1550755</v>
      </c>
      <c r="G16" s="1173"/>
      <c r="H16" s="1050"/>
      <c r="I16" s="1050"/>
      <c r="J16" s="1050"/>
      <c r="K16" s="1050"/>
      <c r="L16" s="1050"/>
    </row>
    <row r="17" spans="1:12" s="150" customFormat="1" ht="12.75">
      <c r="A17" s="248" t="s">
        <v>223</v>
      </c>
      <c r="B17" s="164">
        <f>SUM('1b.mell '!C244)</f>
        <v>216345</v>
      </c>
      <c r="C17" s="164">
        <f>SUM('1b.mell '!D244)</f>
        <v>216345</v>
      </c>
      <c r="D17" s="164">
        <f>SUM('1b.mell '!E244)</f>
        <v>137345</v>
      </c>
      <c r="E17" s="164">
        <f>SUM('1b.mell '!F244)</f>
        <v>137345</v>
      </c>
      <c r="F17" s="164">
        <f>SUM('1b.mell '!G244)</f>
        <v>137634</v>
      </c>
      <c r="G17" s="1173"/>
      <c r="H17" s="1050"/>
      <c r="I17" s="1050"/>
      <c r="J17" s="1050"/>
      <c r="K17" s="1050"/>
      <c r="L17" s="1050"/>
    </row>
    <row r="18" spans="1:12" s="150" customFormat="1" ht="12">
      <c r="A18" s="248" t="s">
        <v>90</v>
      </c>
      <c r="B18" s="164">
        <f>SUM('1b.mell '!C245)</f>
        <v>0</v>
      </c>
      <c r="C18" s="164">
        <f>SUM('1b.mell '!D245)</f>
        <v>0</v>
      </c>
      <c r="D18" s="164">
        <f>SUM('1b.mell '!E245)</f>
        <v>0</v>
      </c>
      <c r="E18" s="164">
        <f>SUM('1b.mell '!F245)</f>
        <v>0</v>
      </c>
      <c r="F18" s="164">
        <f>SUM('1b.mell '!G245)</f>
        <v>0</v>
      </c>
      <c r="G18" s="275"/>
      <c r="H18" s="1190"/>
      <c r="I18" s="1190"/>
      <c r="J18" s="1190"/>
      <c r="K18" s="1190"/>
      <c r="L18" s="1191"/>
    </row>
    <row r="19" spans="1:12" s="150" customFormat="1" ht="12">
      <c r="A19" s="248" t="s">
        <v>226</v>
      </c>
      <c r="B19" s="164">
        <f>SUM('1b.mell '!C246)</f>
        <v>194715</v>
      </c>
      <c r="C19" s="164">
        <f>SUM('1b.mell '!D246)</f>
        <v>194715</v>
      </c>
      <c r="D19" s="164">
        <f>SUM('1b.mell '!E246)</f>
        <v>194715</v>
      </c>
      <c r="E19" s="164">
        <f>SUM('1b.mell '!F246)</f>
        <v>194715</v>
      </c>
      <c r="F19" s="164">
        <f>SUM('1b.mell '!G246)</f>
        <v>158184</v>
      </c>
      <c r="G19" s="275"/>
      <c r="H19" s="696"/>
      <c r="I19" s="696"/>
      <c r="J19" s="696"/>
      <c r="K19" s="696"/>
      <c r="L19" s="208"/>
    </row>
    <row r="20" spans="1:12" s="150" customFormat="1" ht="12">
      <c r="A20" s="248" t="s">
        <v>227</v>
      </c>
      <c r="B20" s="164">
        <f>SUM('1b.mell '!C247)</f>
        <v>637560</v>
      </c>
      <c r="C20" s="164">
        <f>SUM('1b.mell '!D247)</f>
        <v>637560</v>
      </c>
      <c r="D20" s="164">
        <f>SUM('1b.mell '!E247)</f>
        <v>502225</v>
      </c>
      <c r="E20" s="164">
        <f>SUM('1b.mell '!F247)</f>
        <v>507625</v>
      </c>
      <c r="F20" s="164">
        <f>SUM('1b.mell '!G247)</f>
        <v>497153</v>
      </c>
      <c r="G20" s="151"/>
      <c r="H20" s="1003"/>
      <c r="I20" s="1003"/>
      <c r="J20" s="1003"/>
      <c r="K20" s="1003"/>
      <c r="L20" s="154"/>
    </row>
    <row r="21" spans="1:12" s="150" customFormat="1" ht="12">
      <c r="A21" s="192" t="s">
        <v>228</v>
      </c>
      <c r="B21" s="164">
        <f>SUM('1b.mell '!C248)</f>
        <v>4401</v>
      </c>
      <c r="C21" s="164">
        <f>SUM('1b.mell '!D248)</f>
        <v>4401</v>
      </c>
      <c r="D21" s="164">
        <f>SUM('1b.mell '!E248)</f>
        <v>4401</v>
      </c>
      <c r="E21" s="164">
        <f>SUM('1b.mell '!F248)</f>
        <v>4401</v>
      </c>
      <c r="F21" s="164">
        <f>SUM('1b.mell '!G248)</f>
        <v>13880</v>
      </c>
      <c r="G21" s="151"/>
      <c r="H21" s="1003"/>
      <c r="I21" s="1003"/>
      <c r="J21" s="1003"/>
      <c r="K21" s="1003"/>
      <c r="L21" s="154"/>
    </row>
    <row r="22" spans="1:12" s="150" customFormat="1" ht="12">
      <c r="A22" s="192" t="s">
        <v>456</v>
      </c>
      <c r="B22" s="164">
        <f>SUM('1b.mell '!C249)</f>
        <v>6010</v>
      </c>
      <c r="C22" s="164">
        <f>SUM('1b.mell '!D249)</f>
        <v>6010</v>
      </c>
      <c r="D22" s="164">
        <f>SUM('1b.mell '!E249)</f>
        <v>6010</v>
      </c>
      <c r="E22" s="164">
        <f>SUM('1b.mell '!F249)</f>
        <v>6010</v>
      </c>
      <c r="F22" s="164">
        <f>SUM('1b.mell '!G249)</f>
        <v>6010</v>
      </c>
      <c r="G22" s="151"/>
      <c r="H22" s="1003"/>
      <c r="I22" s="1003"/>
      <c r="J22" s="1003"/>
      <c r="K22" s="1003"/>
      <c r="L22" s="154"/>
    </row>
    <row r="23" spans="1:12" s="150" customFormat="1" ht="12">
      <c r="A23" s="712" t="s">
        <v>494</v>
      </c>
      <c r="B23" s="164"/>
      <c r="C23" s="164"/>
      <c r="D23" s="164"/>
      <c r="E23" s="164"/>
      <c r="F23" s="164"/>
      <c r="G23" s="151"/>
      <c r="H23" s="1003"/>
      <c r="I23" s="1003"/>
      <c r="J23" s="1003"/>
      <c r="K23" s="1003"/>
      <c r="L23" s="154"/>
    </row>
    <row r="24" spans="1:12" s="150" customFormat="1" ht="12.75" thickBot="1">
      <c r="A24" s="249" t="s">
        <v>229</v>
      </c>
      <c r="B24" s="164">
        <f>SUM('1b.mell '!C250)</f>
        <v>30000</v>
      </c>
      <c r="C24" s="164">
        <f>SUM('1b.mell '!D250)</f>
        <v>30000</v>
      </c>
      <c r="D24" s="164">
        <f>SUM('1b.mell '!E250)</f>
        <v>39852</v>
      </c>
      <c r="E24" s="164">
        <f>SUM('1b.mell '!F250)</f>
        <v>47946</v>
      </c>
      <c r="F24" s="164">
        <f>SUM('1b.mell '!G250)</f>
        <v>51640</v>
      </c>
      <c r="G24" s="151"/>
      <c r="H24" s="1003"/>
      <c r="I24" s="1003"/>
      <c r="J24" s="1003"/>
      <c r="K24" s="1003"/>
      <c r="L24" s="154"/>
    </row>
    <row r="25" spans="1:12" s="150" customFormat="1" ht="13.5" thickBot="1">
      <c r="A25" s="251" t="s">
        <v>349</v>
      </c>
      <c r="B25" s="258">
        <f>SUM(B15:B24)</f>
        <v>3082103</v>
      </c>
      <c r="C25" s="258">
        <f>SUM(C15:C24)</f>
        <v>3082103</v>
      </c>
      <c r="D25" s="258">
        <f>SUM(D15:D24)</f>
        <v>2418455</v>
      </c>
      <c r="E25" s="258">
        <f>SUM(E15:E24)</f>
        <v>2451949</v>
      </c>
      <c r="F25" s="258">
        <f>SUM(F15:F24)</f>
        <v>2415256</v>
      </c>
      <c r="G25" s="151"/>
      <c r="H25" s="1003"/>
      <c r="I25" s="1003"/>
      <c r="J25" s="1003"/>
      <c r="K25" s="1003"/>
      <c r="L25" s="154"/>
    </row>
    <row r="26" spans="1:12" s="150" customFormat="1" ht="12.75" thickBot="1">
      <c r="A26" s="252" t="s">
        <v>230</v>
      </c>
      <c r="B26" s="259">
        <f>SUM('1b.mell '!C252)</f>
        <v>0</v>
      </c>
      <c r="C26" s="259">
        <f>SUM('1b.mell '!D252)</f>
        <v>0</v>
      </c>
      <c r="D26" s="259">
        <f>SUM('1b.mell '!E252)</f>
        <v>11000</v>
      </c>
      <c r="E26" s="259">
        <f>SUM('1b.mell '!F252)</f>
        <v>12670</v>
      </c>
      <c r="F26" s="259">
        <f>SUM('1b.mell '!G252)</f>
        <v>12670</v>
      </c>
      <c r="G26" s="151"/>
      <c r="H26" s="1003"/>
      <c r="I26" s="1003"/>
      <c r="J26" s="1003"/>
      <c r="K26" s="1003"/>
      <c r="L26" s="154"/>
    </row>
    <row r="27" spans="1:12" s="150" customFormat="1" ht="13.5" thickBot="1">
      <c r="A27" s="253" t="s">
        <v>231</v>
      </c>
      <c r="B27" s="267">
        <f>SUM(B26)</f>
        <v>0</v>
      </c>
      <c r="C27" s="267">
        <f>SUM(C26)</f>
        <v>0</v>
      </c>
      <c r="D27" s="267">
        <f>SUM(D26)</f>
        <v>11000</v>
      </c>
      <c r="E27" s="267">
        <f>SUM(E26)</f>
        <v>12670</v>
      </c>
      <c r="F27" s="267">
        <f>SUM(F26)</f>
        <v>12670</v>
      </c>
      <c r="G27" s="152"/>
      <c r="H27" s="1006"/>
      <c r="I27" s="1006"/>
      <c r="J27" s="1006"/>
      <c r="K27" s="1006"/>
      <c r="L27" s="155"/>
    </row>
    <row r="28" spans="1:12" s="150" customFormat="1" ht="17.25" thickBot="1" thickTop="1">
      <c r="A28" s="254" t="s">
        <v>67</v>
      </c>
      <c r="B28" s="213">
        <f>SUM(B27,B25,B14,B10)</f>
        <v>14912166</v>
      </c>
      <c r="C28" s="213">
        <f>SUM(C27,C25,C14,C10)</f>
        <v>14912166</v>
      </c>
      <c r="D28" s="213">
        <f>SUM(D27,D25,D14,D10)</f>
        <v>12063981</v>
      </c>
      <c r="E28" s="213">
        <f>SUM(E27,E25,E14,E10)</f>
        <v>12131831</v>
      </c>
      <c r="F28" s="213">
        <f>SUM(F27,F25,F14,F10)</f>
        <v>12241965</v>
      </c>
      <c r="G28" s="171" t="s">
        <v>60</v>
      </c>
      <c r="H28" s="158">
        <f>SUM(H6:H10)</f>
        <v>14361907</v>
      </c>
      <c r="I28" s="158">
        <f>SUM(I6:I10)</f>
        <v>14201907</v>
      </c>
      <c r="J28" s="158">
        <f>SUM(J6:J10)</f>
        <v>15510188</v>
      </c>
      <c r="K28" s="158">
        <f>SUM(K6:K10)</f>
        <v>15385334</v>
      </c>
      <c r="L28" s="158">
        <f>SUM(L6:L10)</f>
        <v>15390358</v>
      </c>
    </row>
    <row r="29" spans="1:12" s="150" customFormat="1" ht="12.75" thickTop="1">
      <c r="A29" s="192" t="s">
        <v>232</v>
      </c>
      <c r="B29" s="164">
        <f>SUM('1b.mell '!C255)</f>
        <v>400000</v>
      </c>
      <c r="C29" s="164">
        <f>SUM('1b.mell '!D255)</f>
        <v>400000</v>
      </c>
      <c r="D29" s="164">
        <f>SUM('1b.mell '!E255)</f>
        <v>0</v>
      </c>
      <c r="E29" s="164">
        <f>SUM('1b.mell '!F255)</f>
        <v>0</v>
      </c>
      <c r="F29" s="164">
        <f>SUM('1b.mell '!G255)</f>
        <v>740000</v>
      </c>
      <c r="G29" s="151"/>
      <c r="H29" s="273"/>
      <c r="I29" s="273"/>
      <c r="J29" s="273"/>
      <c r="K29" s="273"/>
      <c r="L29" s="273"/>
    </row>
    <row r="30" spans="1:12" s="150" customFormat="1" ht="12">
      <c r="A30" s="248" t="s">
        <v>233</v>
      </c>
      <c r="B30" s="157">
        <f>SUM('1b.mell '!C256)</f>
        <v>0</v>
      </c>
      <c r="C30" s="157">
        <f>SUM('1b.mell '!D256)</f>
        <v>0</v>
      </c>
      <c r="D30" s="157">
        <f>SUM('1b.mell '!E256)</f>
        <v>0</v>
      </c>
      <c r="E30" s="157">
        <f>SUM('1b.mell '!F256)</f>
        <v>0</v>
      </c>
      <c r="F30" s="157">
        <f>SUM('1b.mell '!G256)</f>
        <v>0</v>
      </c>
      <c r="G30" s="153" t="s">
        <v>246</v>
      </c>
      <c r="H30" s="157">
        <f>SUM('1c.mell '!C145)</f>
        <v>1109002</v>
      </c>
      <c r="I30" s="157">
        <f>SUM('1c.mell '!D145)</f>
        <v>1025002</v>
      </c>
      <c r="J30" s="157">
        <f>SUM('1c.mell '!E145)</f>
        <v>1235493</v>
      </c>
      <c r="K30" s="157">
        <f>SUM('1c.mell '!F145)</f>
        <v>1280693</v>
      </c>
      <c r="L30" s="157">
        <f>SUM('1c.mell '!G145)</f>
        <v>1337677</v>
      </c>
    </row>
    <row r="31" spans="1:12" s="150" customFormat="1" ht="12">
      <c r="A31" s="248" t="s">
        <v>234</v>
      </c>
      <c r="B31" s="157">
        <f>SUM('1b.mell '!C257)</f>
        <v>400000</v>
      </c>
      <c r="C31" s="157">
        <f>SUM('1b.mell '!D257)</f>
        <v>400000</v>
      </c>
      <c r="D31" s="157">
        <f>SUM('1b.mell '!E257)</f>
        <v>400000</v>
      </c>
      <c r="E31" s="157">
        <f>SUM('1b.mell '!F257)</f>
        <v>400000</v>
      </c>
      <c r="F31" s="157">
        <f>SUM('1b.mell '!G257)</f>
        <v>400000</v>
      </c>
      <c r="G31" s="260" t="s">
        <v>247</v>
      </c>
      <c r="H31" s="157">
        <f>SUM('1c.mell '!C146)</f>
        <v>2572918</v>
      </c>
      <c r="I31" s="157">
        <f>SUM('1c.mell '!D146)</f>
        <v>2317918</v>
      </c>
      <c r="J31" s="157">
        <f>SUM('1c.mell '!E146)</f>
        <v>3615346</v>
      </c>
      <c r="K31" s="157">
        <f>SUM('1c.mell '!F146)</f>
        <v>3631846</v>
      </c>
      <c r="L31" s="157">
        <f>SUM('1c.mell '!G146)</f>
        <v>4302107</v>
      </c>
    </row>
    <row r="32" spans="1:12" s="150" customFormat="1" ht="12.75" thickBot="1">
      <c r="A32" s="248" t="s">
        <v>504</v>
      </c>
      <c r="B32" s="157">
        <f>SUM('1b.mell '!C258)</f>
        <v>0</v>
      </c>
      <c r="C32" s="157">
        <f>SUM('1b.mell '!D258)</f>
        <v>0</v>
      </c>
      <c r="D32" s="157">
        <f>SUM('1b.mell '!E258)</f>
        <v>0</v>
      </c>
      <c r="E32" s="157">
        <f>SUM('1b.mell '!F258)</f>
        <v>0</v>
      </c>
      <c r="F32" s="157">
        <f>SUM('1b.mell '!G258)</f>
        <v>0</v>
      </c>
      <c r="G32" s="153" t="s">
        <v>394</v>
      </c>
      <c r="H32" s="157">
        <f>SUM('1c.mell '!C147)</f>
        <v>574400</v>
      </c>
      <c r="I32" s="157">
        <f>SUM('1c.mell '!D147)</f>
        <v>316400</v>
      </c>
      <c r="J32" s="157">
        <f>SUM('1c.mell '!E147)</f>
        <v>752143</v>
      </c>
      <c r="K32" s="157">
        <f>SUM('1c.mell '!F147)</f>
        <v>883147</v>
      </c>
      <c r="L32" s="157">
        <f>SUM('1c.mell '!G147)</f>
        <v>1002512</v>
      </c>
    </row>
    <row r="33" spans="1:12" s="150" customFormat="1" ht="13.5" thickBot="1">
      <c r="A33" s="251" t="s">
        <v>235</v>
      </c>
      <c r="B33" s="258">
        <f>SUM(B29:B32)</f>
        <v>800000</v>
      </c>
      <c r="C33" s="258">
        <f>SUM(C29:C32)</f>
        <v>800000</v>
      </c>
      <c r="D33" s="258">
        <f>SUM(D29:D32)</f>
        <v>400000</v>
      </c>
      <c r="E33" s="258">
        <f>SUM(E29:E32)</f>
        <v>400000</v>
      </c>
      <c r="F33" s="258">
        <f>SUM(F29:F32)</f>
        <v>1140000</v>
      </c>
      <c r="G33" s="686" t="s">
        <v>1224</v>
      </c>
      <c r="H33" s="686"/>
      <c r="I33" s="1050">
        <v>757000</v>
      </c>
      <c r="J33" s="1050">
        <v>335000</v>
      </c>
      <c r="K33" s="1050">
        <v>215000</v>
      </c>
      <c r="L33" s="1050">
        <v>215000</v>
      </c>
    </row>
    <row r="34" spans="1:12" s="150" customFormat="1" ht="12">
      <c r="A34" s="192" t="s">
        <v>236</v>
      </c>
      <c r="B34" s="265">
        <f>SUM('1b.mell '!C260)</f>
        <v>894000</v>
      </c>
      <c r="C34" s="265">
        <f>SUM('1b.mell '!D260)</f>
        <v>894000</v>
      </c>
      <c r="D34" s="265">
        <f>SUM('1b.mell '!E260)</f>
        <v>649000</v>
      </c>
      <c r="E34" s="265">
        <f>SUM('1b.mell '!F260)</f>
        <v>649000</v>
      </c>
      <c r="F34" s="265">
        <f>SUM('1b.mell '!G260)</f>
        <v>649000</v>
      </c>
      <c r="G34" s="151"/>
      <c r="H34" s="1003"/>
      <c r="I34" s="1205"/>
      <c r="J34" s="1205"/>
      <c r="K34" s="1205"/>
      <c r="L34" s="1206"/>
    </row>
    <row r="35" spans="1:12" s="150" customFormat="1" ht="12">
      <c r="A35" s="248" t="s">
        <v>244</v>
      </c>
      <c r="B35" s="157">
        <f>SUM('1b.mell '!C261)</f>
        <v>0</v>
      </c>
      <c r="C35" s="157">
        <f>SUM('1b.mell '!D261)</f>
        <v>0</v>
      </c>
      <c r="D35" s="157">
        <f>SUM('1b.mell '!E261)</f>
        <v>0</v>
      </c>
      <c r="E35" s="157">
        <f>SUM('1b.mell '!F261)</f>
        <v>0</v>
      </c>
      <c r="F35" s="157">
        <f>SUM('1b.mell '!G261)</f>
        <v>0</v>
      </c>
      <c r="G35" s="151"/>
      <c r="H35" s="1003"/>
      <c r="I35" s="1003"/>
      <c r="J35" s="1003"/>
      <c r="K35" s="1003"/>
      <c r="L35" s="154"/>
    </row>
    <row r="36" spans="1:12" s="150" customFormat="1" ht="12.75" thickBot="1">
      <c r="A36" s="711" t="s">
        <v>493</v>
      </c>
      <c r="B36" s="281"/>
      <c r="C36" s="281"/>
      <c r="D36" s="281"/>
      <c r="E36" s="281"/>
      <c r="F36" s="281"/>
      <c r="G36" s="151"/>
      <c r="H36" s="1003"/>
      <c r="I36" s="1003"/>
      <c r="J36" s="1003"/>
      <c r="K36" s="1003"/>
      <c r="L36" s="154"/>
    </row>
    <row r="37" spans="1:12" s="150" customFormat="1" ht="13.5" thickBot="1">
      <c r="A37" s="251" t="s">
        <v>237</v>
      </c>
      <c r="B37" s="258">
        <f>SUM(B34:B35)</f>
        <v>894000</v>
      </c>
      <c r="C37" s="258">
        <f>SUM(C34:C35)</f>
        <v>894000</v>
      </c>
      <c r="D37" s="258">
        <f>SUM(D34:D35)</f>
        <v>649000</v>
      </c>
      <c r="E37" s="258">
        <f>SUM(E34:E35)</f>
        <v>649000</v>
      </c>
      <c r="F37" s="258">
        <f>SUM(F34:F35)</f>
        <v>649000</v>
      </c>
      <c r="G37" s="275"/>
      <c r="H37" s="1004"/>
      <c r="I37" s="1004"/>
      <c r="J37" s="1004"/>
      <c r="K37" s="1004"/>
      <c r="L37" s="268"/>
    </row>
    <row r="38" spans="1:12" s="150" customFormat="1" ht="12.75" customHeight="1">
      <c r="A38" s="255" t="s">
        <v>444</v>
      </c>
      <c r="B38" s="265">
        <f>SUM('1b.mell '!C263)</f>
        <v>23000</v>
      </c>
      <c r="C38" s="265">
        <f>SUM('1b.mell '!D263)</f>
        <v>23000</v>
      </c>
      <c r="D38" s="265">
        <f>SUM('1b.mell '!E263)</f>
        <v>23000</v>
      </c>
      <c r="E38" s="265">
        <f>SUM('1b.mell '!F263)</f>
        <v>23000</v>
      </c>
      <c r="F38" s="265">
        <f>SUM('1b.mell '!G263)</f>
        <v>23000</v>
      </c>
      <c r="G38" s="276"/>
      <c r="H38" s="1003"/>
      <c r="I38" s="1003"/>
      <c r="J38" s="1003"/>
      <c r="K38" s="1003"/>
      <c r="L38" s="154"/>
    </row>
    <row r="39" spans="1:12" s="150" customFormat="1" ht="12.75" customHeight="1" thickBot="1">
      <c r="A39" s="256" t="s">
        <v>241</v>
      </c>
      <c r="B39" s="257">
        <f>SUM('1b.mell '!C264+'1b.mell '!C265)</f>
        <v>0</v>
      </c>
      <c r="C39" s="257">
        <f>SUM('1b.mell '!D264+'1b.mell '!D265)</f>
        <v>0</v>
      </c>
      <c r="D39" s="257">
        <f>SUM('1b.mell '!E264+'1b.mell '!E265)</f>
        <v>0</v>
      </c>
      <c r="E39" s="257">
        <f>SUM('1b.mell '!F264+'1b.mell '!F265)</f>
        <v>0</v>
      </c>
      <c r="F39" s="257">
        <f>SUM('1b.mell '!G264+'1b.mell '!G265)</f>
        <v>1500</v>
      </c>
      <c r="G39" s="276"/>
      <c r="H39" s="696"/>
      <c r="I39" s="696"/>
      <c r="J39" s="696"/>
      <c r="K39" s="696"/>
      <c r="L39" s="208"/>
    </row>
    <row r="40" spans="1:12" s="150" customFormat="1" ht="13.5" thickBot="1">
      <c r="A40" s="253" t="s">
        <v>242</v>
      </c>
      <c r="B40" s="267">
        <f>SUM(B38:B39)</f>
        <v>23000</v>
      </c>
      <c r="C40" s="267">
        <f>SUM(C38:C39)</f>
        <v>23000</v>
      </c>
      <c r="D40" s="267">
        <f>SUM(D38:D39)</f>
        <v>23000</v>
      </c>
      <c r="E40" s="267">
        <f>SUM(E38:E39)</f>
        <v>23000</v>
      </c>
      <c r="F40" s="267">
        <f>SUM(F38:F39)</f>
        <v>24500</v>
      </c>
      <c r="G40" s="277"/>
      <c r="H40" s="1005"/>
      <c r="I40" s="1005"/>
      <c r="J40" s="1005"/>
      <c r="K40" s="1005"/>
      <c r="L40" s="159"/>
    </row>
    <row r="41" spans="1:12" s="150" customFormat="1" ht="20.25" customHeight="1" thickBot="1" thickTop="1">
      <c r="A41" s="266" t="s">
        <v>68</v>
      </c>
      <c r="B41" s="170">
        <f>SUM(B40,B37,B33)</f>
        <v>1717000</v>
      </c>
      <c r="C41" s="170">
        <f>SUM(C40,C37,C33)</f>
        <v>1717000</v>
      </c>
      <c r="D41" s="170">
        <f>SUM(D40,D37,D33)</f>
        <v>1072000</v>
      </c>
      <c r="E41" s="170">
        <f>SUM(E40,E37,E33)</f>
        <v>1072000</v>
      </c>
      <c r="F41" s="170">
        <f>SUM(F40,F37,F33)</f>
        <v>1813500</v>
      </c>
      <c r="G41" s="173" t="s">
        <v>66</v>
      </c>
      <c r="H41" s="170">
        <f>SUM(H30:H40)</f>
        <v>4256320</v>
      </c>
      <c r="I41" s="170">
        <f>SUM(I30:I40)</f>
        <v>4416320</v>
      </c>
      <c r="J41" s="170">
        <f>SUM(J29:J32)</f>
        <v>5602982</v>
      </c>
      <c r="K41" s="170">
        <f>SUM(K29:K32)</f>
        <v>5795686</v>
      </c>
      <c r="L41" s="170">
        <f>SUM(L29:L32)</f>
        <v>6642296</v>
      </c>
    </row>
    <row r="42" spans="1:12" s="150" customFormat="1" ht="12.75" customHeight="1" thickTop="1">
      <c r="A42" s="192" t="s">
        <v>439</v>
      </c>
      <c r="B42" s="288">
        <f>SUM('1b.mell '!C268)</f>
        <v>63789</v>
      </c>
      <c r="C42" s="288">
        <f>SUM('1b.mell '!D268)</f>
        <v>63789</v>
      </c>
      <c r="D42" s="288">
        <f>SUM('1b.mell '!E268)</f>
        <v>4196322</v>
      </c>
      <c r="E42" s="288">
        <f>SUM('1b.mell '!F268)</f>
        <v>4196322</v>
      </c>
      <c r="F42" s="288">
        <f>SUM('1b.mell '!G268)</f>
        <v>4196322</v>
      </c>
      <c r="G42" s="248"/>
      <c r="H42" s="288"/>
      <c r="I42" s="288"/>
      <c r="J42" s="288"/>
      <c r="K42" s="288"/>
      <c r="L42" s="288">
        <f>SUM('1c.mell '!G149)</f>
        <v>400837</v>
      </c>
    </row>
    <row r="43" spans="1:12" s="150" customFormat="1" ht="12.75" customHeight="1">
      <c r="A43" s="248" t="s">
        <v>457</v>
      </c>
      <c r="B43" s="609"/>
      <c r="C43" s="609"/>
      <c r="D43" s="609"/>
      <c r="E43" s="609"/>
      <c r="F43" s="609">
        <f>SUM('1b.mell '!G270)</f>
        <v>400837</v>
      </c>
      <c r="G43" s="248" t="s">
        <v>466</v>
      </c>
      <c r="H43" s="610">
        <f>SUM('1c.mell '!C151)</f>
        <v>63789</v>
      </c>
      <c r="I43" s="610">
        <f>SUM('1c.mell '!D151)</f>
        <v>63789</v>
      </c>
      <c r="J43" s="610">
        <f>SUM('1c.mell '!E151)</f>
        <v>63789</v>
      </c>
      <c r="K43" s="610">
        <f>SUM('1c.mell '!F151)</f>
        <v>63789</v>
      </c>
      <c r="L43" s="610">
        <f>SUM('1c.mell '!G151)</f>
        <v>63789</v>
      </c>
    </row>
    <row r="44" spans="1:12" s="150" customFormat="1" ht="12.75" customHeight="1">
      <c r="A44" s="248" t="s">
        <v>475</v>
      </c>
      <c r="B44" s="157">
        <f>SUM('1b.mell '!C269)</f>
        <v>7567703</v>
      </c>
      <c r="C44" s="157">
        <f>SUM('1b.mell '!D269)</f>
        <v>7510703</v>
      </c>
      <c r="D44" s="157">
        <f>SUM('1b.mell '!E269)</f>
        <v>7716986</v>
      </c>
      <c r="E44" s="157">
        <f>SUM('1b.mell '!F269)</f>
        <v>7755041</v>
      </c>
      <c r="F44" s="157">
        <f>SUM('1b.mell '!G269)</f>
        <v>7730031</v>
      </c>
      <c r="G44" s="723" t="s">
        <v>476</v>
      </c>
      <c r="H44" s="157">
        <f>SUM('1c.mell '!C150)</f>
        <v>7567703</v>
      </c>
      <c r="I44" s="157">
        <f>SUM('1c.mell '!D150)</f>
        <v>7510703</v>
      </c>
      <c r="J44" s="157">
        <f>SUM('1c.mell '!E150)</f>
        <v>7716986</v>
      </c>
      <c r="K44" s="157">
        <f>SUM('1c.mell '!F150)</f>
        <v>7755041</v>
      </c>
      <c r="L44" s="157">
        <f>SUM('1c.mell '!G150)</f>
        <v>7730031</v>
      </c>
    </row>
    <row r="45" spans="1:12" s="150" customFormat="1" ht="12.75" customHeight="1">
      <c r="A45" s="248" t="s">
        <v>421</v>
      </c>
      <c r="B45" s="157"/>
      <c r="C45" s="157"/>
      <c r="D45" s="157"/>
      <c r="E45" s="157"/>
      <c r="F45" s="157"/>
      <c r="G45" s="686" t="s">
        <v>474</v>
      </c>
      <c r="H45" s="157"/>
      <c r="I45" s="157"/>
      <c r="J45" s="157"/>
      <c r="K45" s="157"/>
      <c r="L45" s="157"/>
    </row>
    <row r="46" spans="1:12" s="150" customFormat="1" ht="12.75" customHeight="1" thickBot="1">
      <c r="A46" s="278" t="s">
        <v>454</v>
      </c>
      <c r="B46" s="685">
        <f>SUM('1b.mell '!C271)</f>
        <v>0</v>
      </c>
      <c r="C46" s="685">
        <f>SUM('1b.mell '!D271)</f>
        <v>0</v>
      </c>
      <c r="D46" s="685">
        <f>SUM('1b.mell '!E271)</f>
        <v>0</v>
      </c>
      <c r="E46" s="685">
        <f>SUM('1b.mell '!F271)</f>
        <v>0</v>
      </c>
      <c r="F46" s="685">
        <f>SUM('1b.mell '!G271)</f>
        <v>0</v>
      </c>
      <c r="G46" s="274"/>
      <c r="H46" s="281"/>
      <c r="I46" s="281"/>
      <c r="J46" s="281"/>
      <c r="K46" s="281"/>
      <c r="L46" s="281"/>
    </row>
    <row r="47" spans="1:12" s="150" customFormat="1" ht="15.75" thickBot="1" thickTop="1">
      <c r="A47" s="169" t="s">
        <v>61</v>
      </c>
      <c r="B47" s="158">
        <f>SUM(B42:B46)</f>
        <v>7631492</v>
      </c>
      <c r="C47" s="158">
        <f>SUM(C42:C46)</f>
        <v>7574492</v>
      </c>
      <c r="D47" s="158">
        <f>SUM(D42:D46)</f>
        <v>11913308</v>
      </c>
      <c r="E47" s="158">
        <f>SUM(E42:E46)</f>
        <v>11951363</v>
      </c>
      <c r="F47" s="158">
        <f>SUM(F42:F46)</f>
        <v>12327190</v>
      </c>
      <c r="G47" s="169" t="s">
        <v>62</v>
      </c>
      <c r="H47" s="213">
        <f>SUM(H43:H45)</f>
        <v>7631492</v>
      </c>
      <c r="I47" s="213">
        <f>SUM(I43:I45)</f>
        <v>7574492</v>
      </c>
      <c r="J47" s="213">
        <f>SUM(J43:J45)</f>
        <v>7780775</v>
      </c>
      <c r="K47" s="213">
        <f>SUM(K43:K45)</f>
        <v>7818830</v>
      </c>
      <c r="L47" s="213">
        <f>SUM(L42:L45)</f>
        <v>8194657</v>
      </c>
    </row>
    <row r="48" spans="1:12" s="150" customFormat="1" ht="13.5" thickBot="1" thickTop="1">
      <c r="A48" s="982" t="s">
        <v>439</v>
      </c>
      <c r="B48" s="983">
        <f>SUM('1b.mell '!C273)</f>
        <v>2037061</v>
      </c>
      <c r="C48" s="983">
        <f>SUM('1b.mell '!D273)</f>
        <v>2037061</v>
      </c>
      <c r="D48" s="983">
        <f>SUM('1b.mell '!E273)</f>
        <v>3892656</v>
      </c>
      <c r="E48" s="983">
        <f>SUM('1b.mell '!F273)</f>
        <v>3892656</v>
      </c>
      <c r="F48" s="983">
        <f>SUM('1b.mell '!G273)</f>
        <v>3892656</v>
      </c>
      <c r="G48" s="984" t="s">
        <v>459</v>
      </c>
      <c r="H48" s="983">
        <f>SUM('1c.mell '!C153)</f>
        <v>48000</v>
      </c>
      <c r="I48" s="983">
        <f>SUM('1c.mell '!D153)</f>
        <v>48000</v>
      </c>
      <c r="J48" s="983">
        <f>SUM('1c.mell '!E153)</f>
        <v>48000</v>
      </c>
      <c r="K48" s="983">
        <f>SUM('1c.mell '!F153)</f>
        <v>48000</v>
      </c>
      <c r="L48" s="983">
        <f>SUM('1c.mell '!G153)</f>
        <v>48000</v>
      </c>
    </row>
    <row r="49" spans="1:12" s="150" customFormat="1" ht="16.5" customHeight="1" thickBot="1">
      <c r="A49" s="280" t="s">
        <v>243</v>
      </c>
      <c r="B49" s="158">
        <f>SUM(B48:B48)</f>
        <v>2037061</v>
      </c>
      <c r="C49" s="158">
        <f>SUM(C48:C48)</f>
        <v>2037061</v>
      </c>
      <c r="D49" s="158">
        <f>SUM(D48:D48)</f>
        <v>3892656</v>
      </c>
      <c r="E49" s="158">
        <f>SUM(E48:E48)</f>
        <v>3892656</v>
      </c>
      <c r="F49" s="158">
        <f>SUM(F48:F48)</f>
        <v>3892656</v>
      </c>
      <c r="G49" s="171" t="s">
        <v>44</v>
      </c>
      <c r="H49" s="282">
        <f>SUM(H48:H48)</f>
        <v>48000</v>
      </c>
      <c r="I49" s="282">
        <f>SUM(I48:I48)</f>
        <v>48000</v>
      </c>
      <c r="J49" s="282">
        <f>SUM(J48:J48)</f>
        <v>48000</v>
      </c>
      <c r="K49" s="282">
        <f>SUM(K48:K48)</f>
        <v>48000</v>
      </c>
      <c r="L49" s="282">
        <f>SUM(L48:L48)</f>
        <v>48000</v>
      </c>
    </row>
    <row r="50" spans="1:12" s="150" customFormat="1" ht="14.25" thickBot="1" thickTop="1">
      <c r="A50" s="269"/>
      <c r="B50" s="270"/>
      <c r="C50" s="270"/>
      <c r="D50" s="270"/>
      <c r="E50" s="270"/>
      <c r="F50" s="270"/>
      <c r="G50" s="283"/>
      <c r="H50" s="279"/>
      <c r="I50" s="279"/>
      <c r="J50" s="279"/>
      <c r="K50" s="279"/>
      <c r="L50" s="279"/>
    </row>
    <row r="51" spans="1:12" s="150" customFormat="1" ht="20.25" customHeight="1" thickBot="1" thickTop="1">
      <c r="A51" s="190" t="s">
        <v>458</v>
      </c>
      <c r="B51" s="720">
        <f>SUM(B28+B41+B48+B42+B45+B46)</f>
        <v>18730016</v>
      </c>
      <c r="C51" s="720">
        <f>SUM(C28+C41+C48+C42+C45+C46)</f>
        <v>18730016</v>
      </c>
      <c r="D51" s="720">
        <f>SUM(D28+D41+D48+D42+D45+D46)</f>
        <v>21224959</v>
      </c>
      <c r="E51" s="720">
        <f>SUM(E28+E41+E48+E42+E45+E46)</f>
        <v>21292809</v>
      </c>
      <c r="F51" s="720">
        <f>SUM(F28+F41+F48+F42+F45+F46+F43)</f>
        <v>22545280</v>
      </c>
      <c r="G51" s="1273" t="s">
        <v>460</v>
      </c>
      <c r="H51" s="172">
        <f>SUM(H28+H41+H48+H43+H45)</f>
        <v>18730016</v>
      </c>
      <c r="I51" s="172">
        <f>SUM(I28+I41+I48+I43+I45)</f>
        <v>18730016</v>
      </c>
      <c r="J51" s="172">
        <f>SUM(J28+J41+J48+J43+J45)</f>
        <v>21224959</v>
      </c>
      <c r="K51" s="720">
        <f>SUM(K28+K41+K48+K43+K45)</f>
        <v>21292809</v>
      </c>
      <c r="L51" s="720">
        <f>SUM(L28+L41+L48+L43+L45)+L42</f>
        <v>22545280</v>
      </c>
    </row>
    <row r="52" spans="1:12" ht="15.75" thickTop="1">
      <c r="A52" s="149"/>
      <c r="E52" s="1252"/>
      <c r="F52" s="1274"/>
      <c r="G52" s="1271"/>
      <c r="K52" s="1271"/>
      <c r="L52" s="1275"/>
    </row>
    <row r="53" spans="1:7" ht="15">
      <c r="A53" s="149"/>
      <c r="E53" s="1271"/>
      <c r="F53" s="1272"/>
      <c r="G53" s="1271"/>
    </row>
    <row r="54" spans="1:12" ht="15">
      <c r="A54" s="149"/>
      <c r="L54" s="1269"/>
    </row>
  </sheetData>
  <mergeCells count="14">
    <mergeCell ref="L4:L5"/>
    <mergeCell ref="A2:K2"/>
    <mergeCell ref="A1:K1"/>
    <mergeCell ref="K4:K5"/>
    <mergeCell ref="E4:E5"/>
    <mergeCell ref="J4:J5"/>
    <mergeCell ref="I4:I5"/>
    <mergeCell ref="H4:H5"/>
    <mergeCell ref="A4:A5"/>
    <mergeCell ref="G4:G5"/>
    <mergeCell ref="B4:B5"/>
    <mergeCell ref="C4:C5"/>
    <mergeCell ref="D4:D5"/>
    <mergeCell ref="F4:F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54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Zeros="0" workbookViewId="0" topLeftCell="A1">
      <selection activeCell="G5" sqref="G5:G7"/>
    </sheetView>
  </sheetViews>
  <sheetFormatPr defaultColWidth="9.125" defaultRowHeight="12.75"/>
  <cols>
    <col min="1" max="1" width="6.125" style="40" customWidth="1"/>
    <col min="2" max="2" width="52.00390625" style="40" customWidth="1"/>
    <col min="3" max="7" width="13.125" style="19" customWidth="1"/>
    <col min="8" max="8" width="9.875" style="218" customWidth="1"/>
    <col min="9" max="9" width="45.875" style="40" customWidth="1"/>
    <col min="10" max="16384" width="9.125" style="40" customWidth="1"/>
  </cols>
  <sheetData>
    <row r="1" spans="1:9" s="38" customFormat="1" ht="12.75">
      <c r="A1" s="1362" t="s">
        <v>149</v>
      </c>
      <c r="B1" s="1308"/>
      <c r="C1" s="1308"/>
      <c r="D1" s="1308"/>
      <c r="E1" s="1308"/>
      <c r="F1" s="1308"/>
      <c r="G1" s="1308"/>
      <c r="H1" s="1308"/>
      <c r="I1" s="1308"/>
    </row>
    <row r="2" spans="1:9" s="38" customFormat="1" ht="12.75">
      <c r="A2" s="1354" t="s">
        <v>1067</v>
      </c>
      <c r="B2" s="1355"/>
      <c r="C2" s="1355"/>
      <c r="D2" s="1355"/>
      <c r="E2" s="1355"/>
      <c r="F2" s="1355"/>
      <c r="G2" s="1355"/>
      <c r="H2" s="1355"/>
      <c r="I2" s="1355"/>
    </row>
    <row r="3" spans="1:8" s="38" customFormat="1" ht="9.75" customHeight="1">
      <c r="A3" s="31"/>
      <c r="B3" s="31"/>
      <c r="C3" s="63"/>
      <c r="D3" s="63"/>
      <c r="E3" s="63"/>
      <c r="F3" s="63"/>
      <c r="G3" s="63"/>
      <c r="H3" s="217"/>
    </row>
    <row r="4" spans="1:9" s="38" customFormat="1" ht="12.75">
      <c r="A4" s="524"/>
      <c r="B4" s="524"/>
      <c r="C4" s="525"/>
      <c r="D4" s="525"/>
      <c r="E4" s="525"/>
      <c r="F4" s="525"/>
      <c r="G4" s="525"/>
      <c r="H4" s="526"/>
      <c r="I4" s="400" t="s">
        <v>181</v>
      </c>
    </row>
    <row r="5" spans="1:9" ht="12" customHeight="1">
      <c r="A5" s="479"/>
      <c r="B5" s="490"/>
      <c r="C5" s="1331" t="s">
        <v>1193</v>
      </c>
      <c r="D5" s="1331" t="s">
        <v>1226</v>
      </c>
      <c r="E5" s="1331" t="s">
        <v>1264</v>
      </c>
      <c r="F5" s="1331" t="s">
        <v>1273</v>
      </c>
      <c r="G5" s="1331" t="s">
        <v>1277</v>
      </c>
      <c r="H5" s="1363" t="s">
        <v>1267</v>
      </c>
      <c r="I5" s="402" t="s">
        <v>1167</v>
      </c>
    </row>
    <row r="6" spans="1:9" ht="12" customHeight="1">
      <c r="A6" s="73" t="s">
        <v>279</v>
      </c>
      <c r="B6" s="492" t="s">
        <v>144</v>
      </c>
      <c r="C6" s="1344"/>
      <c r="D6" s="1344"/>
      <c r="E6" s="1344"/>
      <c r="F6" s="1344"/>
      <c r="G6" s="1344"/>
      <c r="H6" s="1364"/>
      <c r="I6" s="73" t="s">
        <v>145</v>
      </c>
    </row>
    <row r="7" spans="1:9" s="38" customFormat="1" ht="12.75" customHeight="1" thickBot="1">
      <c r="A7" s="73"/>
      <c r="B7" s="371"/>
      <c r="C7" s="1345"/>
      <c r="D7" s="1345"/>
      <c r="E7" s="1345"/>
      <c r="F7" s="1345"/>
      <c r="G7" s="1345"/>
      <c r="H7" s="1365"/>
      <c r="I7" s="371"/>
    </row>
    <row r="8" spans="1:9" s="38" customFormat="1" ht="12.75">
      <c r="A8" s="372" t="s">
        <v>163</v>
      </c>
      <c r="B8" s="372" t="s">
        <v>164</v>
      </c>
      <c r="C8" s="402" t="s">
        <v>165</v>
      </c>
      <c r="D8" s="402" t="s">
        <v>166</v>
      </c>
      <c r="E8" s="402" t="s">
        <v>167</v>
      </c>
      <c r="F8" s="402" t="s">
        <v>43</v>
      </c>
      <c r="G8" s="402" t="s">
        <v>369</v>
      </c>
      <c r="H8" s="402" t="s">
        <v>570</v>
      </c>
      <c r="I8" s="402" t="s">
        <v>572</v>
      </c>
    </row>
    <row r="9" spans="1:9" s="38" customFormat="1" ht="12.75">
      <c r="A9" s="449"/>
      <c r="B9" s="527" t="s">
        <v>271</v>
      </c>
      <c r="C9" s="407"/>
      <c r="D9" s="407"/>
      <c r="E9" s="407"/>
      <c r="F9" s="407"/>
      <c r="G9" s="407"/>
      <c r="H9" s="483"/>
      <c r="I9" s="445"/>
    </row>
    <row r="10" spans="1:9" ht="12.75">
      <c r="A10" s="73"/>
      <c r="B10" s="499" t="s">
        <v>257</v>
      </c>
      <c r="C10" s="528"/>
      <c r="D10" s="528"/>
      <c r="E10" s="1221"/>
      <c r="F10" s="1221"/>
      <c r="G10" s="1221"/>
      <c r="H10" s="529"/>
      <c r="I10" s="366"/>
    </row>
    <row r="11" spans="1:9" ht="12.75">
      <c r="A11" s="427">
        <v>5012</v>
      </c>
      <c r="B11" s="671" t="s">
        <v>1054</v>
      </c>
      <c r="C11" s="960">
        <v>2000</v>
      </c>
      <c r="D11" s="960"/>
      <c r="E11" s="960">
        <v>2008</v>
      </c>
      <c r="F11" s="960">
        <v>2008</v>
      </c>
      <c r="G11" s="960">
        <v>2008</v>
      </c>
      <c r="H11" s="532">
        <f>SUM(G11/F11)</f>
        <v>1</v>
      </c>
      <c r="I11" s="1179" t="s">
        <v>1187</v>
      </c>
    </row>
    <row r="12" spans="1:9" ht="12.75">
      <c r="A12" s="427">
        <v>5013</v>
      </c>
      <c r="B12" s="671" t="s">
        <v>1057</v>
      </c>
      <c r="C12" s="960">
        <v>10000</v>
      </c>
      <c r="D12" s="960"/>
      <c r="E12" s="960"/>
      <c r="F12" s="960"/>
      <c r="G12" s="960"/>
      <c r="H12" s="532">
        <f>SUM(D12/C12)</f>
        <v>0</v>
      </c>
      <c r="I12" s="362" t="s">
        <v>1188</v>
      </c>
    </row>
    <row r="13" spans="1:9" ht="12.75">
      <c r="A13" s="427">
        <v>5014</v>
      </c>
      <c r="B13" s="671" t="s">
        <v>1069</v>
      </c>
      <c r="C13" s="960">
        <v>7000</v>
      </c>
      <c r="D13" s="960">
        <v>7000</v>
      </c>
      <c r="E13" s="960">
        <v>7000</v>
      </c>
      <c r="F13" s="960">
        <v>7000</v>
      </c>
      <c r="G13" s="960">
        <v>7000</v>
      </c>
      <c r="H13" s="532">
        <f aca="true" t="shared" si="0" ref="H13:H51">SUM(G13/F13)</f>
        <v>1</v>
      </c>
      <c r="I13" s="713" t="s">
        <v>1184</v>
      </c>
    </row>
    <row r="14" spans="1:9" ht="12.75">
      <c r="A14" s="427">
        <v>5015</v>
      </c>
      <c r="B14" s="671" t="s">
        <v>1075</v>
      </c>
      <c r="C14" s="960">
        <v>10000</v>
      </c>
      <c r="D14" s="960">
        <v>10000</v>
      </c>
      <c r="E14" s="960">
        <v>10000</v>
      </c>
      <c r="F14" s="960">
        <v>10000</v>
      </c>
      <c r="G14" s="960">
        <v>10000</v>
      </c>
      <c r="H14" s="532">
        <f t="shared" si="0"/>
        <v>1</v>
      </c>
      <c r="I14" s="713" t="s">
        <v>1184</v>
      </c>
    </row>
    <row r="15" spans="1:9" ht="12.75">
      <c r="A15" s="427">
        <v>5016</v>
      </c>
      <c r="B15" s="671" t="s">
        <v>1097</v>
      </c>
      <c r="C15" s="960">
        <v>30000</v>
      </c>
      <c r="D15" s="960">
        <v>60000</v>
      </c>
      <c r="E15" s="960">
        <v>60000</v>
      </c>
      <c r="F15" s="960">
        <v>60000</v>
      </c>
      <c r="G15" s="960">
        <v>60000</v>
      </c>
      <c r="H15" s="532">
        <f t="shared" si="0"/>
        <v>1</v>
      </c>
      <c r="I15" s="1179" t="s">
        <v>1166</v>
      </c>
    </row>
    <row r="16" spans="1:9" ht="12.75">
      <c r="A16" s="427">
        <v>5017</v>
      </c>
      <c r="B16" s="671" t="s">
        <v>1154</v>
      </c>
      <c r="C16" s="960">
        <v>25000</v>
      </c>
      <c r="D16" s="960"/>
      <c r="E16" s="960"/>
      <c r="F16" s="960">
        <v>25000</v>
      </c>
      <c r="G16" s="960">
        <v>25000</v>
      </c>
      <c r="H16" s="532">
        <f t="shared" si="0"/>
        <v>1</v>
      </c>
      <c r="I16" s="1179" t="s">
        <v>1166</v>
      </c>
    </row>
    <row r="17" spans="1:9" ht="12.75">
      <c r="A17" s="449">
        <v>5010</v>
      </c>
      <c r="B17" s="670" t="s">
        <v>175</v>
      </c>
      <c r="C17" s="1048">
        <f>SUM(C11:C16)</f>
        <v>84000</v>
      </c>
      <c r="D17" s="1048">
        <f>SUM(D11:D16)</f>
        <v>77000</v>
      </c>
      <c r="E17" s="1048">
        <f>SUM(E11:E16)</f>
        <v>79008</v>
      </c>
      <c r="F17" s="1048">
        <f>SUM(F11:F16)</f>
        <v>104008</v>
      </c>
      <c r="G17" s="1048">
        <f>SUM(G11:G16)</f>
        <v>104008</v>
      </c>
      <c r="H17" s="1074">
        <f t="shared" si="0"/>
        <v>1</v>
      </c>
      <c r="I17" s="72"/>
    </row>
    <row r="18" spans="1:9" s="38" customFormat="1" ht="12.75">
      <c r="A18" s="73"/>
      <c r="B18" s="514" t="s">
        <v>264</v>
      </c>
      <c r="C18" s="1158"/>
      <c r="D18" s="1158"/>
      <c r="E18" s="1158"/>
      <c r="F18" s="1158"/>
      <c r="G18" s="1158"/>
      <c r="H18" s="532"/>
      <c r="I18" s="508"/>
    </row>
    <row r="19" spans="1:9" ht="12.75">
      <c r="A19" s="427">
        <v>5021</v>
      </c>
      <c r="B19" s="530" t="s">
        <v>12</v>
      </c>
      <c r="C19" s="960">
        <v>10000</v>
      </c>
      <c r="D19" s="960">
        <v>10000</v>
      </c>
      <c r="E19" s="960">
        <v>13560</v>
      </c>
      <c r="F19" s="960">
        <v>13560</v>
      </c>
      <c r="G19" s="960">
        <v>13560</v>
      </c>
      <c r="H19" s="532">
        <f t="shared" si="0"/>
        <v>1</v>
      </c>
      <c r="I19" s="1185" t="s">
        <v>1085</v>
      </c>
    </row>
    <row r="20" spans="1:9" ht="12.75">
      <c r="A20" s="427">
        <v>5024</v>
      </c>
      <c r="B20" s="530" t="s">
        <v>412</v>
      </c>
      <c r="C20" s="960">
        <v>178527</v>
      </c>
      <c r="D20" s="960">
        <v>178527</v>
      </c>
      <c r="E20" s="960">
        <f>SUM(E21:E22)</f>
        <v>185882</v>
      </c>
      <c r="F20" s="960">
        <f>SUM(F21:F22)</f>
        <v>185882</v>
      </c>
      <c r="G20" s="960">
        <f>SUM(G21:G22)</f>
        <v>185882</v>
      </c>
      <c r="H20" s="532">
        <f t="shared" si="0"/>
        <v>1</v>
      </c>
      <c r="I20" s="1184" t="s">
        <v>1189</v>
      </c>
    </row>
    <row r="21" spans="1:9" ht="12.75">
      <c r="A21" s="427"/>
      <c r="B21" s="1204" t="s">
        <v>302</v>
      </c>
      <c r="C21" s="960"/>
      <c r="D21" s="960"/>
      <c r="E21" s="960">
        <v>7355</v>
      </c>
      <c r="F21" s="960">
        <v>7355</v>
      </c>
      <c r="G21" s="960">
        <f>7355+11815</f>
        <v>19170</v>
      </c>
      <c r="H21" s="532">
        <f t="shared" si="0"/>
        <v>2.6063902107409924</v>
      </c>
      <c r="I21" s="1184"/>
    </row>
    <row r="22" spans="1:9" ht="12.75">
      <c r="A22" s="427"/>
      <c r="B22" s="1204" t="s">
        <v>551</v>
      </c>
      <c r="C22" s="960"/>
      <c r="D22" s="960"/>
      <c r="E22" s="960">
        <v>178527</v>
      </c>
      <c r="F22" s="960">
        <v>178527</v>
      </c>
      <c r="G22" s="960">
        <f>178527-11815</f>
        <v>166712</v>
      </c>
      <c r="H22" s="532">
        <f t="shared" si="0"/>
        <v>0.9338195343001339</v>
      </c>
      <c r="I22" s="1184"/>
    </row>
    <row r="23" spans="1:9" ht="12.75">
      <c r="A23" s="427">
        <v>5027</v>
      </c>
      <c r="B23" s="611" t="s">
        <v>507</v>
      </c>
      <c r="C23" s="960"/>
      <c r="D23" s="960"/>
      <c r="E23" s="960">
        <v>15138</v>
      </c>
      <c r="F23" s="960">
        <v>15138</v>
      </c>
      <c r="G23" s="960">
        <v>15138</v>
      </c>
      <c r="H23" s="532">
        <f t="shared" si="0"/>
        <v>1</v>
      </c>
      <c r="I23" s="366"/>
    </row>
    <row r="24" spans="1:9" s="38" customFormat="1" ht="12.75">
      <c r="A24" s="449">
        <v>5020</v>
      </c>
      <c r="B24" s="602" t="s">
        <v>175</v>
      </c>
      <c r="C24" s="1048">
        <f>SUM(C19:C23)</f>
        <v>188527</v>
      </c>
      <c r="D24" s="1048">
        <f>SUM(D19:D23)</f>
        <v>188527</v>
      </c>
      <c r="E24" s="1048">
        <f>SUM(E19+E20+E23)</f>
        <v>214580</v>
      </c>
      <c r="F24" s="1048">
        <f>SUM(F19+F20+F23)</f>
        <v>214580</v>
      </c>
      <c r="G24" s="1048">
        <f>SUM(G19+G20+G23)</f>
        <v>214580</v>
      </c>
      <c r="H24" s="1074">
        <f t="shared" si="0"/>
        <v>1</v>
      </c>
      <c r="I24" s="506"/>
    </row>
    <row r="25" spans="1:9" s="38" customFormat="1" ht="12" customHeight="1">
      <c r="A25" s="73"/>
      <c r="B25" s="533" t="s">
        <v>1056</v>
      </c>
      <c r="C25" s="1158"/>
      <c r="D25" s="1158"/>
      <c r="E25" s="1158"/>
      <c r="F25" s="1158"/>
      <c r="G25" s="1158"/>
      <c r="H25" s="532"/>
      <c r="I25" s="508"/>
    </row>
    <row r="26" spans="1:9" ht="12.75">
      <c r="A26" s="427">
        <v>5033</v>
      </c>
      <c r="B26" s="671" t="s">
        <v>27</v>
      </c>
      <c r="C26" s="960">
        <v>30000</v>
      </c>
      <c r="D26" s="960"/>
      <c r="E26" s="960">
        <v>29935</v>
      </c>
      <c r="F26" s="960">
        <v>29935</v>
      </c>
      <c r="G26" s="960">
        <v>29935</v>
      </c>
      <c r="H26" s="532">
        <f t="shared" si="0"/>
        <v>1</v>
      </c>
      <c r="I26" s="1179" t="s">
        <v>1185</v>
      </c>
    </row>
    <row r="27" spans="1:9" ht="12.75">
      <c r="A27" s="427"/>
      <c r="B27" s="1204" t="s">
        <v>302</v>
      </c>
      <c r="C27" s="960"/>
      <c r="D27" s="960"/>
      <c r="E27" s="960"/>
      <c r="F27" s="960"/>
      <c r="G27" s="1268">
        <v>7697</v>
      </c>
      <c r="H27" s="532"/>
      <c r="I27" s="1179"/>
    </row>
    <row r="28" spans="1:9" ht="12.75">
      <c r="A28" s="427"/>
      <c r="B28" s="1204" t="s">
        <v>551</v>
      </c>
      <c r="C28" s="960"/>
      <c r="D28" s="960"/>
      <c r="E28" s="960"/>
      <c r="F28" s="960"/>
      <c r="G28" s="1268">
        <v>22238</v>
      </c>
      <c r="H28" s="532"/>
      <c r="I28" s="1179"/>
    </row>
    <row r="29" spans="1:9" ht="12.75">
      <c r="A29" s="427">
        <v>5035</v>
      </c>
      <c r="B29" s="671" t="s">
        <v>506</v>
      </c>
      <c r="C29" s="960">
        <v>547516</v>
      </c>
      <c r="D29" s="960">
        <v>547516</v>
      </c>
      <c r="E29" s="960">
        <v>547516</v>
      </c>
      <c r="F29" s="960">
        <v>547516</v>
      </c>
      <c r="G29" s="960">
        <v>547516</v>
      </c>
      <c r="H29" s="532">
        <f t="shared" si="0"/>
        <v>1</v>
      </c>
      <c r="I29" s="362" t="s">
        <v>1190</v>
      </c>
    </row>
    <row r="30" spans="1:9" ht="12.75">
      <c r="A30" s="427">
        <v>5038</v>
      </c>
      <c r="B30" s="1168" t="s">
        <v>1138</v>
      </c>
      <c r="C30" s="960"/>
      <c r="D30" s="960"/>
      <c r="E30" s="960"/>
      <c r="F30" s="960"/>
      <c r="G30" s="960"/>
      <c r="H30" s="532"/>
      <c r="I30" s="534"/>
    </row>
    <row r="31" spans="1:9" ht="12.75">
      <c r="A31" s="427">
        <v>5037</v>
      </c>
      <c r="B31" s="1168" t="s">
        <v>1234</v>
      </c>
      <c r="C31" s="960"/>
      <c r="D31" s="960"/>
      <c r="E31" s="960">
        <v>1905</v>
      </c>
      <c r="F31" s="960">
        <v>1905</v>
      </c>
      <c r="G31" s="960">
        <v>1905</v>
      </c>
      <c r="H31" s="532">
        <f t="shared" si="0"/>
        <v>1</v>
      </c>
      <c r="I31" s="534"/>
    </row>
    <row r="32" spans="1:9" ht="12.75">
      <c r="A32" s="427">
        <v>5039</v>
      </c>
      <c r="B32" s="1168" t="s">
        <v>1233</v>
      </c>
      <c r="C32" s="960"/>
      <c r="D32" s="960"/>
      <c r="E32" s="960">
        <v>13223</v>
      </c>
      <c r="F32" s="960">
        <v>13223</v>
      </c>
      <c r="G32" s="960">
        <v>13223</v>
      </c>
      <c r="H32" s="532">
        <f t="shared" si="0"/>
        <v>1</v>
      </c>
      <c r="I32" s="534"/>
    </row>
    <row r="33" spans="1:9" ht="12.75">
      <c r="A33" s="427">
        <v>5049</v>
      </c>
      <c r="B33" s="530" t="s">
        <v>505</v>
      </c>
      <c r="C33" s="960"/>
      <c r="D33" s="960"/>
      <c r="E33" s="960"/>
      <c r="F33" s="960"/>
      <c r="G33" s="960"/>
      <c r="H33" s="532"/>
      <c r="I33" s="534"/>
    </row>
    <row r="34" spans="1:9" ht="12" customHeight="1">
      <c r="A34" s="449">
        <v>5050</v>
      </c>
      <c r="B34" s="531" t="s">
        <v>175</v>
      </c>
      <c r="C34" s="1048">
        <f>SUM(C26:C33)</f>
        <v>577516</v>
      </c>
      <c r="D34" s="1048">
        <f>SUM(D26:D33)</f>
        <v>547516</v>
      </c>
      <c r="E34" s="1048">
        <f>SUM(E26:E33)</f>
        <v>592579</v>
      </c>
      <c r="F34" s="1048">
        <f>SUM(F26:F33)</f>
        <v>592579</v>
      </c>
      <c r="G34" s="1048">
        <f>SUM(G26:G33)-G28-G27</f>
        <v>592579</v>
      </c>
      <c r="H34" s="1074">
        <f t="shared" si="0"/>
        <v>1</v>
      </c>
      <c r="I34" s="506"/>
    </row>
    <row r="35" spans="1:9" ht="12" customHeight="1">
      <c r="A35" s="479"/>
      <c r="B35" s="612" t="s">
        <v>418</v>
      </c>
      <c r="C35" s="1159"/>
      <c r="D35" s="1159"/>
      <c r="E35" s="1159"/>
      <c r="F35" s="1159"/>
      <c r="G35" s="1159"/>
      <c r="H35" s="532"/>
      <c r="I35" s="613"/>
    </row>
    <row r="36" spans="1:9" ht="12" customHeight="1">
      <c r="A36" s="501">
        <v>5062</v>
      </c>
      <c r="B36" s="674" t="s">
        <v>408</v>
      </c>
      <c r="C36" s="955"/>
      <c r="D36" s="955"/>
      <c r="E36" s="955">
        <v>1553</v>
      </c>
      <c r="F36" s="955">
        <v>1553</v>
      </c>
      <c r="G36" s="955">
        <v>1553</v>
      </c>
      <c r="H36" s="532">
        <f t="shared" si="0"/>
        <v>1</v>
      </c>
      <c r="I36" s="675"/>
    </row>
    <row r="37" spans="1:9" ht="12" customHeight="1">
      <c r="A37" s="501">
        <v>5069</v>
      </c>
      <c r="B37" s="674" t="s">
        <v>1241</v>
      </c>
      <c r="C37" s="955"/>
      <c r="D37" s="955"/>
      <c r="E37" s="955">
        <v>13000</v>
      </c>
      <c r="F37" s="955">
        <v>13000</v>
      </c>
      <c r="G37" s="955">
        <v>13000</v>
      </c>
      <c r="H37" s="532">
        <f t="shared" si="0"/>
        <v>1</v>
      </c>
      <c r="I37" s="675"/>
    </row>
    <row r="38" spans="1:9" ht="12" customHeight="1">
      <c r="A38" s="449">
        <v>5060</v>
      </c>
      <c r="B38" s="531" t="s">
        <v>175</v>
      </c>
      <c r="C38" s="1048">
        <f>SUM(C36:C36)</f>
        <v>0</v>
      </c>
      <c r="D38" s="1048">
        <f>SUM(D36:D36)</f>
        <v>0</v>
      </c>
      <c r="E38" s="1048">
        <f>SUM(E36:E37)</f>
        <v>14553</v>
      </c>
      <c r="F38" s="1048">
        <f>SUM(F36:F37)</f>
        <v>14553</v>
      </c>
      <c r="G38" s="1048">
        <f>SUM(G36:G37)</f>
        <v>14553</v>
      </c>
      <c r="H38" s="1074">
        <f t="shared" si="0"/>
        <v>1</v>
      </c>
      <c r="I38" s="506"/>
    </row>
    <row r="39" spans="1:9" ht="15.75" customHeight="1">
      <c r="A39" s="357"/>
      <c r="B39" s="614" t="s">
        <v>271</v>
      </c>
      <c r="C39" s="1160">
        <f>SUM(C34+C24+C17+C38)</f>
        <v>850043</v>
      </c>
      <c r="D39" s="1160">
        <f>SUM(D34+D24+D17+D38)</f>
        <v>813043</v>
      </c>
      <c r="E39" s="1160">
        <f>SUM(E34+E24+E17+E38)</f>
        <v>900720</v>
      </c>
      <c r="F39" s="1160">
        <f>SUM(F34+F24+F17+F38)</f>
        <v>925720</v>
      </c>
      <c r="G39" s="1160">
        <f>SUM(G34+G24+G17+G38)</f>
        <v>925720</v>
      </c>
      <c r="H39" s="1093">
        <f t="shared" si="0"/>
        <v>1</v>
      </c>
      <c r="I39" s="517"/>
    </row>
    <row r="40" spans="1:9" ht="12.75">
      <c r="A40" s="73"/>
      <c r="B40" s="519" t="s">
        <v>70</v>
      </c>
      <c r="C40" s="1159"/>
      <c r="D40" s="1159"/>
      <c r="E40" s="1159"/>
      <c r="F40" s="1159"/>
      <c r="G40" s="1159"/>
      <c r="H40" s="532"/>
      <c r="I40" s="366"/>
    </row>
    <row r="41" spans="1:9" ht="12.75">
      <c r="A41" s="73"/>
      <c r="B41" s="366" t="s">
        <v>113</v>
      </c>
      <c r="C41" s="955"/>
      <c r="D41" s="955"/>
      <c r="E41" s="955"/>
      <c r="F41" s="955"/>
      <c r="G41" s="955"/>
      <c r="H41" s="532"/>
      <c r="I41" s="366"/>
    </row>
    <row r="42" spans="1:9" ht="12.75">
      <c r="A42" s="73"/>
      <c r="B42" s="520" t="s">
        <v>108</v>
      </c>
      <c r="C42" s="955"/>
      <c r="D42" s="955"/>
      <c r="E42" s="955"/>
      <c r="F42" s="955"/>
      <c r="G42" s="955"/>
      <c r="H42" s="532"/>
      <c r="I42" s="366"/>
    </row>
    <row r="43" spans="1:9" ht="12" customHeight="1">
      <c r="A43" s="362"/>
      <c r="B43" s="520" t="s">
        <v>109</v>
      </c>
      <c r="C43" s="955"/>
      <c r="D43" s="955"/>
      <c r="E43" s="955">
        <f>SUM(E21)</f>
        <v>7355</v>
      </c>
      <c r="F43" s="955">
        <f>SUM(F21)</f>
        <v>7355</v>
      </c>
      <c r="G43" s="955">
        <f>SUM(G21)+G27</f>
        <v>26867</v>
      </c>
      <c r="H43" s="532">
        <f t="shared" si="0"/>
        <v>3.6528891910265124</v>
      </c>
      <c r="I43" s="366"/>
    </row>
    <row r="44" spans="1:9" ht="12" customHeight="1">
      <c r="A44" s="362"/>
      <c r="B44" s="520" t="s">
        <v>292</v>
      </c>
      <c r="C44" s="954"/>
      <c r="D44" s="954"/>
      <c r="E44" s="954"/>
      <c r="F44" s="954"/>
      <c r="G44" s="954"/>
      <c r="H44" s="532"/>
      <c r="I44" s="366"/>
    </row>
    <row r="45" spans="1:9" ht="12" customHeight="1">
      <c r="A45" s="362"/>
      <c r="B45" s="521" t="s">
        <v>60</v>
      </c>
      <c r="C45" s="1161">
        <f>SUM(C41:C44)</f>
        <v>0</v>
      </c>
      <c r="D45" s="1161">
        <f>SUM(D41:D44)</f>
        <v>0</v>
      </c>
      <c r="E45" s="1161">
        <f>SUM(E41:E44)</f>
        <v>7355</v>
      </c>
      <c r="F45" s="1161">
        <f>SUM(F41:F44)</f>
        <v>7355</v>
      </c>
      <c r="G45" s="1161">
        <f>SUM(G41:G44)</f>
        <v>26867</v>
      </c>
      <c r="H45" s="532">
        <f t="shared" si="0"/>
        <v>3.6528891910265124</v>
      </c>
      <c r="I45" s="366"/>
    </row>
    <row r="46" spans="1:9" ht="12" customHeight="1">
      <c r="A46" s="362"/>
      <c r="B46" s="522" t="s">
        <v>71</v>
      </c>
      <c r="C46" s="954"/>
      <c r="D46" s="954"/>
      <c r="E46" s="954"/>
      <c r="F46" s="954"/>
      <c r="G46" s="954"/>
      <c r="H46" s="532"/>
      <c r="I46" s="366"/>
    </row>
    <row r="47" spans="1:9" ht="12" customHeight="1">
      <c r="A47" s="362"/>
      <c r="B47" s="520" t="s">
        <v>249</v>
      </c>
      <c r="C47" s="954"/>
      <c r="D47" s="954"/>
      <c r="E47" s="954"/>
      <c r="F47" s="954"/>
      <c r="G47" s="954"/>
      <c r="H47" s="532"/>
      <c r="I47" s="366"/>
    </row>
    <row r="48" spans="1:9" ht="12" customHeight="1">
      <c r="A48" s="362"/>
      <c r="B48" s="520" t="s">
        <v>413</v>
      </c>
      <c r="C48" s="954">
        <f>SUM(C34+C24+C17+C38)-C43-C41-C42-C49-C47</f>
        <v>850043</v>
      </c>
      <c r="D48" s="954">
        <f>SUM(D34+D24+D17+D38)-D43-D41-D42-D49-D47</f>
        <v>813043</v>
      </c>
      <c r="E48" s="954">
        <f>SUM(E34+E24+E17+E38)-E43-E41-E42-E49-E47</f>
        <v>893365</v>
      </c>
      <c r="F48" s="954">
        <f>SUM(F34+F24+F17+F38)-F43-F41-F42-F49-F47</f>
        <v>918365</v>
      </c>
      <c r="G48" s="954">
        <f>SUM(G34+G24+G17+G38)-G43-G41-G42-G49-G47</f>
        <v>898853</v>
      </c>
      <c r="H48" s="532">
        <f t="shared" si="0"/>
        <v>0.9787535457035057</v>
      </c>
      <c r="I48" s="366"/>
    </row>
    <row r="49" spans="1:9" ht="12" customHeight="1">
      <c r="A49" s="362"/>
      <c r="B49" s="520" t="s">
        <v>326</v>
      </c>
      <c r="C49" s="954"/>
      <c r="D49" s="954"/>
      <c r="E49" s="954"/>
      <c r="F49" s="954"/>
      <c r="G49" s="954"/>
      <c r="H49" s="532"/>
      <c r="I49" s="366"/>
    </row>
    <row r="50" spans="1:9" ht="12" customHeight="1">
      <c r="A50" s="512"/>
      <c r="B50" s="300" t="s">
        <v>66</v>
      </c>
      <c r="C50" s="1042">
        <f>SUM(C47:C49)</f>
        <v>850043</v>
      </c>
      <c r="D50" s="1042">
        <f>SUM(D47:D49)</f>
        <v>813043</v>
      </c>
      <c r="E50" s="1042">
        <f>SUM(E47:E49)</f>
        <v>893365</v>
      </c>
      <c r="F50" s="1042">
        <f>SUM(F47:F49)</f>
        <v>918365</v>
      </c>
      <c r="G50" s="1042">
        <f>SUM(G47:G49)</f>
        <v>898853</v>
      </c>
      <c r="H50" s="1236">
        <f t="shared" si="0"/>
        <v>0.9787535457035057</v>
      </c>
      <c r="I50" s="363"/>
    </row>
    <row r="51" spans="1:9" ht="12" customHeight="1">
      <c r="A51" s="535"/>
      <c r="B51" s="506" t="s">
        <v>112</v>
      </c>
      <c r="C51" s="1040">
        <f>SUM(C34+C24+C17+C38)</f>
        <v>850043</v>
      </c>
      <c r="D51" s="1040">
        <f>SUM(D34+D24+D17+D38)</f>
        <v>813043</v>
      </c>
      <c r="E51" s="1040">
        <f>SUM(E34+E24+E17+E38)</f>
        <v>900720</v>
      </c>
      <c r="F51" s="1040">
        <f>SUM(F34+F24+F17+F38)</f>
        <v>925720</v>
      </c>
      <c r="G51" s="1040">
        <f>SUM(G34+G24+G17+G38)</f>
        <v>925720</v>
      </c>
      <c r="H51" s="1074">
        <f t="shared" si="0"/>
        <v>1</v>
      </c>
      <c r="I51" s="72"/>
    </row>
    <row r="53" ht="12.75">
      <c r="B53" s="40" t="s">
        <v>1143</v>
      </c>
    </row>
  </sheetData>
  <mergeCells count="8">
    <mergeCell ref="A2:I2"/>
    <mergeCell ref="A1:I1"/>
    <mergeCell ref="H5:H7"/>
    <mergeCell ref="C5:C7"/>
    <mergeCell ref="D5:D7"/>
    <mergeCell ref="E5:E7"/>
    <mergeCell ref="F5:F7"/>
    <mergeCell ref="G5:G7"/>
  </mergeCells>
  <printOptions horizontalCentered="1"/>
  <pageMargins left="0" right="0" top="0.3937007874015748" bottom="0.07874015748031496" header="0.5118110236220472" footer="0"/>
  <pageSetup firstPageNumber="46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Zeros="0" workbookViewId="0" topLeftCell="A1">
      <selection activeCell="G23" sqref="G23"/>
    </sheetView>
  </sheetViews>
  <sheetFormatPr defaultColWidth="9.125" defaultRowHeight="12.75"/>
  <cols>
    <col min="1" max="1" width="10.125" style="60" customWidth="1"/>
    <col min="2" max="2" width="52.375" style="59" customWidth="1"/>
    <col min="3" max="7" width="11.125" style="59" customWidth="1"/>
    <col min="8" max="8" width="11.625" style="59" customWidth="1"/>
    <col min="9" max="16384" width="9.125" style="59" customWidth="1"/>
  </cols>
  <sheetData>
    <row r="1" spans="1:7" ht="12.95" customHeight="1">
      <c r="A1" s="1367" t="s">
        <v>111</v>
      </c>
      <c r="B1" s="1367"/>
      <c r="C1" s="1367"/>
      <c r="D1" s="1367"/>
      <c r="E1" s="1367"/>
      <c r="F1" s="1367"/>
      <c r="G1" s="1367"/>
    </row>
    <row r="2" ht="12.75">
      <c r="B2" s="60"/>
    </row>
    <row r="3" spans="1:7" s="56" customFormat="1" ht="12.95" customHeight="1">
      <c r="A3" s="1366" t="s">
        <v>1068</v>
      </c>
      <c r="B3" s="1366"/>
      <c r="C3" s="1366"/>
      <c r="D3" s="1366"/>
      <c r="E3" s="1366"/>
      <c r="F3" s="1366"/>
      <c r="G3" s="1366"/>
    </row>
    <row r="4" s="56" customFormat="1" ht="12.75"/>
    <row r="5" s="56" customFormat="1" ht="12.75"/>
    <row r="6" spans="3:7" s="56" customFormat="1" ht="12.75">
      <c r="C6" s="1174"/>
      <c r="D6" s="1174"/>
      <c r="E6" s="1174"/>
      <c r="G6" s="1174" t="s">
        <v>368</v>
      </c>
    </row>
    <row r="7" spans="1:7" s="56" customFormat="1" ht="12.75" customHeight="1">
      <c r="A7" s="1368" t="s">
        <v>279</v>
      </c>
      <c r="B7" s="1368" t="s">
        <v>162</v>
      </c>
      <c r="C7" s="1331" t="s">
        <v>1193</v>
      </c>
      <c r="D7" s="1331" t="s">
        <v>1226</v>
      </c>
      <c r="E7" s="1331" t="s">
        <v>1264</v>
      </c>
      <c r="F7" s="1331" t="s">
        <v>1273</v>
      </c>
      <c r="G7" s="1331" t="s">
        <v>1277</v>
      </c>
    </row>
    <row r="8" spans="1:7" s="56" customFormat="1" ht="12.75">
      <c r="A8" s="1371"/>
      <c r="B8" s="1369"/>
      <c r="C8" s="1344"/>
      <c r="D8" s="1344"/>
      <c r="E8" s="1344"/>
      <c r="F8" s="1344"/>
      <c r="G8" s="1344"/>
    </row>
    <row r="9" spans="1:7" s="56" customFormat="1" ht="13.5" thickBot="1">
      <c r="A9" s="1372"/>
      <c r="B9" s="1370"/>
      <c r="C9" s="1345"/>
      <c r="D9" s="1345"/>
      <c r="E9" s="1345"/>
      <c r="F9" s="1345"/>
      <c r="G9" s="1345"/>
    </row>
    <row r="10" spans="1:7" s="56" customFormat="1" ht="12.75">
      <c r="A10" s="68" t="s">
        <v>163</v>
      </c>
      <c r="B10" s="68" t="s">
        <v>164</v>
      </c>
      <c r="C10" s="68" t="s">
        <v>165</v>
      </c>
      <c r="D10" s="68" t="s">
        <v>166</v>
      </c>
      <c r="E10" s="68" t="s">
        <v>167</v>
      </c>
      <c r="F10" s="68" t="s">
        <v>43</v>
      </c>
      <c r="G10" s="68" t="s">
        <v>369</v>
      </c>
    </row>
    <row r="11" spans="1:7" s="56" customFormat="1" ht="12.75">
      <c r="A11" s="11"/>
      <c r="B11" s="11"/>
      <c r="C11" s="690"/>
      <c r="D11" s="690"/>
      <c r="E11" s="690"/>
      <c r="F11" s="690"/>
      <c r="G11" s="690"/>
    </row>
    <row r="12" spans="1:7" s="27" customFormat="1" ht="12.75">
      <c r="A12" s="16">
        <v>6110</v>
      </c>
      <c r="B12" s="14" t="s">
        <v>57</v>
      </c>
      <c r="C12" s="687">
        <v>42358</v>
      </c>
      <c r="D12" s="687">
        <v>97358</v>
      </c>
      <c r="E12" s="1163">
        <v>27877</v>
      </c>
      <c r="F12" s="1163">
        <v>42914</v>
      </c>
      <c r="G12" s="1163">
        <v>110340</v>
      </c>
    </row>
    <row r="13" spans="1:7" ht="12.75">
      <c r="A13" s="57"/>
      <c r="B13" s="58"/>
      <c r="C13" s="1162"/>
      <c r="D13" s="1162"/>
      <c r="E13" s="1162"/>
      <c r="F13" s="1162"/>
      <c r="G13" s="1162"/>
    </row>
    <row r="14" spans="1:7" s="27" customFormat="1" ht="12.75">
      <c r="A14" s="16">
        <v>6120</v>
      </c>
      <c r="B14" s="14" t="s">
        <v>59</v>
      </c>
      <c r="C14" s="1163">
        <f>SUM(C21:C35)</f>
        <v>571500</v>
      </c>
      <c r="D14" s="1163">
        <f>SUM(D15+D33)</f>
        <v>1073500</v>
      </c>
      <c r="E14" s="1163">
        <f>SUM(E15+E33)</f>
        <v>522500</v>
      </c>
      <c r="F14" s="1163">
        <f>SUM(F15+F33)</f>
        <v>359463</v>
      </c>
      <c r="G14" s="1163">
        <f>SUM(G15+G33)</f>
        <v>339463</v>
      </c>
    </row>
    <row r="15" spans="1:7" s="27" customFormat="1" ht="12.75">
      <c r="A15" s="16"/>
      <c r="B15" s="1193" t="s">
        <v>1202</v>
      </c>
      <c r="C15" s="1194"/>
      <c r="D15" s="1194">
        <f>SUM(D21:D32)</f>
        <v>316500</v>
      </c>
      <c r="E15" s="1194">
        <f>SUM(E16:E32)</f>
        <v>187500</v>
      </c>
      <c r="F15" s="1194">
        <f>SUM(F16:F32)</f>
        <v>144463</v>
      </c>
      <c r="G15" s="1194">
        <f>SUM(G16:G32)</f>
        <v>124463</v>
      </c>
    </row>
    <row r="16" spans="1:7" s="27" customFormat="1" ht="12.75">
      <c r="A16" s="1213">
        <v>6111</v>
      </c>
      <c r="B16" s="717" t="s">
        <v>1245</v>
      </c>
      <c r="C16" s="1194"/>
      <c r="D16" s="1194"/>
      <c r="E16" s="1214"/>
      <c r="F16" s="1214"/>
      <c r="G16" s="1214"/>
    </row>
    <row r="17" spans="1:7" s="27" customFormat="1" ht="12.75">
      <c r="A17" s="1213">
        <v>6112</v>
      </c>
      <c r="B17" s="717" t="s">
        <v>1244</v>
      </c>
      <c r="C17" s="1194"/>
      <c r="D17" s="1194"/>
      <c r="E17" s="1214"/>
      <c r="F17" s="1214"/>
      <c r="G17" s="1214"/>
    </row>
    <row r="18" spans="1:7" s="27" customFormat="1" ht="12.75">
      <c r="A18" s="1213">
        <v>6113</v>
      </c>
      <c r="B18" s="717" t="s">
        <v>1243</v>
      </c>
      <c r="C18" s="1194"/>
      <c r="D18" s="1194"/>
      <c r="E18" s="1214">
        <v>3000</v>
      </c>
      <c r="F18" s="1214"/>
      <c r="G18" s="1214"/>
    </row>
    <row r="19" spans="1:7" s="27" customFormat="1" ht="12.75">
      <c r="A19" s="1213">
        <v>6114</v>
      </c>
      <c r="B19" s="717" t="s">
        <v>1242</v>
      </c>
      <c r="C19" s="1194"/>
      <c r="D19" s="1194"/>
      <c r="E19" s="1214">
        <v>8000</v>
      </c>
      <c r="F19" s="1214"/>
      <c r="G19" s="1214"/>
    </row>
    <row r="20" spans="1:7" s="27" customFormat="1" ht="12.75">
      <c r="A20" s="1213">
        <v>6115</v>
      </c>
      <c r="B20" s="717" t="s">
        <v>1246</v>
      </c>
      <c r="C20" s="1194"/>
      <c r="D20" s="1194"/>
      <c r="E20" s="1214"/>
      <c r="F20" s="1214"/>
      <c r="G20" s="1214"/>
    </row>
    <row r="21" spans="1:7" s="27" customFormat="1" ht="12.75">
      <c r="A21" s="57">
        <v>6121</v>
      </c>
      <c r="B21" s="58" t="s">
        <v>1203</v>
      </c>
      <c r="C21" s="1162">
        <v>21500</v>
      </c>
      <c r="D21" s="1162">
        <v>21500</v>
      </c>
      <c r="E21" s="1162">
        <v>21500</v>
      </c>
      <c r="F21" s="1162">
        <v>16463</v>
      </c>
      <c r="G21" s="1162">
        <v>16463</v>
      </c>
    </row>
    <row r="22" spans="1:7" s="27" customFormat="1" ht="12.75">
      <c r="A22" s="57">
        <v>6122</v>
      </c>
      <c r="B22" s="58" t="s">
        <v>1204</v>
      </c>
      <c r="C22" s="1162">
        <v>50000</v>
      </c>
      <c r="D22" s="1162">
        <v>5000</v>
      </c>
      <c r="E22" s="1162">
        <v>5000</v>
      </c>
      <c r="F22" s="1162">
        <v>5000</v>
      </c>
      <c r="G22" s="1162"/>
    </row>
    <row r="23" spans="1:7" s="27" customFormat="1" ht="12.75">
      <c r="A23" s="147">
        <v>6123</v>
      </c>
      <c r="B23" s="717" t="s">
        <v>1205</v>
      </c>
      <c r="C23" s="1164"/>
      <c r="D23" s="1164">
        <v>10000</v>
      </c>
      <c r="E23" s="1164"/>
      <c r="F23" s="1164"/>
      <c r="G23" s="1164"/>
    </row>
    <row r="24" spans="1:7" s="27" customFormat="1" ht="12.75">
      <c r="A24" s="147">
        <v>6124</v>
      </c>
      <c r="B24" s="717" t="s">
        <v>1206</v>
      </c>
      <c r="C24" s="1164"/>
      <c r="D24" s="1164">
        <v>10000</v>
      </c>
      <c r="E24" s="1164"/>
      <c r="F24" s="1164"/>
      <c r="G24" s="1164"/>
    </row>
    <row r="25" spans="1:7" s="27" customFormat="1" ht="12.75">
      <c r="A25" s="147">
        <v>6125</v>
      </c>
      <c r="B25" s="717" t="s">
        <v>1207</v>
      </c>
      <c r="C25" s="1164"/>
      <c r="D25" s="1164">
        <v>40000</v>
      </c>
      <c r="E25" s="1164"/>
      <c r="F25" s="1164"/>
      <c r="G25" s="1164"/>
    </row>
    <row r="26" spans="1:7" s="27" customFormat="1" ht="12.75">
      <c r="A26" s="147">
        <v>6126</v>
      </c>
      <c r="B26" s="717" t="s">
        <v>1208</v>
      </c>
      <c r="C26" s="1164"/>
      <c r="D26" s="1164">
        <v>10000</v>
      </c>
      <c r="E26" s="1164"/>
      <c r="F26" s="1164"/>
      <c r="G26" s="1164"/>
    </row>
    <row r="27" spans="1:7" s="27" customFormat="1" ht="12.75">
      <c r="A27" s="147">
        <v>6127</v>
      </c>
      <c r="B27" s="717" t="s">
        <v>1209</v>
      </c>
      <c r="C27" s="1164"/>
      <c r="D27" s="1164">
        <v>10000</v>
      </c>
      <c r="E27" s="1164">
        <v>10000</v>
      </c>
      <c r="F27" s="1164">
        <v>10000</v>
      </c>
      <c r="G27" s="1164">
        <v>10000</v>
      </c>
    </row>
    <row r="28" spans="1:7" s="27" customFormat="1" ht="12.75">
      <c r="A28" s="147">
        <v>6128</v>
      </c>
      <c r="B28" s="717" t="s">
        <v>1210</v>
      </c>
      <c r="C28" s="1164"/>
      <c r="D28" s="1164">
        <v>40000</v>
      </c>
      <c r="E28" s="1164">
        <v>40000</v>
      </c>
      <c r="F28" s="1164">
        <v>40000</v>
      </c>
      <c r="G28" s="1164">
        <v>40000</v>
      </c>
    </row>
    <row r="29" spans="1:7" s="27" customFormat="1" ht="12.75">
      <c r="A29" s="147">
        <v>6129</v>
      </c>
      <c r="B29" s="717" t="s">
        <v>1211</v>
      </c>
      <c r="C29" s="1164"/>
      <c r="D29" s="1164">
        <v>100000</v>
      </c>
      <c r="E29" s="1164">
        <v>30000</v>
      </c>
      <c r="F29" s="1164">
        <v>30000</v>
      </c>
      <c r="G29" s="1164">
        <v>15000</v>
      </c>
    </row>
    <row r="30" spans="1:7" s="27" customFormat="1" ht="12.75">
      <c r="A30" s="147">
        <v>6130</v>
      </c>
      <c r="B30" s="717" t="s">
        <v>1212</v>
      </c>
      <c r="C30" s="1164"/>
      <c r="D30" s="1164">
        <v>25000</v>
      </c>
      <c r="E30" s="1164">
        <v>25000</v>
      </c>
      <c r="F30" s="1164">
        <v>25000</v>
      </c>
      <c r="G30" s="1164">
        <v>25000</v>
      </c>
    </row>
    <row r="31" spans="1:7" s="27" customFormat="1" ht="12.75">
      <c r="A31" s="147">
        <v>6131</v>
      </c>
      <c r="B31" s="717" t="s">
        <v>1213</v>
      </c>
      <c r="C31" s="1164"/>
      <c r="D31" s="1164">
        <v>5000</v>
      </c>
      <c r="E31" s="1164">
        <v>5000</v>
      </c>
      <c r="F31" s="1164">
        <v>5000</v>
      </c>
      <c r="G31" s="1164">
        <v>5000</v>
      </c>
    </row>
    <row r="32" spans="1:7" s="27" customFormat="1" ht="12.75">
      <c r="A32" s="147">
        <v>6132</v>
      </c>
      <c r="B32" s="717" t="s">
        <v>1214</v>
      </c>
      <c r="C32" s="1164"/>
      <c r="D32" s="1164">
        <v>40000</v>
      </c>
      <c r="E32" s="1164">
        <v>40000</v>
      </c>
      <c r="F32" s="1164">
        <v>13000</v>
      </c>
      <c r="G32" s="1164">
        <v>13000</v>
      </c>
    </row>
    <row r="33" spans="1:7" s="27" customFormat="1" ht="12.75">
      <c r="A33" s="147"/>
      <c r="B33" s="1193" t="s">
        <v>1215</v>
      </c>
      <c r="C33" s="1195"/>
      <c r="D33" s="1194">
        <f>SUM(D34:D40)</f>
        <v>757000</v>
      </c>
      <c r="E33" s="1194">
        <f>SUM(E34:E41)</f>
        <v>335000</v>
      </c>
      <c r="F33" s="1194">
        <f>SUM(F34:F41)</f>
        <v>215000</v>
      </c>
      <c r="G33" s="1194">
        <f>SUM(G34:G41)</f>
        <v>215000</v>
      </c>
    </row>
    <row r="34" spans="1:7" ht="12.75">
      <c r="A34" s="147">
        <v>6133</v>
      </c>
      <c r="B34" s="717" t="s">
        <v>1216</v>
      </c>
      <c r="C34" s="1164">
        <v>400000</v>
      </c>
      <c r="D34" s="1164">
        <v>400000</v>
      </c>
      <c r="E34" s="1164"/>
      <c r="F34" s="1164"/>
      <c r="G34" s="1164"/>
    </row>
    <row r="35" spans="1:7" ht="12.75">
      <c r="A35" s="147">
        <v>6134</v>
      </c>
      <c r="B35" s="717" t="s">
        <v>1217</v>
      </c>
      <c r="C35" s="1164">
        <v>100000</v>
      </c>
      <c r="D35" s="1164">
        <v>10000</v>
      </c>
      <c r="E35" s="1164">
        <v>10000</v>
      </c>
      <c r="F35" s="1164">
        <v>10000</v>
      </c>
      <c r="G35" s="1164">
        <v>10000</v>
      </c>
    </row>
    <row r="36" spans="1:7" ht="12.75">
      <c r="A36" s="147">
        <v>6135</v>
      </c>
      <c r="B36" s="717" t="s">
        <v>1218</v>
      </c>
      <c r="C36" s="1164"/>
      <c r="D36" s="1164">
        <v>240000</v>
      </c>
      <c r="E36" s="1164">
        <v>240000</v>
      </c>
      <c r="F36" s="1164">
        <v>120000</v>
      </c>
      <c r="G36" s="1164">
        <v>120000</v>
      </c>
    </row>
    <row r="37" spans="1:7" ht="12.75">
      <c r="A37" s="147">
        <v>6136</v>
      </c>
      <c r="B37" s="717" t="s">
        <v>1219</v>
      </c>
      <c r="C37" s="1164"/>
      <c r="D37" s="1164">
        <v>20000</v>
      </c>
      <c r="E37" s="1164"/>
      <c r="F37" s="1164"/>
      <c r="G37" s="1164"/>
    </row>
    <row r="38" spans="1:7" ht="12.75">
      <c r="A38" s="147">
        <v>6137</v>
      </c>
      <c r="B38" s="717" t="s">
        <v>1220</v>
      </c>
      <c r="C38" s="1164"/>
      <c r="D38" s="1164">
        <v>75000</v>
      </c>
      <c r="E38" s="1164">
        <v>55000</v>
      </c>
      <c r="F38" s="1164">
        <v>55000</v>
      </c>
      <c r="G38" s="1164">
        <v>55000</v>
      </c>
    </row>
    <row r="39" spans="1:7" ht="12.75">
      <c r="A39" s="147">
        <v>6138</v>
      </c>
      <c r="B39" s="717" t="s">
        <v>1221</v>
      </c>
      <c r="C39" s="1164"/>
      <c r="D39" s="1164">
        <v>2000</v>
      </c>
      <c r="E39" s="1164"/>
      <c r="F39" s="1164"/>
      <c r="G39" s="1164"/>
    </row>
    <row r="40" spans="1:7" ht="12.75">
      <c r="A40" s="147">
        <v>6139</v>
      </c>
      <c r="B40" s="717" t="s">
        <v>1222</v>
      </c>
      <c r="C40" s="1164"/>
      <c r="D40" s="1164">
        <v>10000</v>
      </c>
      <c r="E40" s="1164">
        <v>10000</v>
      </c>
      <c r="F40" s="1164">
        <v>10000</v>
      </c>
      <c r="G40" s="1164">
        <v>10000</v>
      </c>
    </row>
    <row r="41" spans="1:7" ht="12.75">
      <c r="A41" s="147">
        <v>6140</v>
      </c>
      <c r="B41" s="290" t="s">
        <v>1247</v>
      </c>
      <c r="C41" s="1164"/>
      <c r="D41" s="1164"/>
      <c r="E41" s="1164">
        <v>20000</v>
      </c>
      <c r="F41" s="1164">
        <v>20000</v>
      </c>
      <c r="G41" s="1164">
        <v>20000</v>
      </c>
    </row>
    <row r="42" spans="1:7" ht="12.75">
      <c r="A42" s="57"/>
      <c r="B42" s="58"/>
      <c r="C42" s="1162"/>
      <c r="D42" s="1162"/>
      <c r="E42" s="1162"/>
      <c r="F42" s="1162"/>
      <c r="G42" s="1162"/>
    </row>
    <row r="43" spans="1:7" s="27" customFormat="1" ht="12.75">
      <c r="A43" s="16">
        <v>6100</v>
      </c>
      <c r="B43" s="14" t="s">
        <v>151</v>
      </c>
      <c r="C43" s="687">
        <f>SUM(C12+C14)</f>
        <v>613858</v>
      </c>
      <c r="D43" s="687">
        <f>SUM(D15+D33+D12)</f>
        <v>1170858</v>
      </c>
      <c r="E43" s="687">
        <f>SUM(E15+E33+E12)</f>
        <v>550377</v>
      </c>
      <c r="F43" s="687">
        <f>SUM(F15+F33+F12)</f>
        <v>402377</v>
      </c>
      <c r="G43" s="687">
        <f>SUM(G15+G33+G12)</f>
        <v>449803</v>
      </c>
    </row>
    <row r="46" ht="12.75">
      <c r="A46" s="557"/>
    </row>
    <row r="47" ht="12.75">
      <c r="A47" s="557"/>
    </row>
  </sheetData>
  <mergeCells count="9">
    <mergeCell ref="G7:G9"/>
    <mergeCell ref="A3:G3"/>
    <mergeCell ref="A1:G1"/>
    <mergeCell ref="F7:F9"/>
    <mergeCell ref="E7:E9"/>
    <mergeCell ref="D7:D9"/>
    <mergeCell ref="C7:C9"/>
    <mergeCell ref="B7:B9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8"/>
  <sheetViews>
    <sheetView workbookViewId="0" topLeftCell="A32">
      <selection activeCell="A72" sqref="A72:XFD72"/>
    </sheetView>
  </sheetViews>
  <sheetFormatPr defaultColWidth="9.125" defaultRowHeight="12.75"/>
  <cols>
    <col min="1" max="1" width="9.125" style="732" customWidth="1"/>
    <col min="2" max="2" width="7.00390625" style="732" customWidth="1"/>
    <col min="3" max="3" width="23.375" style="732" customWidth="1"/>
    <col min="4" max="4" width="10.375" style="732" customWidth="1"/>
    <col min="5" max="5" width="10.875" style="732" customWidth="1"/>
    <col min="6" max="6" width="10.125" style="732" customWidth="1"/>
    <col min="7" max="7" width="10.875" style="732" customWidth="1"/>
    <col min="8" max="9" width="11.00390625" style="732" customWidth="1"/>
    <col min="10" max="12" width="10.625" style="732" customWidth="1"/>
    <col min="13" max="16384" width="9.125" style="732" customWidth="1"/>
  </cols>
  <sheetData>
    <row r="2" spans="2:12" ht="12.75">
      <c r="B2" s="1384" t="s">
        <v>508</v>
      </c>
      <c r="C2" s="1384"/>
      <c r="D2" s="1384"/>
      <c r="E2" s="1384"/>
      <c r="F2" s="1384"/>
      <c r="G2" s="1384"/>
      <c r="H2" s="1384"/>
      <c r="I2" s="1384"/>
      <c r="J2" s="1384"/>
      <c r="K2" s="1384"/>
      <c r="L2" s="1384"/>
    </row>
    <row r="3" spans="2:12" ht="12.75">
      <c r="B3" s="733"/>
      <c r="C3" s="734"/>
      <c r="D3" s="734"/>
      <c r="E3" s="734"/>
      <c r="F3" s="734"/>
      <c r="G3" s="734"/>
      <c r="H3" s="734"/>
      <c r="I3" s="734"/>
      <c r="J3" s="734"/>
      <c r="K3" s="734"/>
      <c r="L3" s="734"/>
    </row>
    <row r="4" spans="2:12" ht="12.75">
      <c r="B4" s="1384" t="s">
        <v>509</v>
      </c>
      <c r="C4" s="1385"/>
      <c r="D4" s="1385"/>
      <c r="E4" s="1385"/>
      <c r="F4" s="1385"/>
      <c r="G4" s="1385"/>
      <c r="H4" s="1385"/>
      <c r="I4" s="1385"/>
      <c r="J4" s="1385"/>
      <c r="K4" s="1385"/>
      <c r="L4" s="1385"/>
    </row>
    <row r="5" spans="5:10" ht="15.75">
      <c r="E5" s="735"/>
      <c r="F5" s="735"/>
      <c r="G5" s="735"/>
      <c r="H5" s="735"/>
      <c r="I5" s="735"/>
      <c r="J5" s="735"/>
    </row>
    <row r="6" spans="2:10" ht="12.75">
      <c r="B6" s="1386" t="s">
        <v>510</v>
      </c>
      <c r="C6" s="1387"/>
      <c r="D6" s="1387"/>
      <c r="E6" s="1387"/>
      <c r="F6" s="1387"/>
      <c r="G6" s="736"/>
      <c r="H6" s="736"/>
      <c r="I6" s="736"/>
      <c r="J6" s="736"/>
    </row>
    <row r="7" spans="2:12" ht="12.75">
      <c r="B7" s="737"/>
      <c r="C7" s="737"/>
      <c r="D7" s="737"/>
      <c r="E7" s="738" t="s">
        <v>368</v>
      </c>
      <c r="F7" s="739"/>
      <c r="G7" s="739"/>
      <c r="H7" s="739"/>
      <c r="I7" s="739"/>
      <c r="J7" s="739"/>
      <c r="K7" s="739"/>
      <c r="L7" s="739"/>
    </row>
    <row r="8" spans="2:12" ht="22.5" customHeight="1">
      <c r="B8" s="1388" t="s">
        <v>511</v>
      </c>
      <c r="C8" s="1388" t="s">
        <v>512</v>
      </c>
      <c r="D8" s="1388" t="s">
        <v>513</v>
      </c>
      <c r="E8" s="1390" t="s">
        <v>177</v>
      </c>
      <c r="F8" s="1382"/>
      <c r="G8" s="1382"/>
      <c r="H8" s="1382"/>
      <c r="I8" s="1382"/>
      <c r="J8" s="1382"/>
      <c r="K8" s="1382"/>
      <c r="L8" s="1382"/>
    </row>
    <row r="9" spans="2:12" ht="21.75" customHeight="1">
      <c r="B9" s="1388"/>
      <c r="C9" s="1388"/>
      <c r="D9" s="1388"/>
      <c r="E9" s="1388"/>
      <c r="F9" s="1382"/>
      <c r="G9" s="1382"/>
      <c r="H9" s="1382"/>
      <c r="I9" s="1382"/>
      <c r="J9" s="1382"/>
      <c r="K9" s="1382"/>
      <c r="L9" s="1382"/>
    </row>
    <row r="10" spans="2:12" ht="18" customHeight="1" thickBot="1">
      <c r="B10" s="1389"/>
      <c r="C10" s="1389"/>
      <c r="D10" s="1389"/>
      <c r="E10" s="1389"/>
      <c r="F10" s="1383"/>
      <c r="G10" s="1383"/>
      <c r="H10" s="1383"/>
      <c r="I10" s="1383"/>
      <c r="J10" s="1383"/>
      <c r="K10" s="1383"/>
      <c r="L10" s="1383"/>
    </row>
    <row r="11" spans="2:12" ht="13.5" thickTop="1">
      <c r="B11" s="1380" t="s">
        <v>516</v>
      </c>
      <c r="C11" s="740" t="s">
        <v>514</v>
      </c>
      <c r="D11" s="741">
        <v>48000</v>
      </c>
      <c r="E11" s="742">
        <f aca="true" t="shared" si="0" ref="E11:E17">SUM(D11)</f>
        <v>48000</v>
      </c>
      <c r="F11" s="743"/>
      <c r="G11" s="743"/>
      <c r="H11" s="743"/>
      <c r="I11" s="743"/>
      <c r="J11" s="743"/>
      <c r="K11" s="743"/>
      <c r="L11" s="743"/>
    </row>
    <row r="12" spans="2:12" ht="12.75">
      <c r="B12" s="1381"/>
      <c r="C12" s="740" t="s">
        <v>515</v>
      </c>
      <c r="D12" s="741">
        <v>1331</v>
      </c>
      <c r="E12" s="742">
        <v>1331</v>
      </c>
      <c r="F12" s="743"/>
      <c r="G12" s="743"/>
      <c r="H12" s="743"/>
      <c r="I12" s="743"/>
      <c r="J12" s="743"/>
      <c r="K12" s="743"/>
      <c r="L12" s="743"/>
    </row>
    <row r="13" spans="2:12" ht="12.75">
      <c r="B13" s="1379" t="s">
        <v>517</v>
      </c>
      <c r="C13" s="740" t="s">
        <v>514</v>
      </c>
      <c r="D13" s="741">
        <v>48000</v>
      </c>
      <c r="E13" s="742">
        <f t="shared" si="0"/>
        <v>48000</v>
      </c>
      <c r="F13" s="743"/>
      <c r="G13" s="743"/>
      <c r="H13" s="743"/>
      <c r="I13" s="743"/>
      <c r="J13" s="743"/>
      <c r="K13" s="743"/>
      <c r="L13" s="743"/>
    </row>
    <row r="14" spans="2:12" ht="12.75">
      <c r="B14" s="1379"/>
      <c r="C14" s="740" t="s">
        <v>515</v>
      </c>
      <c r="D14" s="741">
        <v>1075</v>
      </c>
      <c r="E14" s="742">
        <v>1075</v>
      </c>
      <c r="F14" s="743"/>
      <c r="G14" s="743"/>
      <c r="H14" s="743"/>
      <c r="I14" s="743"/>
      <c r="J14" s="743"/>
      <c r="K14" s="743"/>
      <c r="L14" s="743"/>
    </row>
    <row r="15" spans="2:12" ht="12.75">
      <c r="B15" s="1380" t="s">
        <v>518</v>
      </c>
      <c r="C15" s="740" t="s">
        <v>514</v>
      </c>
      <c r="D15" s="741">
        <v>48000</v>
      </c>
      <c r="E15" s="742">
        <f t="shared" si="0"/>
        <v>48000</v>
      </c>
      <c r="F15" s="743"/>
      <c r="G15" s="743"/>
      <c r="H15" s="743"/>
      <c r="I15" s="743"/>
      <c r="J15" s="743"/>
      <c r="K15" s="743"/>
      <c r="L15" s="743"/>
    </row>
    <row r="16" spans="2:12" ht="12.75">
      <c r="B16" s="1381"/>
      <c r="C16" s="740" t="s">
        <v>515</v>
      </c>
      <c r="D16" s="741">
        <v>812</v>
      </c>
      <c r="E16" s="742">
        <v>812</v>
      </c>
      <c r="F16" s="743"/>
      <c r="G16" s="743"/>
      <c r="H16" s="743"/>
      <c r="I16" s="743"/>
      <c r="J16" s="743"/>
      <c r="K16" s="743"/>
      <c r="L16" s="743"/>
    </row>
    <row r="17" spans="2:12" ht="12.75">
      <c r="B17" s="1379" t="s">
        <v>519</v>
      </c>
      <c r="C17" s="740" t="s">
        <v>514</v>
      </c>
      <c r="D17" s="741">
        <v>48000</v>
      </c>
      <c r="E17" s="742">
        <f t="shared" si="0"/>
        <v>48000</v>
      </c>
      <c r="F17" s="743"/>
      <c r="G17" s="743"/>
      <c r="H17" s="743"/>
      <c r="I17" s="743"/>
      <c r="J17" s="743"/>
      <c r="K17" s="743"/>
      <c r="L17" s="743"/>
    </row>
    <row r="18" spans="2:12" ht="12.75">
      <c r="B18" s="1379"/>
      <c r="C18" s="740" t="s">
        <v>515</v>
      </c>
      <c r="D18" s="741">
        <v>552</v>
      </c>
      <c r="E18" s="742">
        <v>552</v>
      </c>
      <c r="F18" s="743"/>
      <c r="G18" s="743"/>
      <c r="H18" s="743"/>
      <c r="I18" s="743"/>
      <c r="J18" s="743"/>
      <c r="K18" s="743"/>
      <c r="L18" s="743"/>
    </row>
    <row r="19" spans="2:12" ht="12.75">
      <c r="B19" s="1380" t="s">
        <v>520</v>
      </c>
      <c r="C19" s="740" t="s">
        <v>514</v>
      </c>
      <c r="D19" s="741">
        <v>48000</v>
      </c>
      <c r="E19" s="742">
        <v>12000</v>
      </c>
      <c r="F19" s="743"/>
      <c r="G19" s="743"/>
      <c r="H19" s="743"/>
      <c r="I19" s="743"/>
      <c r="J19" s="743"/>
      <c r="K19" s="743"/>
      <c r="L19" s="743"/>
    </row>
    <row r="20" spans="2:12" ht="12.75">
      <c r="B20" s="1381"/>
      <c r="C20" s="740" t="s">
        <v>515</v>
      </c>
      <c r="D20" s="741">
        <v>292</v>
      </c>
      <c r="E20" s="742">
        <v>292</v>
      </c>
      <c r="F20" s="743"/>
      <c r="G20" s="743"/>
      <c r="H20" s="743"/>
      <c r="I20" s="743"/>
      <c r="J20" s="743"/>
      <c r="K20" s="743"/>
      <c r="L20" s="743"/>
    </row>
    <row r="21" spans="2:12" ht="12.75">
      <c r="B21" s="744"/>
      <c r="C21" s="744"/>
      <c r="D21" s="743"/>
      <c r="E21" s="743"/>
      <c r="F21" s="743"/>
      <c r="G21" s="743"/>
      <c r="H21" s="743"/>
      <c r="I21" s="743"/>
      <c r="J21" s="743"/>
      <c r="K21" s="743"/>
      <c r="L21" s="743"/>
    </row>
    <row r="22" spans="2:9" ht="13.5" customHeight="1">
      <c r="B22" s="747" t="s">
        <v>521</v>
      </c>
      <c r="C22" s="737"/>
      <c r="D22" s="737"/>
      <c r="E22" s="737"/>
      <c r="F22" s="737"/>
      <c r="G22" s="737"/>
      <c r="H22" s="745"/>
      <c r="I22" s="745" t="s">
        <v>368</v>
      </c>
    </row>
    <row r="23" spans="2:9" ht="12.75">
      <c r="B23" s="1377" t="s">
        <v>162</v>
      </c>
      <c r="C23" s="1378"/>
      <c r="D23" s="748" t="s">
        <v>516</v>
      </c>
      <c r="E23" s="748" t="s">
        <v>517</v>
      </c>
      <c r="F23" s="748" t="s">
        <v>518</v>
      </c>
      <c r="G23" s="746" t="s">
        <v>519</v>
      </c>
      <c r="H23" s="746" t="s">
        <v>520</v>
      </c>
      <c r="I23" s="746" t="s">
        <v>1122</v>
      </c>
    </row>
    <row r="24" spans="2:9" ht="12.75">
      <c r="B24" s="1106" t="s">
        <v>522</v>
      </c>
      <c r="C24" s="979"/>
      <c r="D24" s="757">
        <v>13566</v>
      </c>
      <c r="E24" s="980">
        <v>3392</v>
      </c>
      <c r="F24" s="749"/>
      <c r="G24" s="750"/>
      <c r="H24" s="750"/>
      <c r="I24" s="750"/>
    </row>
    <row r="25" spans="2:9" ht="12.75">
      <c r="B25" s="1080" t="s">
        <v>524</v>
      </c>
      <c r="C25" s="979"/>
      <c r="D25" s="757">
        <v>4400</v>
      </c>
      <c r="E25" s="757">
        <v>1800</v>
      </c>
      <c r="F25" s="749"/>
      <c r="G25" s="750"/>
      <c r="H25" s="750"/>
      <c r="I25" s="750"/>
    </row>
    <row r="26" spans="2:9" ht="12.75">
      <c r="B26" s="1299" t="s">
        <v>1305</v>
      </c>
      <c r="C26" s="979"/>
      <c r="D26" s="757">
        <v>2100</v>
      </c>
      <c r="E26" s="980">
        <v>9000</v>
      </c>
      <c r="F26" s="749"/>
      <c r="G26" s="750"/>
      <c r="H26" s="750"/>
      <c r="I26" s="750"/>
    </row>
    <row r="27" spans="2:9" ht="12.75">
      <c r="B27" s="1299" t="s">
        <v>1306</v>
      </c>
      <c r="C27" s="979"/>
      <c r="D27" s="757">
        <v>219</v>
      </c>
      <c r="E27" s="980">
        <v>1092</v>
      </c>
      <c r="F27" s="749"/>
      <c r="G27" s="750"/>
      <c r="H27" s="750"/>
      <c r="I27" s="750"/>
    </row>
    <row r="28" spans="2:9" ht="12.75">
      <c r="B28" s="1106" t="s">
        <v>523</v>
      </c>
      <c r="C28" s="979"/>
      <c r="D28" s="757">
        <v>5870</v>
      </c>
      <c r="E28" s="980">
        <v>1250</v>
      </c>
      <c r="F28" s="749"/>
      <c r="G28" s="750"/>
      <c r="H28" s="750"/>
      <c r="I28" s="750"/>
    </row>
    <row r="29" spans="2:9" ht="12.75">
      <c r="B29" s="1299" t="s">
        <v>1307</v>
      </c>
      <c r="C29" s="979"/>
      <c r="D29" s="757">
        <v>127</v>
      </c>
      <c r="E29" s="980">
        <v>635</v>
      </c>
      <c r="F29" s="749"/>
      <c r="G29" s="750"/>
      <c r="H29" s="750"/>
      <c r="I29" s="750"/>
    </row>
    <row r="30" spans="2:9" ht="12.75">
      <c r="B30" s="1081" t="s">
        <v>1120</v>
      </c>
      <c r="C30" s="979"/>
      <c r="D30" s="757">
        <v>2744</v>
      </c>
      <c r="E30" s="757">
        <v>914</v>
      </c>
      <c r="F30" s="749"/>
      <c r="G30" s="750"/>
      <c r="H30" s="750"/>
      <c r="I30" s="750"/>
    </row>
    <row r="31" spans="2:9" ht="12.75">
      <c r="B31" s="1299" t="s">
        <v>1308</v>
      </c>
      <c r="C31" s="979"/>
      <c r="D31" s="757">
        <v>400</v>
      </c>
      <c r="E31" s="757">
        <v>2000</v>
      </c>
      <c r="F31" s="749"/>
      <c r="G31" s="750"/>
      <c r="H31" s="750"/>
      <c r="I31" s="750"/>
    </row>
    <row r="32" spans="2:9" ht="12.75">
      <c r="B32" s="1081" t="s">
        <v>1121</v>
      </c>
      <c r="C32" s="979"/>
      <c r="D32" s="757">
        <v>2134</v>
      </c>
      <c r="E32" s="757">
        <v>889</v>
      </c>
      <c r="F32" s="749"/>
      <c r="G32" s="750"/>
      <c r="H32" s="750"/>
      <c r="I32" s="750"/>
    </row>
    <row r="33" spans="2:9" ht="12.75">
      <c r="B33" s="1373" t="s">
        <v>525</v>
      </c>
      <c r="C33" s="1374"/>
      <c r="D33" s="755">
        <v>10000</v>
      </c>
      <c r="E33" s="756">
        <v>3000</v>
      </c>
      <c r="F33" s="749"/>
      <c r="G33" s="750"/>
      <c r="H33" s="750"/>
      <c r="I33" s="750"/>
    </row>
    <row r="34" spans="2:9" ht="12.75">
      <c r="B34" s="990" t="s">
        <v>1015</v>
      </c>
      <c r="C34" s="991"/>
      <c r="D34" s="755">
        <v>2500</v>
      </c>
      <c r="E34" s="756">
        <v>500</v>
      </c>
      <c r="F34" s="749"/>
      <c r="G34" s="750"/>
      <c r="H34" s="750"/>
      <c r="I34" s="750"/>
    </row>
    <row r="35" spans="2:9" ht="12.75">
      <c r="B35" s="990" t="s">
        <v>1016</v>
      </c>
      <c r="C35" s="991"/>
      <c r="D35" s="755">
        <v>2500</v>
      </c>
      <c r="E35" s="756">
        <v>2083</v>
      </c>
      <c r="F35" s="749"/>
      <c r="G35" s="750"/>
      <c r="H35" s="750"/>
      <c r="I35" s="750"/>
    </row>
    <row r="36" spans="2:9" ht="12.75">
      <c r="B36" s="990" t="s">
        <v>1017</v>
      </c>
      <c r="C36" s="991"/>
      <c r="D36" s="755">
        <v>6350</v>
      </c>
      <c r="E36" s="756">
        <v>6350</v>
      </c>
      <c r="F36" s="749">
        <v>6350</v>
      </c>
      <c r="G36" s="750"/>
      <c r="H36" s="750"/>
      <c r="I36" s="750"/>
    </row>
    <row r="37" spans="2:9" ht="12.75">
      <c r="B37" s="952" t="s">
        <v>526</v>
      </c>
      <c r="C37" s="953"/>
      <c r="D37" s="755">
        <v>2625</v>
      </c>
      <c r="E37" s="756">
        <v>1875</v>
      </c>
      <c r="F37" s="749"/>
      <c r="G37" s="750"/>
      <c r="H37" s="750"/>
      <c r="I37" s="758"/>
    </row>
    <row r="38" spans="2:9" ht="12.75">
      <c r="B38" s="952" t="s">
        <v>527</v>
      </c>
      <c r="C38" s="953"/>
      <c r="D38" s="755">
        <v>2000</v>
      </c>
      <c r="E38" s="756">
        <v>2000</v>
      </c>
      <c r="F38" s="749"/>
      <c r="G38" s="750"/>
      <c r="H38" s="750"/>
      <c r="I38" s="758"/>
    </row>
    <row r="39" spans="2:9" ht="12.75">
      <c r="B39" s="952" t="s">
        <v>528</v>
      </c>
      <c r="C39" s="953"/>
      <c r="D39" s="755">
        <v>4167</v>
      </c>
      <c r="E39" s="756">
        <v>833</v>
      </c>
      <c r="F39" s="749"/>
      <c r="G39" s="750"/>
      <c r="H39" s="750"/>
      <c r="I39" s="758"/>
    </row>
    <row r="40" spans="2:9" ht="12.75">
      <c r="B40" s="986" t="s">
        <v>529</v>
      </c>
      <c r="C40" s="987"/>
      <c r="D40" s="988">
        <v>1000</v>
      </c>
      <c r="E40" s="989">
        <v>1000</v>
      </c>
      <c r="F40" s="749"/>
      <c r="G40" s="750"/>
      <c r="H40" s="750"/>
      <c r="I40" s="758"/>
    </row>
    <row r="41" spans="2:9" ht="12.75">
      <c r="B41" s="986" t="s">
        <v>1018</v>
      </c>
      <c r="C41" s="987"/>
      <c r="D41" s="988">
        <v>1500</v>
      </c>
      <c r="E41" s="989">
        <v>513</v>
      </c>
      <c r="F41" s="749"/>
      <c r="G41" s="750"/>
      <c r="H41" s="750"/>
      <c r="I41" s="758"/>
    </row>
    <row r="42" spans="2:9" ht="12.75">
      <c r="B42" s="986" t="s">
        <v>1155</v>
      </c>
      <c r="C42" s="987"/>
      <c r="D42" s="988">
        <v>13846</v>
      </c>
      <c r="E42" s="989">
        <v>10589</v>
      </c>
      <c r="F42" s="749">
        <v>4412</v>
      </c>
      <c r="G42" s="750"/>
      <c r="H42" s="750"/>
      <c r="I42" s="758"/>
    </row>
    <row r="43" spans="2:9" ht="12.75">
      <c r="B43" s="952" t="s">
        <v>530</v>
      </c>
      <c r="C43" s="953"/>
      <c r="D43" s="755">
        <v>6000</v>
      </c>
      <c r="E43" s="756">
        <v>8000</v>
      </c>
      <c r="F43" s="757">
        <v>8000</v>
      </c>
      <c r="G43" s="981"/>
      <c r="H43" s="750"/>
      <c r="I43" s="758"/>
    </row>
    <row r="44" spans="2:9" ht="12.75">
      <c r="B44" s="952" t="s">
        <v>531</v>
      </c>
      <c r="C44" s="953"/>
      <c r="D44" s="755">
        <v>546</v>
      </c>
      <c r="E44" s="756">
        <v>546</v>
      </c>
      <c r="F44" s="757">
        <v>546</v>
      </c>
      <c r="G44" s="981"/>
      <c r="H44" s="750"/>
      <c r="I44" s="758"/>
    </row>
    <row r="45" spans="2:9" ht="12.75">
      <c r="B45" s="1176" t="s">
        <v>1156</v>
      </c>
      <c r="C45" s="1177"/>
      <c r="D45" s="755">
        <v>6858</v>
      </c>
      <c r="E45" s="756">
        <v>14000</v>
      </c>
      <c r="F45" s="757"/>
      <c r="G45" s="981"/>
      <c r="H45" s="750"/>
      <c r="I45" s="758"/>
    </row>
    <row r="46" spans="2:9" ht="12.75">
      <c r="B46" s="1176" t="s">
        <v>1157</v>
      </c>
      <c r="C46" s="1177"/>
      <c r="D46" s="755">
        <v>2250</v>
      </c>
      <c r="E46" s="756">
        <v>1000</v>
      </c>
      <c r="F46" s="757"/>
      <c r="G46" s="981"/>
      <c r="H46" s="750"/>
      <c r="I46" s="758"/>
    </row>
    <row r="47" spans="2:9" ht="12.75">
      <c r="B47" s="1176" t="s">
        <v>1158</v>
      </c>
      <c r="C47" s="1177"/>
      <c r="D47" s="755"/>
      <c r="E47" s="756">
        <v>8500</v>
      </c>
      <c r="F47" s="757"/>
      <c r="G47" s="981"/>
      <c r="H47" s="750"/>
      <c r="I47" s="758"/>
    </row>
    <row r="48" spans="2:9" ht="12.75">
      <c r="B48" s="1176" t="s">
        <v>1159</v>
      </c>
      <c r="C48" s="1177"/>
      <c r="D48" s="755"/>
      <c r="E48" s="756">
        <v>55000</v>
      </c>
      <c r="F48" s="757">
        <v>55000</v>
      </c>
      <c r="G48" s="981"/>
      <c r="H48" s="750"/>
      <c r="I48" s="758"/>
    </row>
    <row r="49" spans="2:9" ht="12.75">
      <c r="B49" s="1373" t="s">
        <v>532</v>
      </c>
      <c r="C49" s="1374"/>
      <c r="D49" s="755">
        <v>100000</v>
      </c>
      <c r="E49" s="756">
        <v>100000</v>
      </c>
      <c r="F49" s="757"/>
      <c r="G49" s="981"/>
      <c r="H49" s="750"/>
      <c r="I49" s="758"/>
    </row>
    <row r="50" spans="2:9" ht="12.75">
      <c r="B50" s="952" t="s">
        <v>533</v>
      </c>
      <c r="C50" s="953"/>
      <c r="D50" s="755">
        <v>3810</v>
      </c>
      <c r="E50" s="756">
        <v>3810</v>
      </c>
      <c r="F50" s="757">
        <v>1588</v>
      </c>
      <c r="G50" s="981">
        <v>1588</v>
      </c>
      <c r="H50" s="750"/>
      <c r="I50" s="758"/>
    </row>
    <row r="51" spans="2:9" ht="12.75">
      <c r="B51" s="1219" t="s">
        <v>1259</v>
      </c>
      <c r="C51" s="1220"/>
      <c r="D51" s="755">
        <v>2660</v>
      </c>
      <c r="E51" s="756">
        <v>1900</v>
      </c>
      <c r="F51" s="757"/>
      <c r="G51" s="981"/>
      <c r="H51" s="750"/>
      <c r="I51" s="758"/>
    </row>
    <row r="52" spans="2:9" ht="12.75">
      <c r="B52" s="1222" t="s">
        <v>1261</v>
      </c>
      <c r="C52" s="1223"/>
      <c r="D52" s="755">
        <v>2280</v>
      </c>
      <c r="E52" s="756">
        <v>4560</v>
      </c>
      <c r="F52" s="757">
        <v>2280</v>
      </c>
      <c r="G52" s="981"/>
      <c r="H52" s="750"/>
      <c r="I52" s="758"/>
    </row>
    <row r="53" spans="2:9" ht="12.75">
      <c r="B53" s="753" t="s">
        <v>535</v>
      </c>
      <c r="C53" s="754"/>
      <c r="D53" s="751">
        <v>694</v>
      </c>
      <c r="E53" s="752">
        <v>694</v>
      </c>
      <c r="F53" s="751"/>
      <c r="G53" s="741"/>
      <c r="H53" s="741"/>
      <c r="I53" s="758"/>
    </row>
    <row r="54" spans="2:9" ht="12.75">
      <c r="B54" s="753" t="s">
        <v>536</v>
      </c>
      <c r="C54" s="754"/>
      <c r="D54" s="751">
        <v>108</v>
      </c>
      <c r="E54" s="752">
        <v>108</v>
      </c>
      <c r="F54" s="751">
        <v>108</v>
      </c>
      <c r="G54" s="741">
        <v>108</v>
      </c>
      <c r="H54" s="741"/>
      <c r="I54" s="759"/>
    </row>
    <row r="55" spans="2:9" ht="12.75">
      <c r="B55" s="753" t="s">
        <v>537</v>
      </c>
      <c r="C55" s="754"/>
      <c r="D55" s="751">
        <v>37675</v>
      </c>
      <c r="E55" s="752">
        <v>7535</v>
      </c>
      <c r="F55" s="751"/>
      <c r="G55" s="751"/>
      <c r="H55" s="751"/>
      <c r="I55" s="758"/>
    </row>
    <row r="56" spans="2:9" ht="12.75">
      <c r="B56" s="1373" t="s">
        <v>143</v>
      </c>
      <c r="C56" s="1374"/>
      <c r="D56" s="751">
        <v>7500</v>
      </c>
      <c r="E56" s="752">
        <v>15000</v>
      </c>
      <c r="F56" s="751">
        <v>7500</v>
      </c>
      <c r="G56" s="741"/>
      <c r="H56" s="741"/>
      <c r="I56" s="758"/>
    </row>
    <row r="57" spans="2:9" ht="12.75">
      <c r="B57" s="1176" t="s">
        <v>486</v>
      </c>
      <c r="C57" s="1177"/>
      <c r="D57" s="751">
        <v>7000</v>
      </c>
      <c r="E57" s="752">
        <v>2333</v>
      </c>
      <c r="F57" s="751"/>
      <c r="G57" s="741"/>
      <c r="H57" s="741"/>
      <c r="I57" s="758"/>
    </row>
    <row r="58" spans="2:9" ht="12.75">
      <c r="B58" s="1176" t="s">
        <v>1160</v>
      </c>
      <c r="C58" s="1177"/>
      <c r="D58" s="751">
        <v>15500</v>
      </c>
      <c r="E58" s="752">
        <v>15500</v>
      </c>
      <c r="F58" s="751"/>
      <c r="G58" s="741"/>
      <c r="H58" s="741"/>
      <c r="I58" s="758"/>
    </row>
    <row r="59" spans="2:9" ht="12.75">
      <c r="B59" s="1176" t="s">
        <v>1161</v>
      </c>
      <c r="C59" s="1177"/>
      <c r="D59" s="751">
        <v>22000</v>
      </c>
      <c r="E59" s="752">
        <v>14000</v>
      </c>
      <c r="F59" s="751"/>
      <c r="G59" s="741"/>
      <c r="H59" s="741"/>
      <c r="I59" s="758"/>
    </row>
    <row r="60" spans="2:9" ht="12.75">
      <c r="B60" s="1176" t="s">
        <v>1162</v>
      </c>
      <c r="C60" s="1177"/>
      <c r="D60" s="751">
        <v>4028</v>
      </c>
      <c r="E60" s="752">
        <v>4769</v>
      </c>
      <c r="F60" s="751"/>
      <c r="G60" s="741"/>
      <c r="H60" s="741"/>
      <c r="I60" s="758"/>
    </row>
    <row r="61" spans="2:9" ht="12.75">
      <c r="B61" s="1176" t="s">
        <v>1163</v>
      </c>
      <c r="C61" s="1177"/>
      <c r="D61" s="751">
        <v>3840</v>
      </c>
      <c r="E61" s="752">
        <v>3840</v>
      </c>
      <c r="F61" s="751"/>
      <c r="G61" s="741"/>
      <c r="H61" s="741"/>
      <c r="I61" s="758"/>
    </row>
    <row r="62" spans="2:9" ht="12.75">
      <c r="B62" s="753" t="s">
        <v>538</v>
      </c>
      <c r="C62" s="754"/>
      <c r="D62" s="751">
        <v>4500</v>
      </c>
      <c r="E62" s="752">
        <v>4500</v>
      </c>
      <c r="F62" s="751"/>
      <c r="G62" s="741"/>
      <c r="H62" s="741"/>
      <c r="I62" s="758"/>
    </row>
    <row r="63" spans="2:9" ht="12.75">
      <c r="B63" s="753" t="s">
        <v>539</v>
      </c>
      <c r="C63" s="754"/>
      <c r="D63" s="751">
        <v>2500</v>
      </c>
      <c r="E63" s="752">
        <v>2500</v>
      </c>
      <c r="F63" s="751"/>
      <c r="G63" s="741"/>
      <c r="H63" s="741"/>
      <c r="I63" s="758"/>
    </row>
    <row r="64" spans="2:9" ht="12.75">
      <c r="B64" s="753" t="s">
        <v>540</v>
      </c>
      <c r="C64" s="754"/>
      <c r="D64" s="751">
        <v>5000</v>
      </c>
      <c r="E64" s="752">
        <v>5000</v>
      </c>
      <c r="F64" s="751"/>
      <c r="G64" s="741"/>
      <c r="H64" s="741"/>
      <c r="I64" s="758"/>
    </row>
    <row r="65" spans="2:9" ht="12.75">
      <c r="B65" s="753" t="s">
        <v>541</v>
      </c>
      <c r="C65" s="754"/>
      <c r="D65" s="751">
        <v>4000</v>
      </c>
      <c r="E65" s="752">
        <v>4000</v>
      </c>
      <c r="F65" s="751"/>
      <c r="G65" s="741"/>
      <c r="H65" s="741"/>
      <c r="I65" s="758"/>
    </row>
    <row r="66" spans="2:9" ht="12.75">
      <c r="B66" s="753" t="s">
        <v>542</v>
      </c>
      <c r="C66" s="754"/>
      <c r="D66" s="751">
        <v>2000</v>
      </c>
      <c r="E66" s="752">
        <v>2000</v>
      </c>
      <c r="F66" s="751"/>
      <c r="G66" s="741"/>
      <c r="H66" s="741"/>
      <c r="I66" s="758"/>
    </row>
    <row r="67" spans="2:9" ht="12.75">
      <c r="B67" s="753" t="s">
        <v>543</v>
      </c>
      <c r="C67" s="754"/>
      <c r="D67" s="751">
        <v>2000</v>
      </c>
      <c r="E67" s="752">
        <v>2000</v>
      </c>
      <c r="F67" s="751"/>
      <c r="G67" s="741"/>
      <c r="H67" s="741"/>
      <c r="I67" s="758"/>
    </row>
    <row r="68" spans="2:9" ht="12.75">
      <c r="B68" s="1249" t="s">
        <v>7</v>
      </c>
      <c r="C68" s="1250"/>
      <c r="D68" s="751">
        <v>3000</v>
      </c>
      <c r="E68" s="752">
        <v>3000</v>
      </c>
      <c r="F68" s="751">
        <v>3000</v>
      </c>
      <c r="G68" s="741"/>
      <c r="H68" s="741"/>
      <c r="I68" s="758"/>
    </row>
    <row r="69" spans="2:9" ht="12.75">
      <c r="B69" s="1249" t="s">
        <v>1270</v>
      </c>
      <c r="C69" s="1250"/>
      <c r="D69" s="751">
        <v>5000</v>
      </c>
      <c r="E69" s="752">
        <v>5000</v>
      </c>
      <c r="F69" s="751">
        <v>5000</v>
      </c>
      <c r="G69" s="741"/>
      <c r="H69" s="741"/>
      <c r="I69" s="758"/>
    </row>
    <row r="70" spans="2:9" ht="12.75">
      <c r="B70" s="1249" t="s">
        <v>29</v>
      </c>
      <c r="C70" s="1250"/>
      <c r="D70" s="751">
        <v>2500</v>
      </c>
      <c r="E70" s="752">
        <v>2500</v>
      </c>
      <c r="F70" s="751">
        <v>2500</v>
      </c>
      <c r="G70" s="741"/>
      <c r="H70" s="741"/>
      <c r="I70" s="758"/>
    </row>
    <row r="71" spans="2:9" ht="12.75">
      <c r="B71" s="1249" t="s">
        <v>1271</v>
      </c>
      <c r="C71" s="1250"/>
      <c r="D71" s="751">
        <v>5000</v>
      </c>
      <c r="E71" s="752">
        <v>5000</v>
      </c>
      <c r="F71" s="751">
        <v>5000</v>
      </c>
      <c r="G71" s="741"/>
      <c r="H71" s="741"/>
      <c r="I71" s="758"/>
    </row>
    <row r="72" spans="2:9" ht="12.75" customHeight="1">
      <c r="B72" s="1375" t="s">
        <v>544</v>
      </c>
      <c r="C72" s="1376"/>
      <c r="D72" s="751">
        <v>4560</v>
      </c>
      <c r="E72" s="752">
        <v>4560</v>
      </c>
      <c r="F72" s="751"/>
      <c r="G72" s="741"/>
      <c r="H72" s="741"/>
      <c r="I72" s="758"/>
    </row>
    <row r="73" spans="2:9" ht="12.75" customHeight="1">
      <c r="B73" s="994" t="s">
        <v>1052</v>
      </c>
      <c r="C73" s="995"/>
      <c r="D73" s="751">
        <v>600</v>
      </c>
      <c r="E73" s="752">
        <v>600</v>
      </c>
      <c r="F73" s="751"/>
      <c r="G73" s="741"/>
      <c r="H73" s="741"/>
      <c r="I73" s="758"/>
    </row>
    <row r="74" spans="2:9" ht="12.75" customHeight="1">
      <c r="B74" s="1375" t="s">
        <v>1031</v>
      </c>
      <c r="C74" s="1376"/>
      <c r="D74" s="751">
        <v>4250</v>
      </c>
      <c r="E74" s="752">
        <v>4250</v>
      </c>
      <c r="F74" s="751"/>
      <c r="G74" s="741"/>
      <c r="H74" s="741"/>
      <c r="I74" s="758"/>
    </row>
    <row r="75" spans="2:9" ht="12.75" customHeight="1">
      <c r="B75" s="994" t="s">
        <v>1032</v>
      </c>
      <c r="C75" s="995"/>
      <c r="D75" s="751">
        <v>69</v>
      </c>
      <c r="E75" s="752">
        <v>11</v>
      </c>
      <c r="F75" s="751"/>
      <c r="G75" s="741"/>
      <c r="H75" s="741"/>
      <c r="I75" s="758"/>
    </row>
    <row r="76" spans="2:9" ht="12.75" customHeight="1">
      <c r="B76" s="1233" t="s">
        <v>1268</v>
      </c>
      <c r="C76" s="1234"/>
      <c r="D76" s="751">
        <v>15000</v>
      </c>
      <c r="E76" s="752">
        <v>30000</v>
      </c>
      <c r="F76" s="751">
        <v>15000</v>
      </c>
      <c r="G76" s="741"/>
      <c r="H76" s="741"/>
      <c r="I76" s="758"/>
    </row>
    <row r="77" spans="2:9" ht="12.75" customHeight="1">
      <c r="B77" s="994" t="s">
        <v>1044</v>
      </c>
      <c r="C77" s="995"/>
      <c r="D77" s="751">
        <v>188824</v>
      </c>
      <c r="E77" s="752">
        <v>237918</v>
      </c>
      <c r="F77" s="751">
        <v>249381</v>
      </c>
      <c r="G77" s="741">
        <v>65552</v>
      </c>
      <c r="H77" s="741"/>
      <c r="I77" s="758"/>
    </row>
    <row r="78" spans="2:9" ht="12.75">
      <c r="B78" s="1373" t="s">
        <v>545</v>
      </c>
      <c r="C78" s="1374"/>
      <c r="D78" s="751">
        <v>571567</v>
      </c>
      <c r="E78" s="752">
        <v>343072</v>
      </c>
      <c r="F78" s="751">
        <v>343072</v>
      </c>
      <c r="G78" s="741"/>
      <c r="H78" s="741"/>
      <c r="I78" s="758"/>
    </row>
  </sheetData>
  <mergeCells count="26">
    <mergeCell ref="K8:K10"/>
    <mergeCell ref="L8:L10"/>
    <mergeCell ref="B11:B12"/>
    <mergeCell ref="B2:L2"/>
    <mergeCell ref="B4:L4"/>
    <mergeCell ref="B6:F6"/>
    <mergeCell ref="B8:B10"/>
    <mergeCell ref="C8:C10"/>
    <mergeCell ref="D8:D10"/>
    <mergeCell ref="J8:J10"/>
    <mergeCell ref="E8:E10"/>
    <mergeCell ref="F8:F10"/>
    <mergeCell ref="G8:G10"/>
    <mergeCell ref="H8:H10"/>
    <mergeCell ref="B13:B14"/>
    <mergeCell ref="B15:B16"/>
    <mergeCell ref="B17:B18"/>
    <mergeCell ref="B19:B20"/>
    <mergeCell ref="I8:I10"/>
    <mergeCell ref="B56:C56"/>
    <mergeCell ref="B72:C72"/>
    <mergeCell ref="B78:C78"/>
    <mergeCell ref="B23:C23"/>
    <mergeCell ref="B33:C33"/>
    <mergeCell ref="B49:C49"/>
    <mergeCell ref="B74:C74"/>
  </mergeCells>
  <printOptions/>
  <pageMargins left="0.1968503937007874" right="0.1968503937007874" top="0" bottom="0" header="0" footer="0"/>
  <pageSetup firstPageNumber="49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21" max="16383" man="1"/>
    <brk id="6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 topLeftCell="A1">
      <selection activeCell="M19" sqref="M19"/>
    </sheetView>
  </sheetViews>
  <sheetFormatPr defaultColWidth="9.125" defaultRowHeight="12.75"/>
  <cols>
    <col min="1" max="1" width="6.875" style="760" customWidth="1"/>
    <col min="2" max="2" width="10.125" style="760" customWidth="1"/>
    <col min="3" max="3" width="32.375" style="760" customWidth="1"/>
    <col min="4" max="4" width="10.625" style="760" customWidth="1"/>
    <col min="5" max="7" width="9.125" style="760" customWidth="1"/>
    <col min="8" max="8" width="18.875" style="760" customWidth="1"/>
    <col min="9" max="9" width="15.25390625" style="760" customWidth="1"/>
    <col min="10" max="10" width="14.75390625" style="760" customWidth="1"/>
    <col min="11" max="11" width="13.375" style="760" customWidth="1"/>
    <col min="12" max="13" width="13.25390625" style="760" customWidth="1"/>
    <col min="14" max="16384" width="9.125" style="760" customWidth="1"/>
  </cols>
  <sheetData>
    <row r="1" spans="1:8" ht="12.75">
      <c r="A1" s="1418" t="s">
        <v>546</v>
      </c>
      <c r="B1" s="1418"/>
      <c r="C1" s="1418"/>
      <c r="D1" s="1418"/>
      <c r="E1" s="1418"/>
      <c r="F1" s="1418"/>
      <c r="G1" s="1418"/>
      <c r="H1" s="1418"/>
    </row>
    <row r="2" ht="16.5" customHeight="1"/>
    <row r="3" spans="1:8" ht="14.25" customHeight="1">
      <c r="A3" s="1419" t="s">
        <v>1101</v>
      </c>
      <c r="B3" s="1419"/>
      <c r="C3" s="1419"/>
      <c r="D3" s="1419"/>
      <c r="E3" s="1419"/>
      <c r="F3" s="1419"/>
      <c r="G3" s="1419"/>
      <c r="H3" s="1419"/>
    </row>
    <row r="4" spans="1:8" ht="14.25">
      <c r="A4" s="761"/>
      <c r="B4" s="761"/>
      <c r="C4" s="761"/>
      <c r="D4" s="761"/>
      <c r="E4" s="761"/>
      <c r="F4" s="761"/>
      <c r="G4" s="761"/>
      <c r="H4" s="761"/>
    </row>
    <row r="5" spans="1:8" ht="9.75" customHeight="1">
      <c r="A5" s="761"/>
      <c r="B5" s="761"/>
      <c r="C5" s="761"/>
      <c r="D5" s="761"/>
      <c r="E5" s="761"/>
      <c r="F5" s="761"/>
      <c r="G5" s="761"/>
      <c r="H5" s="761"/>
    </row>
    <row r="6" spans="4:13" ht="12.75">
      <c r="D6" s="762"/>
      <c r="E6" s="762"/>
      <c r="F6" s="762"/>
      <c r="G6" s="762"/>
      <c r="H6" s="762"/>
      <c r="I6" s="763"/>
      <c r="J6" s="763"/>
      <c r="K6" s="763"/>
      <c r="M6" s="763" t="s">
        <v>181</v>
      </c>
    </row>
    <row r="7" spans="1:13" ht="24.75" customHeight="1">
      <c r="A7" s="1420" t="s">
        <v>279</v>
      </c>
      <c r="B7" s="1422" t="s">
        <v>162</v>
      </c>
      <c r="C7" s="1423"/>
      <c r="D7" s="1422" t="s">
        <v>547</v>
      </c>
      <c r="E7" s="1426"/>
      <c r="F7" s="1426"/>
      <c r="G7" s="1426"/>
      <c r="H7" s="1423"/>
      <c r="I7" s="1416" t="s">
        <v>1193</v>
      </c>
      <c r="J7" s="1416" t="s">
        <v>1226</v>
      </c>
      <c r="K7" s="1416" t="s">
        <v>1264</v>
      </c>
      <c r="L7" s="1416" t="s">
        <v>1273</v>
      </c>
      <c r="M7" s="1416" t="s">
        <v>1277</v>
      </c>
    </row>
    <row r="8" spans="1:13" ht="25.5" customHeight="1" thickBot="1">
      <c r="A8" s="1421"/>
      <c r="B8" s="1424"/>
      <c r="C8" s="1425"/>
      <c r="D8" s="1427"/>
      <c r="E8" s="1428"/>
      <c r="F8" s="1428"/>
      <c r="G8" s="1428"/>
      <c r="H8" s="1429"/>
      <c r="I8" s="1417"/>
      <c r="J8" s="1417"/>
      <c r="K8" s="1417"/>
      <c r="L8" s="1417"/>
      <c r="M8" s="1417"/>
    </row>
    <row r="9" spans="1:13" ht="15.75" customHeight="1">
      <c r="A9" s="1391" t="s">
        <v>163</v>
      </c>
      <c r="B9" s="1407"/>
      <c r="C9" s="1408"/>
      <c r="D9" s="1405" t="s">
        <v>299</v>
      </c>
      <c r="E9" s="764" t="s">
        <v>548</v>
      </c>
      <c r="F9" s="765"/>
      <c r="G9" s="765"/>
      <c r="H9" s="766"/>
      <c r="I9" s="767"/>
      <c r="J9" s="767"/>
      <c r="K9" s="767"/>
      <c r="L9" s="767"/>
      <c r="M9" s="767"/>
    </row>
    <row r="10" spans="1:13" ht="15.75" customHeight="1">
      <c r="A10" s="1393"/>
      <c r="B10" s="1409"/>
      <c r="C10" s="1410"/>
      <c r="D10" s="1405"/>
      <c r="E10" s="764" t="s">
        <v>549</v>
      </c>
      <c r="F10" s="765"/>
      <c r="G10" s="765"/>
      <c r="H10" s="766"/>
      <c r="I10" s="768"/>
      <c r="J10" s="768"/>
      <c r="K10" s="768"/>
      <c r="L10" s="768"/>
      <c r="M10" s="768"/>
    </row>
    <row r="11" spans="1:13" ht="15.75" customHeight="1">
      <c r="A11" s="1393"/>
      <c r="B11" s="1411"/>
      <c r="C11" s="1412"/>
      <c r="D11" s="1415" t="s">
        <v>300</v>
      </c>
      <c r="E11" s="769" t="s">
        <v>301</v>
      </c>
      <c r="F11" s="770"/>
      <c r="G11" s="770"/>
      <c r="H11" s="771"/>
      <c r="I11" s="772"/>
      <c r="J11" s="772"/>
      <c r="K11" s="772"/>
      <c r="L11" s="772"/>
      <c r="M11" s="772"/>
    </row>
    <row r="12" spans="1:13" ht="15.75" customHeight="1">
      <c r="A12" s="1393"/>
      <c r="B12" s="1411"/>
      <c r="C12" s="1412"/>
      <c r="D12" s="1405"/>
      <c r="E12" s="764" t="s">
        <v>550</v>
      </c>
      <c r="F12" s="765"/>
      <c r="G12" s="765"/>
      <c r="H12" s="766"/>
      <c r="I12" s="768"/>
      <c r="J12" s="768"/>
      <c r="K12" s="768"/>
      <c r="L12" s="768"/>
      <c r="M12" s="768"/>
    </row>
    <row r="13" spans="1:13" ht="15.75" customHeight="1">
      <c r="A13" s="1393"/>
      <c r="B13" s="1411"/>
      <c r="C13" s="1412"/>
      <c r="D13" s="1405"/>
      <c r="E13" s="764" t="s">
        <v>302</v>
      </c>
      <c r="F13" s="765"/>
      <c r="G13" s="765"/>
      <c r="H13" s="766"/>
      <c r="I13" s="768"/>
      <c r="J13" s="768"/>
      <c r="K13" s="768"/>
      <c r="L13" s="768"/>
      <c r="M13" s="768"/>
    </row>
    <row r="14" spans="1:13" ht="15.75" customHeight="1">
      <c r="A14" s="1393"/>
      <c r="B14" s="1411"/>
      <c r="C14" s="1412"/>
      <c r="D14" s="1405"/>
      <c r="E14" s="764" t="s">
        <v>101</v>
      </c>
      <c r="F14" s="765"/>
      <c r="G14" s="765"/>
      <c r="H14" s="766"/>
      <c r="I14" s="768"/>
      <c r="J14" s="768"/>
      <c r="K14" s="768"/>
      <c r="L14" s="768"/>
      <c r="M14" s="768"/>
    </row>
    <row r="15" spans="1:13" ht="15.75" customHeight="1">
      <c r="A15" s="1393"/>
      <c r="B15" s="1411"/>
      <c r="C15" s="1412"/>
      <c r="D15" s="1405"/>
      <c r="E15" s="764" t="s">
        <v>551</v>
      </c>
      <c r="F15" s="765"/>
      <c r="G15" s="765"/>
      <c r="H15" s="766"/>
      <c r="I15" s="768"/>
      <c r="J15" s="768"/>
      <c r="K15" s="768"/>
      <c r="L15" s="768"/>
      <c r="M15" s="768"/>
    </row>
    <row r="16" spans="1:13" ht="15.75" customHeight="1">
      <c r="A16" s="1393"/>
      <c r="B16" s="1411"/>
      <c r="C16" s="1412"/>
      <c r="D16" s="1405"/>
      <c r="E16" s="764" t="s">
        <v>552</v>
      </c>
      <c r="F16" s="765"/>
      <c r="G16" s="765"/>
      <c r="H16" s="766"/>
      <c r="I16" s="768"/>
      <c r="J16" s="768"/>
      <c r="K16" s="768"/>
      <c r="L16" s="768"/>
      <c r="M16" s="768"/>
    </row>
    <row r="17" spans="1:13" ht="15.75" customHeight="1" thickBot="1">
      <c r="A17" s="1406"/>
      <c r="B17" s="1413"/>
      <c r="C17" s="1414"/>
      <c r="D17" s="1370"/>
      <c r="E17" s="773" t="s">
        <v>553</v>
      </c>
      <c r="F17" s="774"/>
      <c r="G17" s="774"/>
      <c r="H17" s="775"/>
      <c r="I17" s="776"/>
      <c r="J17" s="776"/>
      <c r="K17" s="776"/>
      <c r="L17" s="776"/>
      <c r="M17" s="776"/>
    </row>
    <row r="18" spans="1:13" ht="13.7" customHeight="1">
      <c r="A18" s="1391"/>
      <c r="B18" s="1395" t="s">
        <v>177</v>
      </c>
      <c r="C18" s="1396"/>
      <c r="D18" s="1403" t="s">
        <v>299</v>
      </c>
      <c r="E18" s="777" t="s">
        <v>548</v>
      </c>
      <c r="F18" s="778"/>
      <c r="G18" s="778"/>
      <c r="H18" s="779"/>
      <c r="I18" s="780">
        <v>0</v>
      </c>
      <c r="J18" s="780">
        <v>0</v>
      </c>
      <c r="K18" s="780">
        <v>0</v>
      </c>
      <c r="L18" s="780">
        <v>0</v>
      </c>
      <c r="M18" s="780">
        <v>0</v>
      </c>
    </row>
    <row r="19" spans="1:13" ht="13.7" customHeight="1" thickBot="1">
      <c r="A19" s="1392"/>
      <c r="B19" s="1397"/>
      <c r="C19" s="1398"/>
      <c r="D19" s="1404"/>
      <c r="E19" s="781" t="s">
        <v>549</v>
      </c>
      <c r="F19" s="774"/>
      <c r="G19" s="774"/>
      <c r="H19" s="775"/>
      <c r="I19" s="782"/>
      <c r="J19" s="782"/>
      <c r="K19" s="782"/>
      <c r="L19" s="782"/>
      <c r="M19" s="782"/>
    </row>
    <row r="20" spans="1:13" ht="13.7" customHeight="1">
      <c r="A20" s="1393"/>
      <c r="B20" s="1399"/>
      <c r="C20" s="1400"/>
      <c r="D20" s="1405" t="s">
        <v>300</v>
      </c>
      <c r="E20" s="764" t="s">
        <v>301</v>
      </c>
      <c r="F20" s="765"/>
      <c r="G20" s="765"/>
      <c r="H20" s="766"/>
      <c r="I20" s="784">
        <f>SUM(I11)</f>
        <v>0</v>
      </c>
      <c r="J20" s="784">
        <f>SUM(J11)</f>
        <v>0</v>
      </c>
      <c r="K20" s="784">
        <f aca="true" t="shared" si="0" ref="K20:L20">SUM(K11)</f>
        <v>0</v>
      </c>
      <c r="L20" s="784">
        <f t="shared" si="0"/>
        <v>0</v>
      </c>
      <c r="M20" s="784">
        <f aca="true" t="shared" si="1" ref="M20">SUM(M11)</f>
        <v>0</v>
      </c>
    </row>
    <row r="21" spans="1:13" ht="13.7" customHeight="1">
      <c r="A21" s="1393"/>
      <c r="B21" s="1399"/>
      <c r="C21" s="1400"/>
      <c r="D21" s="1405"/>
      <c r="E21" s="764" t="s">
        <v>550</v>
      </c>
      <c r="F21" s="765"/>
      <c r="G21" s="765"/>
      <c r="H21" s="766"/>
      <c r="I21" s="784">
        <f>SUM(I12)</f>
        <v>0</v>
      </c>
      <c r="J21" s="784">
        <f>SUM(J1)</f>
        <v>0</v>
      </c>
      <c r="K21" s="784">
        <f aca="true" t="shared" si="2" ref="K21:L21">SUM(K1)</f>
        <v>0</v>
      </c>
      <c r="L21" s="784">
        <f t="shared" si="2"/>
        <v>0</v>
      </c>
      <c r="M21" s="784">
        <f aca="true" t="shared" si="3" ref="M21">SUM(M1)</f>
        <v>0</v>
      </c>
    </row>
    <row r="22" spans="1:13" ht="13.7" customHeight="1">
      <c r="A22" s="1393"/>
      <c r="B22" s="1399"/>
      <c r="C22" s="1400"/>
      <c r="D22" s="1405"/>
      <c r="E22" s="764" t="s">
        <v>302</v>
      </c>
      <c r="F22" s="765"/>
      <c r="G22" s="765"/>
      <c r="H22" s="766"/>
      <c r="I22" s="784"/>
      <c r="J22" s="784"/>
      <c r="K22" s="784"/>
      <c r="L22" s="784"/>
      <c r="M22" s="784"/>
    </row>
    <row r="23" spans="1:13" ht="13.7" customHeight="1">
      <c r="A23" s="1393"/>
      <c r="B23" s="1399"/>
      <c r="C23" s="1400"/>
      <c r="D23" s="1405"/>
      <c r="E23" s="764" t="s">
        <v>101</v>
      </c>
      <c r="F23" s="765"/>
      <c r="G23" s="765"/>
      <c r="H23" s="766"/>
      <c r="I23" s="785">
        <v>0</v>
      </c>
      <c r="J23" s="785">
        <v>0</v>
      </c>
      <c r="K23" s="785">
        <v>0</v>
      </c>
      <c r="L23" s="785">
        <v>0</v>
      </c>
      <c r="M23" s="785">
        <v>0</v>
      </c>
    </row>
    <row r="24" spans="1:13" ht="13.7" customHeight="1">
      <c r="A24" s="1393"/>
      <c r="B24" s="1399"/>
      <c r="C24" s="1400"/>
      <c r="D24" s="1405"/>
      <c r="E24" s="764" t="s">
        <v>102</v>
      </c>
      <c r="F24" s="765"/>
      <c r="G24" s="765"/>
      <c r="H24" s="766"/>
      <c r="I24" s="768">
        <v>0</v>
      </c>
      <c r="J24" s="768">
        <v>0</v>
      </c>
      <c r="K24" s="768">
        <v>0</v>
      </c>
      <c r="L24" s="768">
        <v>0</v>
      </c>
      <c r="M24" s="768">
        <v>0</v>
      </c>
    </row>
    <row r="25" spans="1:13" ht="13.7" customHeight="1">
      <c r="A25" s="1393"/>
      <c r="B25" s="1399"/>
      <c r="C25" s="1400"/>
      <c r="D25" s="1405"/>
      <c r="E25" s="764" t="s">
        <v>552</v>
      </c>
      <c r="F25" s="765"/>
      <c r="G25" s="765"/>
      <c r="H25" s="766"/>
      <c r="I25" s="785">
        <v>0</v>
      </c>
      <c r="J25" s="785">
        <v>0</v>
      </c>
      <c r="K25" s="785">
        <v>0</v>
      </c>
      <c r="L25" s="785">
        <v>0</v>
      </c>
      <c r="M25" s="785">
        <v>0</v>
      </c>
    </row>
    <row r="26" spans="1:13" ht="13.7" customHeight="1">
      <c r="A26" s="1393"/>
      <c r="B26" s="1399"/>
      <c r="C26" s="1400"/>
      <c r="D26" s="1405"/>
      <c r="E26" s="786" t="s">
        <v>553</v>
      </c>
      <c r="F26" s="765"/>
      <c r="G26" s="765"/>
      <c r="H26" s="766"/>
      <c r="I26" s="787">
        <v>0</v>
      </c>
      <c r="J26" s="787">
        <v>0</v>
      </c>
      <c r="K26" s="787">
        <v>0</v>
      </c>
      <c r="L26" s="787">
        <v>0</v>
      </c>
      <c r="M26" s="787">
        <v>0</v>
      </c>
    </row>
    <row r="27" spans="1:13" ht="13.7" customHeight="1">
      <c r="A27" s="1393"/>
      <c r="B27" s="1399"/>
      <c r="C27" s="1400"/>
      <c r="D27" s="1405"/>
      <c r="E27" s="764" t="s">
        <v>551</v>
      </c>
      <c r="F27" s="765"/>
      <c r="G27" s="765"/>
      <c r="H27" s="766"/>
      <c r="I27" s="785"/>
      <c r="J27" s="785"/>
      <c r="K27" s="785"/>
      <c r="L27" s="785"/>
      <c r="M27" s="785"/>
    </row>
    <row r="28" spans="1:13" ht="13.7" customHeight="1" thickBot="1">
      <c r="A28" s="1394"/>
      <c r="B28" s="1401"/>
      <c r="C28" s="1402"/>
      <c r="D28" s="1404"/>
      <c r="E28" s="773" t="s">
        <v>553</v>
      </c>
      <c r="F28" s="774"/>
      <c r="G28" s="774"/>
      <c r="H28" s="775"/>
      <c r="I28" s="776"/>
      <c r="J28" s="776"/>
      <c r="K28" s="776"/>
      <c r="L28" s="776"/>
      <c r="M28" s="776"/>
    </row>
    <row r="29" spans="1:8" ht="13.7" customHeight="1">
      <c r="A29" s="788"/>
      <c r="B29" s="783"/>
      <c r="C29" s="783"/>
      <c r="D29" s="789"/>
      <c r="E29" s="765"/>
      <c r="F29" s="765"/>
      <c r="G29" s="765"/>
      <c r="H29" s="765"/>
    </row>
  </sheetData>
  <mergeCells count="18">
    <mergeCell ref="M7:M8"/>
    <mergeCell ref="A1:H1"/>
    <mergeCell ref="A3:H3"/>
    <mergeCell ref="A7:A8"/>
    <mergeCell ref="B7:C8"/>
    <mergeCell ref="D7:H8"/>
    <mergeCell ref="L7:L8"/>
    <mergeCell ref="K7:K8"/>
    <mergeCell ref="J7:J8"/>
    <mergeCell ref="I7:I8"/>
    <mergeCell ref="A18:A28"/>
    <mergeCell ref="B18:C28"/>
    <mergeCell ref="D18:D19"/>
    <mergeCell ref="D20:D28"/>
    <mergeCell ref="A9:A17"/>
    <mergeCell ref="B9:C17"/>
    <mergeCell ref="D11:D17"/>
    <mergeCell ref="D9:D10"/>
  </mergeCells>
  <printOptions/>
  <pageMargins left="1.3779527559055118" right="1.3779527559055118" top="0.31496062992125984" bottom="0" header="0.5118110236220472" footer="0.11811023622047245"/>
  <pageSetup firstPageNumber="52" useFirstPageNumber="1" horizontalDpi="600" verticalDpi="600" orientation="landscape" paperSize="9" scale="6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"/>
  <sheetViews>
    <sheetView workbookViewId="0" topLeftCell="A1">
      <selection activeCell="G71" sqref="G71:G72"/>
    </sheetView>
  </sheetViews>
  <sheetFormatPr defaultColWidth="9.125" defaultRowHeight="12.75"/>
  <cols>
    <col min="1" max="1" width="4.875" style="790" customWidth="1"/>
    <col min="2" max="2" width="14.125" style="790" customWidth="1"/>
    <col min="3" max="3" width="13.875" style="790" customWidth="1"/>
    <col min="4" max="4" width="14.125" style="790" customWidth="1"/>
    <col min="5" max="5" width="13.125" style="790" customWidth="1"/>
    <col min="6" max="10" width="12.125" style="790" customWidth="1"/>
    <col min="11" max="16384" width="9.125" style="790" customWidth="1"/>
  </cols>
  <sheetData>
    <row r="2" spans="2:10" ht="12.75">
      <c r="B2" s="1467" t="s">
        <v>554</v>
      </c>
      <c r="C2" s="1467"/>
      <c r="D2" s="1467"/>
      <c r="E2" s="1467"/>
      <c r="F2" s="1467"/>
      <c r="G2" s="1467"/>
      <c r="H2" s="1467"/>
      <c r="I2" s="1467"/>
      <c r="J2" s="1467"/>
    </row>
    <row r="4" spans="2:10" ht="12.75">
      <c r="B4" s="1468" t="s">
        <v>1142</v>
      </c>
      <c r="C4" s="1469"/>
      <c r="D4" s="1469"/>
      <c r="E4" s="1469"/>
      <c r="F4" s="1469"/>
      <c r="G4" s="1469"/>
      <c r="H4" s="1469"/>
      <c r="I4" s="1469"/>
      <c r="J4" s="1469"/>
    </row>
    <row r="5" spans="2:10" ht="12.75">
      <c r="B5" s="791"/>
      <c r="C5" s="792"/>
      <c r="D5" s="792"/>
      <c r="E5" s="792"/>
      <c r="F5" s="792"/>
      <c r="G5" s="792"/>
      <c r="H5" s="792"/>
      <c r="I5" s="792"/>
      <c r="J5" s="792"/>
    </row>
    <row r="6" spans="2:10" ht="12.75">
      <c r="B6" s="791"/>
      <c r="C6" s="792"/>
      <c r="D6" s="792"/>
      <c r="E6" s="792"/>
      <c r="F6" s="792"/>
      <c r="G6" s="792"/>
      <c r="H6" s="792"/>
      <c r="I6" s="792"/>
      <c r="J6" s="792"/>
    </row>
    <row r="7" spans="1:10" ht="12.75">
      <c r="A7" s="793"/>
      <c r="J7" s="794"/>
    </row>
    <row r="8" spans="1:10" ht="12.75" customHeight="1">
      <c r="A8" s="1470" t="s">
        <v>555</v>
      </c>
      <c r="B8" s="1473" t="s">
        <v>556</v>
      </c>
      <c r="C8" s="1474"/>
      <c r="D8" s="1475"/>
      <c r="E8" s="1479" t="s">
        <v>1286</v>
      </c>
      <c r="F8" s="1482" t="s">
        <v>557</v>
      </c>
      <c r="G8" s="1483"/>
      <c r="H8" s="1484"/>
      <c r="I8" s="1484"/>
      <c r="J8" s="795"/>
    </row>
    <row r="9" spans="1:10" ht="12.75" customHeight="1">
      <c r="A9" s="1471"/>
      <c r="B9" s="1476"/>
      <c r="C9" s="1477"/>
      <c r="D9" s="1478"/>
      <c r="E9" s="1480"/>
      <c r="F9" s="1482" t="s">
        <v>1287</v>
      </c>
      <c r="G9" s="1483"/>
      <c r="H9" s="1482" t="s">
        <v>1288</v>
      </c>
      <c r="I9" s="1485"/>
      <c r="J9" s="1486" t="s">
        <v>558</v>
      </c>
    </row>
    <row r="10" spans="1:10" ht="12.75" customHeight="1">
      <c r="A10" s="1471"/>
      <c r="B10" s="1476"/>
      <c r="C10" s="1477"/>
      <c r="D10" s="1478"/>
      <c r="E10" s="1480"/>
      <c r="F10" s="1486" t="s">
        <v>559</v>
      </c>
      <c r="G10" s="1489" t="s">
        <v>560</v>
      </c>
      <c r="H10" s="1486" t="s">
        <v>561</v>
      </c>
      <c r="I10" s="1486" t="s">
        <v>562</v>
      </c>
      <c r="J10" s="1487"/>
    </row>
    <row r="11" spans="1:10" ht="37.5" customHeight="1">
      <c r="A11" s="1472"/>
      <c r="B11" s="1464"/>
      <c r="C11" s="1465"/>
      <c r="D11" s="1466"/>
      <c r="E11" s="1481"/>
      <c r="F11" s="1488"/>
      <c r="G11" s="1490"/>
      <c r="H11" s="1488"/>
      <c r="I11" s="1488"/>
      <c r="J11" s="1488"/>
    </row>
    <row r="12" spans="1:10" ht="12.75">
      <c r="A12" s="1434"/>
      <c r="B12" s="1455" t="s">
        <v>563</v>
      </c>
      <c r="C12" s="1456"/>
      <c r="D12" s="1457"/>
      <c r="E12" s="1430"/>
      <c r="F12" s="1430"/>
      <c r="G12" s="1430"/>
      <c r="H12" s="1430"/>
      <c r="I12" s="1430"/>
      <c r="J12" s="1430"/>
    </row>
    <row r="13" spans="1:10" ht="12.75">
      <c r="A13" s="1435"/>
      <c r="B13" s="1458"/>
      <c r="C13" s="1459"/>
      <c r="D13" s="1460"/>
      <c r="E13" s="1431"/>
      <c r="F13" s="1431"/>
      <c r="G13" s="1431"/>
      <c r="H13" s="1431"/>
      <c r="I13" s="1431"/>
      <c r="J13" s="1431"/>
    </row>
    <row r="14" spans="1:10" ht="12.75">
      <c r="A14" s="1448" t="s">
        <v>163</v>
      </c>
      <c r="B14" s="1449" t="s">
        <v>564</v>
      </c>
      <c r="C14" s="1450"/>
      <c r="D14" s="1451"/>
      <c r="E14" s="1430">
        <f>SUM(F14+G14+H14+I14)</f>
        <v>17</v>
      </c>
      <c r="F14" s="1430">
        <v>12</v>
      </c>
      <c r="G14" s="1430">
        <v>3</v>
      </c>
      <c r="H14" s="1430">
        <v>1</v>
      </c>
      <c r="I14" s="1430">
        <v>1</v>
      </c>
      <c r="J14" s="1430"/>
    </row>
    <row r="15" spans="1:10" ht="12.75">
      <c r="A15" s="1435"/>
      <c r="B15" s="1452"/>
      <c r="C15" s="1453"/>
      <c r="D15" s="1454"/>
      <c r="E15" s="1431"/>
      <c r="F15" s="1431"/>
      <c r="G15" s="1431"/>
      <c r="H15" s="1431"/>
      <c r="I15" s="1431"/>
      <c r="J15" s="1431"/>
    </row>
    <row r="16" spans="1:10" ht="12.75">
      <c r="A16" s="1434" t="s">
        <v>164</v>
      </c>
      <c r="B16" s="1449" t="s">
        <v>565</v>
      </c>
      <c r="C16" s="1450"/>
      <c r="D16" s="1451"/>
      <c r="E16" s="1430">
        <f>SUM(F16+G16+H16+I16)</f>
        <v>3</v>
      </c>
      <c r="F16" s="1430">
        <v>3</v>
      </c>
      <c r="G16" s="1430"/>
      <c r="H16" s="1430"/>
      <c r="I16" s="1430"/>
      <c r="J16" s="1430"/>
    </row>
    <row r="17" spans="1:10" ht="12.75">
      <c r="A17" s="1435"/>
      <c r="B17" s="1452"/>
      <c r="C17" s="1453"/>
      <c r="D17" s="1454"/>
      <c r="E17" s="1431"/>
      <c r="F17" s="1431"/>
      <c r="G17" s="1431"/>
      <c r="H17" s="1431"/>
      <c r="I17" s="1431"/>
      <c r="J17" s="1431"/>
    </row>
    <row r="18" spans="1:10" ht="12.75">
      <c r="A18" s="1434" t="s">
        <v>165</v>
      </c>
      <c r="B18" s="1449" t="s">
        <v>566</v>
      </c>
      <c r="C18" s="1450"/>
      <c r="D18" s="1451"/>
      <c r="E18" s="1430">
        <f>SUM(F18+G18+H18+I18)</f>
        <v>21</v>
      </c>
      <c r="F18" s="1430">
        <v>20</v>
      </c>
      <c r="G18" s="1430">
        <v>1</v>
      </c>
      <c r="H18" s="1430"/>
      <c r="I18" s="1430"/>
      <c r="J18" s="1430"/>
    </row>
    <row r="19" spans="1:10" ht="12.75">
      <c r="A19" s="1435"/>
      <c r="B19" s="1452"/>
      <c r="C19" s="1453"/>
      <c r="D19" s="1454"/>
      <c r="E19" s="1431"/>
      <c r="F19" s="1431"/>
      <c r="G19" s="1431"/>
      <c r="H19" s="1431"/>
      <c r="I19" s="1431"/>
      <c r="J19" s="1431"/>
    </row>
    <row r="20" spans="1:10" ht="12.75">
      <c r="A20" s="1448" t="s">
        <v>166</v>
      </c>
      <c r="B20" s="1449" t="s">
        <v>567</v>
      </c>
      <c r="C20" s="1450"/>
      <c r="D20" s="1451"/>
      <c r="E20" s="1430">
        <f>SUM(F20+G20+H20+I20)</f>
        <v>32</v>
      </c>
      <c r="F20" s="1430">
        <v>30</v>
      </c>
      <c r="G20" s="1430"/>
      <c r="H20" s="1430">
        <v>2</v>
      </c>
      <c r="I20" s="1430"/>
      <c r="J20" s="1430"/>
    </row>
    <row r="21" spans="1:10" ht="12.75">
      <c r="A21" s="1435"/>
      <c r="B21" s="1452"/>
      <c r="C21" s="1453"/>
      <c r="D21" s="1454"/>
      <c r="E21" s="1431"/>
      <c r="F21" s="1431"/>
      <c r="G21" s="1431"/>
      <c r="H21" s="1431"/>
      <c r="I21" s="1431"/>
      <c r="J21" s="1431"/>
    </row>
    <row r="22" spans="1:10" ht="12.75">
      <c r="A22" s="1434" t="s">
        <v>167</v>
      </c>
      <c r="B22" s="1449" t="s">
        <v>568</v>
      </c>
      <c r="C22" s="1450"/>
      <c r="D22" s="1451"/>
      <c r="E22" s="1430">
        <f>SUM(F22+G22+H22+I22)</f>
        <v>23</v>
      </c>
      <c r="F22" s="1430">
        <v>18</v>
      </c>
      <c r="G22" s="1430"/>
      <c r="H22" s="1430">
        <v>5</v>
      </c>
      <c r="I22" s="1430"/>
      <c r="J22" s="1430"/>
    </row>
    <row r="23" spans="1:10" ht="12.75">
      <c r="A23" s="1435"/>
      <c r="B23" s="1452"/>
      <c r="C23" s="1453"/>
      <c r="D23" s="1454"/>
      <c r="E23" s="1431"/>
      <c r="F23" s="1431"/>
      <c r="G23" s="1431"/>
      <c r="H23" s="1431"/>
      <c r="I23" s="1431"/>
      <c r="J23" s="1431"/>
    </row>
    <row r="24" spans="1:10" ht="12.75">
      <c r="A24" s="1448" t="s">
        <v>43</v>
      </c>
      <c r="B24" s="1449" t="s">
        <v>569</v>
      </c>
      <c r="C24" s="1450"/>
      <c r="D24" s="1451"/>
      <c r="E24" s="1430">
        <f>SUM(F24+G24+H24+I24)</f>
        <v>13</v>
      </c>
      <c r="F24" s="1430">
        <v>12</v>
      </c>
      <c r="G24" s="1430"/>
      <c r="H24" s="1430">
        <v>1</v>
      </c>
      <c r="I24" s="1430"/>
      <c r="J24" s="1430"/>
    </row>
    <row r="25" spans="1:10" ht="12.75">
      <c r="A25" s="1435"/>
      <c r="B25" s="1452"/>
      <c r="C25" s="1453"/>
      <c r="D25" s="1454"/>
      <c r="E25" s="1431"/>
      <c r="F25" s="1431"/>
      <c r="G25" s="1431"/>
      <c r="H25" s="1431"/>
      <c r="I25" s="1431"/>
      <c r="J25" s="1431"/>
    </row>
    <row r="26" spans="1:10" ht="12.75">
      <c r="A26" s="1434" t="s">
        <v>369</v>
      </c>
      <c r="B26" s="1449" t="s">
        <v>571</v>
      </c>
      <c r="C26" s="1450"/>
      <c r="D26" s="1451"/>
      <c r="E26" s="1430">
        <f>SUM(F26+G26+H26+I26)</f>
        <v>25</v>
      </c>
      <c r="F26" s="1430">
        <v>25</v>
      </c>
      <c r="G26" s="1430"/>
      <c r="H26" s="1430"/>
      <c r="I26" s="1430"/>
      <c r="J26" s="1430"/>
    </row>
    <row r="27" spans="1:10" ht="12.75">
      <c r="A27" s="1435"/>
      <c r="B27" s="1452"/>
      <c r="C27" s="1453"/>
      <c r="D27" s="1454"/>
      <c r="E27" s="1431"/>
      <c r="F27" s="1431"/>
      <c r="G27" s="1431"/>
      <c r="H27" s="1431"/>
      <c r="I27" s="1431"/>
      <c r="J27" s="1431"/>
    </row>
    <row r="28" spans="1:10" ht="12.75">
      <c r="A28" s="1434" t="s">
        <v>570</v>
      </c>
      <c r="B28" s="1461" t="s">
        <v>1102</v>
      </c>
      <c r="C28" s="1462"/>
      <c r="D28" s="1463"/>
      <c r="E28" s="1430">
        <f>SUM(F28+G28+H28+I28)</f>
        <v>29</v>
      </c>
      <c r="F28" s="1430">
        <v>29</v>
      </c>
      <c r="G28" s="1430"/>
      <c r="H28" s="1430"/>
      <c r="I28" s="1430"/>
      <c r="J28" s="1430"/>
    </row>
    <row r="29" spans="1:10" ht="24" customHeight="1">
      <c r="A29" s="1435"/>
      <c r="B29" s="1464"/>
      <c r="C29" s="1465"/>
      <c r="D29" s="1466"/>
      <c r="E29" s="1431"/>
      <c r="F29" s="1431"/>
      <c r="G29" s="1431"/>
      <c r="H29" s="1431"/>
      <c r="I29" s="1431"/>
      <c r="J29" s="1431"/>
    </row>
    <row r="30" spans="1:10" ht="12.75">
      <c r="A30" s="1448" t="s">
        <v>572</v>
      </c>
      <c r="B30" s="1449" t="s">
        <v>574</v>
      </c>
      <c r="C30" s="1450"/>
      <c r="D30" s="1451"/>
      <c r="E30" s="1430">
        <f>SUM(F30+G30+H30+I30)</f>
        <v>13</v>
      </c>
      <c r="F30" s="1430">
        <v>12</v>
      </c>
      <c r="G30" s="1430"/>
      <c r="H30" s="1430"/>
      <c r="I30" s="1430">
        <v>1</v>
      </c>
      <c r="J30" s="1430"/>
    </row>
    <row r="31" spans="1:10" ht="12.75">
      <c r="A31" s="1435"/>
      <c r="B31" s="1452"/>
      <c r="C31" s="1453"/>
      <c r="D31" s="1454"/>
      <c r="E31" s="1431"/>
      <c r="F31" s="1431"/>
      <c r="G31" s="1431"/>
      <c r="H31" s="1431"/>
      <c r="I31" s="1431"/>
      <c r="J31" s="1431"/>
    </row>
    <row r="32" spans="1:10" ht="12.75">
      <c r="A32" s="1448" t="s">
        <v>573</v>
      </c>
      <c r="B32" s="1449" t="s">
        <v>576</v>
      </c>
      <c r="C32" s="1450"/>
      <c r="D32" s="1451"/>
      <c r="E32" s="1430">
        <f>SUM(F32+G32+H32+I32)</f>
        <v>23</v>
      </c>
      <c r="F32" s="1430">
        <v>22</v>
      </c>
      <c r="G32" s="1430"/>
      <c r="H32" s="1430">
        <v>1</v>
      </c>
      <c r="I32" s="1430"/>
      <c r="J32" s="1430"/>
    </row>
    <row r="33" spans="1:10" ht="12.75">
      <c r="A33" s="1435"/>
      <c r="B33" s="1452"/>
      <c r="C33" s="1453"/>
      <c r="D33" s="1454"/>
      <c r="E33" s="1431"/>
      <c r="F33" s="1431"/>
      <c r="G33" s="1431"/>
      <c r="H33" s="1431"/>
      <c r="I33" s="1431"/>
      <c r="J33" s="1431"/>
    </row>
    <row r="34" spans="1:10" ht="12.75">
      <c r="A34" s="1448" t="s">
        <v>575</v>
      </c>
      <c r="B34" s="1449" t="s">
        <v>578</v>
      </c>
      <c r="C34" s="1450"/>
      <c r="D34" s="1451"/>
      <c r="E34" s="1430">
        <f>SUM(F34+G34+H34+I34)</f>
        <v>20</v>
      </c>
      <c r="F34" s="1430">
        <v>19</v>
      </c>
      <c r="G34" s="1430"/>
      <c r="H34" s="1430">
        <v>1</v>
      </c>
      <c r="I34" s="1430"/>
      <c r="J34" s="1430"/>
    </row>
    <row r="35" spans="1:10" ht="12.75">
      <c r="A35" s="1435"/>
      <c r="B35" s="1452"/>
      <c r="C35" s="1453"/>
      <c r="D35" s="1454"/>
      <c r="E35" s="1431"/>
      <c r="F35" s="1431"/>
      <c r="G35" s="1431"/>
      <c r="H35" s="1431"/>
      <c r="I35" s="1431"/>
      <c r="J35" s="1431"/>
    </row>
    <row r="36" spans="1:10" ht="12.75">
      <c r="A36" s="1448" t="s">
        <v>577</v>
      </c>
      <c r="B36" s="1449" t="s">
        <v>580</v>
      </c>
      <c r="C36" s="1450"/>
      <c r="D36" s="1451"/>
      <c r="E36" s="1430">
        <f>SUM(F36+G36+H36+I36)</f>
        <v>18</v>
      </c>
      <c r="F36" s="1430">
        <v>17</v>
      </c>
      <c r="G36" s="1430"/>
      <c r="H36" s="1430">
        <v>1</v>
      </c>
      <c r="I36" s="1430"/>
      <c r="J36" s="1430"/>
    </row>
    <row r="37" spans="1:10" ht="12.75">
      <c r="A37" s="1435"/>
      <c r="B37" s="1452"/>
      <c r="C37" s="1453"/>
      <c r="D37" s="1454"/>
      <c r="E37" s="1431"/>
      <c r="F37" s="1431"/>
      <c r="G37" s="1431"/>
      <c r="H37" s="1431"/>
      <c r="I37" s="1431"/>
      <c r="J37" s="1431"/>
    </row>
    <row r="38" spans="1:10" ht="12.6" customHeight="1">
      <c r="A38" s="1448"/>
      <c r="B38" s="1455" t="s">
        <v>151</v>
      </c>
      <c r="C38" s="1456"/>
      <c r="D38" s="1457"/>
      <c r="E38" s="1432">
        <f>SUM(E14:E37)</f>
        <v>237</v>
      </c>
      <c r="F38" s="1432">
        <f>SUM(F14:F37)</f>
        <v>219</v>
      </c>
      <c r="G38" s="1432">
        <f>SUM(G14:G37)</f>
        <v>4</v>
      </c>
      <c r="H38" s="1432">
        <f>SUM(H14:H37)</f>
        <v>12</v>
      </c>
      <c r="I38" s="1432">
        <f>SUM(I14:I37)</f>
        <v>2</v>
      </c>
      <c r="J38" s="1432"/>
    </row>
    <row r="39" spans="1:10" ht="12.6" customHeight="1">
      <c r="A39" s="1435"/>
      <c r="B39" s="1458"/>
      <c r="C39" s="1459"/>
      <c r="D39" s="1460"/>
      <c r="E39" s="1433"/>
      <c r="F39" s="1433"/>
      <c r="G39" s="1433"/>
      <c r="H39" s="1433"/>
      <c r="I39" s="1433"/>
      <c r="J39" s="1433"/>
    </row>
    <row r="40" spans="1:10" ht="12.6" customHeight="1">
      <c r="A40" s="1434" t="s">
        <v>579</v>
      </c>
      <c r="B40" s="1455" t="s">
        <v>582</v>
      </c>
      <c r="C40" s="1456"/>
      <c r="D40" s="1457"/>
      <c r="E40" s="1432">
        <f>SUM(F40+G40+H40+I40)</f>
        <v>88</v>
      </c>
      <c r="F40" s="1432">
        <v>61</v>
      </c>
      <c r="G40" s="1432"/>
      <c r="H40" s="1432">
        <v>27</v>
      </c>
      <c r="I40" s="1432"/>
      <c r="J40" s="1432"/>
    </row>
    <row r="41" spans="1:10" ht="12.6" customHeight="1">
      <c r="A41" s="1435"/>
      <c r="B41" s="1458"/>
      <c r="C41" s="1459"/>
      <c r="D41" s="1460"/>
      <c r="E41" s="1433"/>
      <c r="F41" s="1433"/>
      <c r="G41" s="1433"/>
      <c r="H41" s="1433"/>
      <c r="I41" s="1433"/>
      <c r="J41" s="1433"/>
    </row>
    <row r="42" spans="1:10" ht="12.75">
      <c r="A42" s="797"/>
      <c r="B42" s="796"/>
      <c r="C42" s="796"/>
      <c r="D42" s="796"/>
      <c r="E42" s="798"/>
      <c r="F42" s="798"/>
      <c r="G42" s="798"/>
      <c r="H42" s="798"/>
      <c r="I42" s="798"/>
      <c r="J42" s="798"/>
    </row>
    <row r="43" spans="1:10" ht="12.75">
      <c r="A43" s="799"/>
      <c r="B43" s="800"/>
      <c r="C43" s="800"/>
      <c r="D43" s="800"/>
      <c r="E43" s="801"/>
      <c r="F43" s="801"/>
      <c r="G43" s="801"/>
      <c r="H43" s="801"/>
      <c r="I43" s="801"/>
      <c r="J43" s="801"/>
    </row>
    <row r="44" spans="1:10" ht="12.75">
      <c r="A44" s="799"/>
      <c r="B44" s="800"/>
      <c r="C44" s="800"/>
      <c r="D44" s="800"/>
      <c r="E44" s="801"/>
      <c r="F44" s="801"/>
      <c r="G44" s="801"/>
      <c r="H44" s="801"/>
      <c r="I44" s="801"/>
      <c r="J44" s="801"/>
    </row>
    <row r="45" spans="1:10" ht="12.75">
      <c r="A45" s="799"/>
      <c r="B45" s="800"/>
      <c r="C45" s="800"/>
      <c r="D45" s="800"/>
      <c r="E45" s="801"/>
      <c r="F45" s="801"/>
      <c r="G45" s="801"/>
      <c r="H45" s="801"/>
      <c r="I45" s="801"/>
      <c r="J45" s="801"/>
    </row>
    <row r="46" spans="1:10" ht="12.75">
      <c r="A46" s="799"/>
      <c r="B46" s="800"/>
      <c r="C46" s="800"/>
      <c r="D46" s="800"/>
      <c r="E46" s="801"/>
      <c r="F46" s="801"/>
      <c r="G46" s="801"/>
      <c r="H46" s="801"/>
      <c r="I46" s="801"/>
      <c r="J46" s="801"/>
    </row>
    <row r="47" spans="1:10" ht="12.75">
      <c r="A47" s="799"/>
      <c r="B47" s="800"/>
      <c r="C47" s="800"/>
      <c r="D47" s="800"/>
      <c r="E47" s="801"/>
      <c r="F47" s="801"/>
      <c r="G47" s="801"/>
      <c r="H47" s="801"/>
      <c r="I47" s="801"/>
      <c r="J47" s="801"/>
    </row>
    <row r="48" spans="1:10" ht="12.75">
      <c r="A48" s="799"/>
      <c r="B48" s="800"/>
      <c r="C48" s="800"/>
      <c r="D48" s="800"/>
      <c r="E48" s="801"/>
      <c r="F48" s="801"/>
      <c r="G48" s="801"/>
      <c r="H48" s="801"/>
      <c r="I48" s="801"/>
      <c r="J48" s="801"/>
    </row>
    <row r="49" spans="1:10" ht="12.75">
      <c r="A49" s="1434" t="s">
        <v>584</v>
      </c>
      <c r="B49" s="1449" t="s">
        <v>583</v>
      </c>
      <c r="C49" s="1450"/>
      <c r="D49" s="1451"/>
      <c r="E49" s="1430">
        <f>SUM(F49+G49+H49+I49)</f>
        <v>32</v>
      </c>
      <c r="F49" s="1430">
        <v>29</v>
      </c>
      <c r="G49" s="1430"/>
      <c r="H49" s="1430">
        <v>3</v>
      </c>
      <c r="I49" s="1430"/>
      <c r="J49" s="1430"/>
    </row>
    <row r="50" spans="1:10" ht="12.75">
      <c r="A50" s="1435"/>
      <c r="B50" s="1452"/>
      <c r="C50" s="1453"/>
      <c r="D50" s="1454"/>
      <c r="E50" s="1431"/>
      <c r="F50" s="1431"/>
      <c r="G50" s="1431"/>
      <c r="H50" s="1431"/>
      <c r="I50" s="1431"/>
      <c r="J50" s="1431"/>
    </row>
    <row r="51" spans="1:10" ht="12.75">
      <c r="A51" s="1448" t="s">
        <v>586</v>
      </c>
      <c r="B51" s="1449" t="s">
        <v>585</v>
      </c>
      <c r="C51" s="1450"/>
      <c r="D51" s="1451"/>
      <c r="E51" s="1430">
        <f>SUM(F51+G51+H51+I51)</f>
        <v>31</v>
      </c>
      <c r="F51" s="1430">
        <v>29</v>
      </c>
      <c r="G51" s="1430"/>
      <c r="H51" s="1430">
        <v>2</v>
      </c>
      <c r="I51" s="1430"/>
      <c r="J51" s="1430"/>
    </row>
    <row r="52" spans="1:10" ht="12.75">
      <c r="A52" s="1435"/>
      <c r="B52" s="1452"/>
      <c r="C52" s="1453"/>
      <c r="D52" s="1454"/>
      <c r="E52" s="1431"/>
      <c r="F52" s="1431"/>
      <c r="G52" s="1431"/>
      <c r="H52" s="1431"/>
      <c r="I52" s="1431"/>
      <c r="J52" s="1431"/>
    </row>
    <row r="53" spans="1:10" ht="12.75">
      <c r="A53" s="1448" t="s">
        <v>588</v>
      </c>
      <c r="B53" s="1449" t="s">
        <v>587</v>
      </c>
      <c r="C53" s="1450"/>
      <c r="D53" s="1451"/>
      <c r="E53" s="1430">
        <f>SUM(F53+G53+H53+I53)</f>
        <v>16</v>
      </c>
      <c r="F53" s="1430">
        <v>14</v>
      </c>
      <c r="G53" s="1430"/>
      <c r="H53" s="1430">
        <v>2</v>
      </c>
      <c r="I53" s="1430"/>
      <c r="J53" s="1430"/>
    </row>
    <row r="54" spans="1:10" ht="12.75">
      <c r="A54" s="1435"/>
      <c r="B54" s="1452"/>
      <c r="C54" s="1453"/>
      <c r="D54" s="1454"/>
      <c r="E54" s="1431"/>
      <c r="F54" s="1431"/>
      <c r="G54" s="1431"/>
      <c r="H54" s="1431"/>
      <c r="I54" s="1431"/>
      <c r="J54" s="1431"/>
    </row>
    <row r="55" spans="1:10" ht="12.75">
      <c r="A55" s="1434" t="s">
        <v>590</v>
      </c>
      <c r="B55" s="1449" t="s">
        <v>589</v>
      </c>
      <c r="C55" s="1450"/>
      <c r="D55" s="1451"/>
      <c r="E55" s="1430">
        <f>SUM(F55+G55+H55+I55)</f>
        <v>61</v>
      </c>
      <c r="F55" s="1430">
        <v>57</v>
      </c>
      <c r="G55" s="1430"/>
      <c r="H55" s="1430">
        <v>4</v>
      </c>
      <c r="I55" s="1430"/>
      <c r="J55" s="1430"/>
    </row>
    <row r="56" spans="1:10" ht="12.75">
      <c r="A56" s="1435"/>
      <c r="B56" s="1452"/>
      <c r="C56" s="1453"/>
      <c r="D56" s="1454"/>
      <c r="E56" s="1431"/>
      <c r="F56" s="1431"/>
      <c r="G56" s="1431"/>
      <c r="H56" s="1431"/>
      <c r="I56" s="1431"/>
      <c r="J56" s="1431"/>
    </row>
    <row r="57" spans="1:10" ht="12.75">
      <c r="A57" s="1448" t="s">
        <v>592</v>
      </c>
      <c r="B57" s="1449" t="s">
        <v>591</v>
      </c>
      <c r="C57" s="1450"/>
      <c r="D57" s="1451"/>
      <c r="E57" s="1430">
        <f>SUM(F57+G57+H57+I57)</f>
        <v>32</v>
      </c>
      <c r="F57" s="1430">
        <v>31</v>
      </c>
      <c r="G57" s="1430"/>
      <c r="H57" s="1430">
        <v>1</v>
      </c>
      <c r="I57" s="1430"/>
      <c r="J57" s="1430"/>
    </row>
    <row r="58" spans="1:10" ht="12.75">
      <c r="A58" s="1435"/>
      <c r="B58" s="1452"/>
      <c r="C58" s="1453"/>
      <c r="D58" s="1454"/>
      <c r="E58" s="1431"/>
      <c r="F58" s="1431"/>
      <c r="G58" s="1431"/>
      <c r="H58" s="1431"/>
      <c r="I58" s="1431"/>
      <c r="J58" s="1431"/>
    </row>
    <row r="59" spans="1:10" ht="12.75">
      <c r="A59" s="1448" t="s">
        <v>1103</v>
      </c>
      <c r="B59" s="1449" t="s">
        <v>593</v>
      </c>
      <c r="C59" s="1450"/>
      <c r="D59" s="1451"/>
      <c r="E59" s="1430">
        <f>SUM(F59+G59+H59+I59)</f>
        <v>25</v>
      </c>
      <c r="F59" s="1430">
        <v>23</v>
      </c>
      <c r="G59" s="1430"/>
      <c r="H59" s="1430">
        <v>2</v>
      </c>
      <c r="I59" s="1430"/>
      <c r="J59" s="1430"/>
    </row>
    <row r="60" spans="1:10" ht="12.75">
      <c r="A60" s="1435"/>
      <c r="B60" s="1452"/>
      <c r="C60" s="1453"/>
      <c r="D60" s="1454"/>
      <c r="E60" s="1431"/>
      <c r="F60" s="1431"/>
      <c r="G60" s="1431"/>
      <c r="H60" s="1431"/>
      <c r="I60" s="1431"/>
      <c r="J60" s="1431"/>
    </row>
    <row r="61" spans="1:10" ht="12.75">
      <c r="A61" s="1448" t="s">
        <v>595</v>
      </c>
      <c r="B61" s="1449" t="s">
        <v>594</v>
      </c>
      <c r="C61" s="1450"/>
      <c r="D61" s="1451"/>
      <c r="E61" s="1430">
        <f>SUM(F61+G61+H61+I61)</f>
        <v>16</v>
      </c>
      <c r="F61" s="1430">
        <v>15</v>
      </c>
      <c r="G61" s="1430"/>
      <c r="H61" s="1430">
        <v>1</v>
      </c>
      <c r="I61" s="1430"/>
      <c r="J61" s="1430"/>
    </row>
    <row r="62" spans="1:10" ht="12.75">
      <c r="A62" s="1435"/>
      <c r="B62" s="1452"/>
      <c r="C62" s="1453"/>
      <c r="D62" s="1454"/>
      <c r="E62" s="1431"/>
      <c r="F62" s="1431"/>
      <c r="G62" s="1431"/>
      <c r="H62" s="1431"/>
      <c r="I62" s="1431"/>
      <c r="J62" s="1431"/>
    </row>
    <row r="63" spans="1:10" ht="12.75">
      <c r="A63" s="1448" t="s">
        <v>597</v>
      </c>
      <c r="B63" s="1449" t="s">
        <v>596</v>
      </c>
      <c r="C63" s="1450"/>
      <c r="D63" s="1451"/>
      <c r="E63" s="1430">
        <f>SUM(F63+G63+H63+I63)</f>
        <v>16</v>
      </c>
      <c r="F63" s="1430">
        <v>15</v>
      </c>
      <c r="G63" s="1430"/>
      <c r="H63" s="1430">
        <v>1</v>
      </c>
      <c r="I63" s="1430"/>
      <c r="J63" s="1430"/>
    </row>
    <row r="64" spans="1:10" ht="12.75">
      <c r="A64" s="1435"/>
      <c r="B64" s="1452"/>
      <c r="C64" s="1453"/>
      <c r="D64" s="1454"/>
      <c r="E64" s="1431"/>
      <c r="F64" s="1431"/>
      <c r="G64" s="1431"/>
      <c r="H64" s="1431"/>
      <c r="I64" s="1431"/>
      <c r="J64" s="1431"/>
    </row>
    <row r="65" spans="1:10" ht="12.75">
      <c r="A65" s="1448" t="s">
        <v>599</v>
      </c>
      <c r="B65" s="1449" t="s">
        <v>598</v>
      </c>
      <c r="C65" s="1450"/>
      <c r="D65" s="1451"/>
      <c r="E65" s="1430">
        <f>SUM(F65+G65+H65+I65)</f>
        <v>16</v>
      </c>
      <c r="F65" s="1430">
        <v>14</v>
      </c>
      <c r="G65" s="1430"/>
      <c r="H65" s="1430">
        <v>2</v>
      </c>
      <c r="I65" s="1430"/>
      <c r="J65" s="1430"/>
    </row>
    <row r="66" spans="1:10" ht="12.75">
      <c r="A66" s="1435"/>
      <c r="B66" s="1452"/>
      <c r="C66" s="1453"/>
      <c r="D66" s="1454"/>
      <c r="E66" s="1431"/>
      <c r="F66" s="1431"/>
      <c r="G66" s="1431"/>
      <c r="H66" s="1431"/>
      <c r="I66" s="1431"/>
      <c r="J66" s="1431"/>
    </row>
    <row r="67" spans="1:10" ht="12.75">
      <c r="A67" s="1448" t="s">
        <v>601</v>
      </c>
      <c r="B67" s="1449" t="s">
        <v>600</v>
      </c>
      <c r="C67" s="1450"/>
      <c r="D67" s="1451"/>
      <c r="E67" s="1430">
        <f>SUM(F67+G67+H67+I67)</f>
        <v>152</v>
      </c>
      <c r="F67" s="1430">
        <v>152</v>
      </c>
      <c r="G67" s="1430"/>
      <c r="H67" s="1430"/>
      <c r="I67" s="1430"/>
      <c r="J67" s="1430"/>
    </row>
    <row r="68" spans="1:10" ht="12.75">
      <c r="A68" s="1435"/>
      <c r="B68" s="1452"/>
      <c r="C68" s="1453"/>
      <c r="D68" s="1454"/>
      <c r="E68" s="1431"/>
      <c r="F68" s="1431"/>
      <c r="G68" s="1431"/>
      <c r="H68" s="1431"/>
      <c r="I68" s="1431"/>
      <c r="J68" s="1431"/>
    </row>
    <row r="69" spans="1:10" ht="12.75">
      <c r="A69" s="1448" t="s">
        <v>603</v>
      </c>
      <c r="B69" s="1449" t="s">
        <v>602</v>
      </c>
      <c r="C69" s="1450"/>
      <c r="D69" s="1451"/>
      <c r="E69" s="1430">
        <f>SUM(F69+G69+H69+I69)</f>
        <v>115</v>
      </c>
      <c r="F69" s="1430">
        <v>69</v>
      </c>
      <c r="G69" s="1430">
        <v>1</v>
      </c>
      <c r="H69" s="1430">
        <v>45</v>
      </c>
      <c r="I69" s="1430"/>
      <c r="J69" s="1430"/>
    </row>
    <row r="70" spans="1:10" ht="12.75">
      <c r="A70" s="1435"/>
      <c r="B70" s="1452"/>
      <c r="C70" s="1453"/>
      <c r="D70" s="1454"/>
      <c r="E70" s="1431"/>
      <c r="F70" s="1431"/>
      <c r="G70" s="1431"/>
      <c r="H70" s="1431"/>
      <c r="I70" s="1431"/>
      <c r="J70" s="1431"/>
    </row>
    <row r="71" spans="1:10" ht="12.75">
      <c r="A71" s="1448" t="s">
        <v>604</v>
      </c>
      <c r="B71" s="1449" t="s">
        <v>308</v>
      </c>
      <c r="C71" s="1450"/>
      <c r="D71" s="1451"/>
      <c r="E71" s="1430">
        <f>SUM(F71+G71+H71+I71)</f>
        <v>170</v>
      </c>
      <c r="F71" s="1430">
        <f>135</f>
        <v>135</v>
      </c>
      <c r="G71" s="1430">
        <f>9+2</f>
        <v>11</v>
      </c>
      <c r="H71" s="1430">
        <v>22</v>
      </c>
      <c r="I71" s="1430">
        <v>2</v>
      </c>
      <c r="J71" s="1430"/>
    </row>
    <row r="72" spans="1:10" ht="12" customHeight="1">
      <c r="A72" s="1435"/>
      <c r="B72" s="1452"/>
      <c r="C72" s="1453"/>
      <c r="D72" s="1454"/>
      <c r="E72" s="1431"/>
      <c r="F72" s="1431"/>
      <c r="G72" s="1431"/>
      <c r="H72" s="1431"/>
      <c r="I72" s="1431"/>
      <c r="J72" s="1431"/>
    </row>
    <row r="73" spans="1:10" ht="12.75">
      <c r="A73" s="1448" t="s">
        <v>606</v>
      </c>
      <c r="B73" s="1449" t="s">
        <v>605</v>
      </c>
      <c r="C73" s="1450"/>
      <c r="D73" s="1451"/>
      <c r="E73" s="1430">
        <f>SUM(F73+G73+H73+I73)</f>
        <v>25</v>
      </c>
      <c r="F73" s="1430">
        <v>25</v>
      </c>
      <c r="G73" s="1430"/>
      <c r="H73" s="1430"/>
      <c r="I73" s="1430"/>
      <c r="J73" s="1430"/>
    </row>
    <row r="74" spans="1:10" ht="11.25" customHeight="1">
      <c r="A74" s="1435"/>
      <c r="B74" s="1452"/>
      <c r="C74" s="1453"/>
      <c r="D74" s="1454"/>
      <c r="E74" s="1431"/>
      <c r="F74" s="1431"/>
      <c r="G74" s="1431"/>
      <c r="H74" s="1431"/>
      <c r="I74" s="1431"/>
      <c r="J74" s="1431"/>
    </row>
    <row r="75" spans="1:10" ht="11.25" customHeight="1">
      <c r="A75" s="1448" t="s">
        <v>1104</v>
      </c>
      <c r="B75" s="1449" t="s">
        <v>607</v>
      </c>
      <c r="C75" s="1450"/>
      <c r="D75" s="1451"/>
      <c r="E75" s="1430">
        <f>SUM(F75+G75+H75+I75)</f>
        <v>11</v>
      </c>
      <c r="F75" s="1430">
        <v>11</v>
      </c>
      <c r="G75" s="802"/>
      <c r="H75" s="802"/>
      <c r="I75" s="802"/>
      <c r="J75" s="802"/>
    </row>
    <row r="76" spans="1:10" ht="11.25" customHeight="1">
      <c r="A76" s="1435"/>
      <c r="B76" s="1452"/>
      <c r="C76" s="1453"/>
      <c r="D76" s="1454"/>
      <c r="E76" s="1431"/>
      <c r="F76" s="1431"/>
      <c r="G76" s="802"/>
      <c r="H76" s="802"/>
      <c r="I76" s="802"/>
      <c r="J76" s="802"/>
    </row>
    <row r="77" spans="1:10" ht="12.6" customHeight="1">
      <c r="A77" s="1434"/>
      <c r="B77" s="1442" t="s">
        <v>608</v>
      </c>
      <c r="C77" s="1443"/>
      <c r="D77" s="1444"/>
      <c r="E77" s="1432">
        <f>SUM(E49:E76)</f>
        <v>718</v>
      </c>
      <c r="F77" s="1432">
        <f>SUM(F49:F76)</f>
        <v>619</v>
      </c>
      <c r="G77" s="1432">
        <f>SUM(G49:G74)</f>
        <v>12</v>
      </c>
      <c r="H77" s="1432">
        <f>SUM(H49:H74)</f>
        <v>85</v>
      </c>
      <c r="I77" s="1432">
        <f>SUM(I49:I74)</f>
        <v>2</v>
      </c>
      <c r="J77" s="1432">
        <f>SUM(J49:J74)</f>
        <v>0</v>
      </c>
    </row>
    <row r="78" spans="1:10" ht="12.6" customHeight="1">
      <c r="A78" s="1435"/>
      <c r="B78" s="1445"/>
      <c r="C78" s="1446"/>
      <c r="D78" s="1447"/>
      <c r="E78" s="1433"/>
      <c r="F78" s="1433"/>
      <c r="G78" s="1433"/>
      <c r="H78" s="1433"/>
      <c r="I78" s="1433"/>
      <c r="J78" s="1433"/>
    </row>
    <row r="79" spans="1:10" ht="12.6" customHeight="1">
      <c r="A79" s="1434"/>
      <c r="B79" s="1436" t="s">
        <v>609</v>
      </c>
      <c r="C79" s="1437"/>
      <c r="D79" s="1438"/>
      <c r="E79" s="1432">
        <f aca="true" t="shared" si="0" ref="E79:J79">SUM(E77+E40+E38)</f>
        <v>1043</v>
      </c>
      <c r="F79" s="1432">
        <f t="shared" si="0"/>
        <v>899</v>
      </c>
      <c r="G79" s="1432">
        <f t="shared" si="0"/>
        <v>16</v>
      </c>
      <c r="H79" s="1432">
        <f t="shared" si="0"/>
        <v>124</v>
      </c>
      <c r="I79" s="1432">
        <f t="shared" si="0"/>
        <v>4</v>
      </c>
      <c r="J79" s="1432">
        <f t="shared" si="0"/>
        <v>0</v>
      </c>
    </row>
    <row r="80" spans="1:10" ht="12.6" customHeight="1">
      <c r="A80" s="1435"/>
      <c r="B80" s="1439"/>
      <c r="C80" s="1440"/>
      <c r="D80" s="1441"/>
      <c r="E80" s="1433"/>
      <c r="F80" s="1433"/>
      <c r="G80" s="1433"/>
      <c r="H80" s="1433"/>
      <c r="I80" s="1433"/>
      <c r="J80" s="1433"/>
    </row>
    <row r="81" ht="12.75">
      <c r="J81" s="803"/>
    </row>
    <row r="82" ht="12.75">
      <c r="J82" s="803"/>
    </row>
    <row r="83" ht="12.75">
      <c r="J83" s="803"/>
    </row>
    <row r="84" ht="12.75">
      <c r="J84" s="803"/>
    </row>
  </sheetData>
  <mergeCells count="257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8:A19"/>
    <mergeCell ref="B18:D19"/>
    <mergeCell ref="E18:E19"/>
    <mergeCell ref="F18:F19"/>
    <mergeCell ref="G18:G19"/>
    <mergeCell ref="H18:H19"/>
    <mergeCell ref="A16:A17"/>
    <mergeCell ref="B16:D17"/>
    <mergeCell ref="E16:E17"/>
    <mergeCell ref="F16:F17"/>
    <mergeCell ref="G16:G17"/>
    <mergeCell ref="H16:H17"/>
    <mergeCell ref="A14:A15"/>
    <mergeCell ref="B14:D15"/>
    <mergeCell ref="E14:E15"/>
    <mergeCell ref="F14:F15"/>
    <mergeCell ref="G14:G15"/>
    <mergeCell ref="H14:H15"/>
    <mergeCell ref="I14:I15"/>
    <mergeCell ref="A12:A13"/>
    <mergeCell ref="B12:D13"/>
    <mergeCell ref="E12:E13"/>
    <mergeCell ref="F12:F13"/>
    <mergeCell ref="G12:G13"/>
    <mergeCell ref="H12:H13"/>
    <mergeCell ref="A24:A25"/>
    <mergeCell ref="B24:D25"/>
    <mergeCell ref="E24:E25"/>
    <mergeCell ref="F24:F25"/>
    <mergeCell ref="G24:G25"/>
    <mergeCell ref="H24:H25"/>
    <mergeCell ref="I24:I25"/>
    <mergeCell ref="J24:J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A20:A21"/>
    <mergeCell ref="B20:D21"/>
    <mergeCell ref="E20:E21"/>
    <mergeCell ref="F20:F21"/>
    <mergeCell ref="G20:G21"/>
    <mergeCell ref="H20:H21"/>
    <mergeCell ref="A30:A31"/>
    <mergeCell ref="B30:D31"/>
    <mergeCell ref="E30:E31"/>
    <mergeCell ref="F30:F31"/>
    <mergeCell ref="G30:G31"/>
    <mergeCell ref="H30:H31"/>
    <mergeCell ref="I30:I31"/>
    <mergeCell ref="J30:J31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A26:A27"/>
    <mergeCell ref="B26:D27"/>
    <mergeCell ref="E26:E27"/>
    <mergeCell ref="F26:F27"/>
    <mergeCell ref="G26:G27"/>
    <mergeCell ref="H26:H27"/>
    <mergeCell ref="A34:A35"/>
    <mergeCell ref="B34:D35"/>
    <mergeCell ref="E34:E35"/>
    <mergeCell ref="F34:F35"/>
    <mergeCell ref="G34:G35"/>
    <mergeCell ref="H34:H35"/>
    <mergeCell ref="A32:A33"/>
    <mergeCell ref="B32:D33"/>
    <mergeCell ref="E32:E33"/>
    <mergeCell ref="F32:F33"/>
    <mergeCell ref="G32:G33"/>
    <mergeCell ref="H32:H33"/>
    <mergeCell ref="A40:A41"/>
    <mergeCell ref="B40:D41"/>
    <mergeCell ref="E40:E41"/>
    <mergeCell ref="F40:F41"/>
    <mergeCell ref="G40:G41"/>
    <mergeCell ref="H40:H41"/>
    <mergeCell ref="I40:I41"/>
    <mergeCell ref="J40:J41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36:A37"/>
    <mergeCell ref="B36:D37"/>
    <mergeCell ref="E36:E37"/>
    <mergeCell ref="F36:F37"/>
    <mergeCell ref="G36:G37"/>
    <mergeCell ref="H36:H37"/>
    <mergeCell ref="I36:I37"/>
    <mergeCell ref="A53:A54"/>
    <mergeCell ref="B53:D54"/>
    <mergeCell ref="E53:E54"/>
    <mergeCell ref="F53:F54"/>
    <mergeCell ref="G53:G54"/>
    <mergeCell ref="H53:H54"/>
    <mergeCell ref="I53:I54"/>
    <mergeCell ref="J53:J54"/>
    <mergeCell ref="I49:I50"/>
    <mergeCell ref="J49:J50"/>
    <mergeCell ref="A51:A52"/>
    <mergeCell ref="B51:D52"/>
    <mergeCell ref="E51:E52"/>
    <mergeCell ref="F51:F52"/>
    <mergeCell ref="G51:G52"/>
    <mergeCell ref="H51:H52"/>
    <mergeCell ref="I51:I52"/>
    <mergeCell ref="A49:A50"/>
    <mergeCell ref="B49:D50"/>
    <mergeCell ref="E49:E50"/>
    <mergeCell ref="F49:F50"/>
    <mergeCell ref="G49:G50"/>
    <mergeCell ref="H49:H50"/>
    <mergeCell ref="J51:J52"/>
    <mergeCell ref="A57:A58"/>
    <mergeCell ref="B57:D58"/>
    <mergeCell ref="E57:E58"/>
    <mergeCell ref="F57:F58"/>
    <mergeCell ref="G57:G58"/>
    <mergeCell ref="H57:H58"/>
    <mergeCell ref="A55:A56"/>
    <mergeCell ref="B55:D56"/>
    <mergeCell ref="E55:E56"/>
    <mergeCell ref="F55:F56"/>
    <mergeCell ref="G55:G56"/>
    <mergeCell ref="H55:H56"/>
    <mergeCell ref="A63:A64"/>
    <mergeCell ref="B63:D64"/>
    <mergeCell ref="E63:E64"/>
    <mergeCell ref="F63:F64"/>
    <mergeCell ref="G63:G64"/>
    <mergeCell ref="H63:H64"/>
    <mergeCell ref="I63:I64"/>
    <mergeCell ref="J63:J64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59:I60"/>
    <mergeCell ref="A69:A70"/>
    <mergeCell ref="B69:D70"/>
    <mergeCell ref="E69:E70"/>
    <mergeCell ref="F69:F70"/>
    <mergeCell ref="G69:G70"/>
    <mergeCell ref="H69:H70"/>
    <mergeCell ref="I69:I70"/>
    <mergeCell ref="J69:J70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A65:A66"/>
    <mergeCell ref="B65:D66"/>
    <mergeCell ref="E65:E66"/>
    <mergeCell ref="F65:F66"/>
    <mergeCell ref="G65:G66"/>
    <mergeCell ref="H65:H66"/>
    <mergeCell ref="H73:H74"/>
    <mergeCell ref="A71:A72"/>
    <mergeCell ref="B71:D72"/>
    <mergeCell ref="E71:E72"/>
    <mergeCell ref="F71:F72"/>
    <mergeCell ref="G71:G72"/>
    <mergeCell ref="H71:H72"/>
    <mergeCell ref="I71:I72"/>
    <mergeCell ref="J71:J72"/>
    <mergeCell ref="A75:A76"/>
    <mergeCell ref="B75:D76"/>
    <mergeCell ref="E75:E76"/>
    <mergeCell ref="F75:F76"/>
    <mergeCell ref="A73:A74"/>
    <mergeCell ref="B73:D74"/>
    <mergeCell ref="E73:E74"/>
    <mergeCell ref="F73:F74"/>
    <mergeCell ref="G73:G74"/>
    <mergeCell ref="A79:A80"/>
    <mergeCell ref="B79:D80"/>
    <mergeCell ref="E79:E80"/>
    <mergeCell ref="F79:F80"/>
    <mergeCell ref="G79:G80"/>
    <mergeCell ref="H79:H80"/>
    <mergeCell ref="I79:I80"/>
    <mergeCell ref="A77:A78"/>
    <mergeCell ref="B77:D78"/>
    <mergeCell ref="E77:E78"/>
    <mergeCell ref="F77:F78"/>
    <mergeCell ref="G77:G78"/>
    <mergeCell ref="H77:H78"/>
    <mergeCell ref="I34:I35"/>
    <mergeCell ref="J34:J35"/>
    <mergeCell ref="I32:I33"/>
    <mergeCell ref="J32:J33"/>
    <mergeCell ref="J28:J29"/>
    <mergeCell ref="J22:J23"/>
    <mergeCell ref="I12:I13"/>
    <mergeCell ref="J79:J80"/>
    <mergeCell ref="I77:I78"/>
    <mergeCell ref="J77:J78"/>
    <mergeCell ref="I73:I74"/>
    <mergeCell ref="J73:J74"/>
    <mergeCell ref="J67:J68"/>
    <mergeCell ref="I57:I58"/>
    <mergeCell ref="J57:J58"/>
    <mergeCell ref="I55:I56"/>
    <mergeCell ref="J55:J56"/>
    <mergeCell ref="J12:J13"/>
    <mergeCell ref="I18:I19"/>
    <mergeCell ref="J18:J19"/>
    <mergeCell ref="J14:J15"/>
    <mergeCell ref="I16:I17"/>
    <mergeCell ref="J16:J17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 topLeftCell="A1">
      <selection activeCell="I16" sqref="I16"/>
    </sheetView>
  </sheetViews>
  <sheetFormatPr defaultColWidth="9.125" defaultRowHeight="12.75"/>
  <cols>
    <col min="1" max="1" width="6.875" style="804" customWidth="1"/>
    <col min="2" max="4" width="9.125" style="804" customWidth="1"/>
    <col min="5" max="5" width="23.625" style="804" customWidth="1"/>
    <col min="6" max="6" width="20.875" style="804" customWidth="1"/>
    <col min="7" max="7" width="18.375" style="804" customWidth="1"/>
    <col min="8" max="8" width="21.125" style="804" customWidth="1"/>
    <col min="9" max="9" width="18.375" style="804" customWidth="1"/>
    <col min="10" max="16384" width="9.125" style="804" customWidth="1"/>
  </cols>
  <sheetData>
    <row r="2" spans="1:9" ht="15.75">
      <c r="A2" s="1491" t="s">
        <v>610</v>
      </c>
      <c r="B2" s="1491"/>
      <c r="C2" s="1491"/>
      <c r="D2" s="1491"/>
      <c r="E2" s="1491"/>
      <c r="F2" s="1492"/>
      <c r="G2" s="1492"/>
      <c r="H2" s="1492"/>
      <c r="I2" s="1492"/>
    </row>
    <row r="3" spans="1:9" ht="18" customHeight="1">
      <c r="A3" s="1491" t="s">
        <v>1105</v>
      </c>
      <c r="B3" s="1491"/>
      <c r="C3" s="1491"/>
      <c r="D3" s="1491"/>
      <c r="E3" s="1491"/>
      <c r="F3" s="1492"/>
      <c r="G3" s="1492"/>
      <c r="H3" s="1492"/>
      <c r="I3" s="1492"/>
    </row>
    <row r="7" spans="1:9" ht="16.5" customHeight="1">
      <c r="A7" s="805"/>
      <c r="B7" s="805"/>
      <c r="C7" s="805"/>
      <c r="D7" s="805"/>
      <c r="E7" s="805"/>
      <c r="F7" s="805"/>
      <c r="G7" s="805"/>
      <c r="H7" s="805"/>
      <c r="I7" s="806" t="s">
        <v>181</v>
      </c>
    </row>
    <row r="8" spans="1:9" ht="21.75" customHeight="1">
      <c r="A8" s="1493" t="s">
        <v>279</v>
      </c>
      <c r="B8" s="1495" t="s">
        <v>611</v>
      </c>
      <c r="C8" s="1495"/>
      <c r="D8" s="1495"/>
      <c r="E8" s="1495"/>
      <c r="F8" s="1497" t="s">
        <v>612</v>
      </c>
      <c r="G8" s="1498"/>
      <c r="H8" s="1497" t="s">
        <v>613</v>
      </c>
      <c r="I8" s="1498"/>
    </row>
    <row r="9" spans="1:9" ht="27" customHeight="1">
      <c r="A9" s="1494"/>
      <c r="B9" s="1496"/>
      <c r="C9" s="1496"/>
      <c r="D9" s="1496"/>
      <c r="E9" s="1496"/>
      <c r="F9" s="807" t="s">
        <v>614</v>
      </c>
      <c r="G9" s="807" t="s">
        <v>615</v>
      </c>
      <c r="H9" s="807" t="s">
        <v>614</v>
      </c>
      <c r="I9" s="807" t="s">
        <v>615</v>
      </c>
    </row>
    <row r="10" spans="1:9" ht="21.95" customHeight="1">
      <c r="A10" s="808" t="s">
        <v>163</v>
      </c>
      <c r="B10" s="809" t="s">
        <v>616</v>
      </c>
      <c r="C10" s="810"/>
      <c r="D10" s="810"/>
      <c r="E10" s="810"/>
      <c r="F10" s="811" t="s">
        <v>617</v>
      </c>
      <c r="G10" s="812">
        <v>537</v>
      </c>
      <c r="H10" s="813" t="s">
        <v>618</v>
      </c>
      <c r="I10" s="812">
        <v>112532</v>
      </c>
    </row>
    <row r="11" spans="1:9" ht="21.95" customHeight="1">
      <c r="A11" s="808" t="s">
        <v>164</v>
      </c>
      <c r="B11" s="809" t="s">
        <v>619</v>
      </c>
      <c r="C11" s="810"/>
      <c r="D11" s="810"/>
      <c r="E11" s="810"/>
      <c r="F11" s="811" t="s">
        <v>617</v>
      </c>
      <c r="G11" s="812"/>
      <c r="H11" s="813" t="s">
        <v>618</v>
      </c>
      <c r="I11" s="812">
        <v>28210</v>
      </c>
    </row>
    <row r="12" spans="1:9" ht="21.95" customHeight="1">
      <c r="A12" s="808" t="s">
        <v>165</v>
      </c>
      <c r="B12" s="809" t="s">
        <v>620</v>
      </c>
      <c r="C12" s="810"/>
      <c r="D12" s="810"/>
      <c r="E12" s="810"/>
      <c r="F12" s="813" t="s">
        <v>617</v>
      </c>
      <c r="G12" s="812"/>
      <c r="H12" s="813" t="s">
        <v>618</v>
      </c>
      <c r="I12" s="812">
        <v>702</v>
      </c>
    </row>
    <row r="13" spans="1:9" ht="21.95" customHeight="1">
      <c r="A13" s="808" t="s">
        <v>166</v>
      </c>
      <c r="B13" s="810" t="s">
        <v>621</v>
      </c>
      <c r="C13" s="810"/>
      <c r="D13" s="810"/>
      <c r="E13" s="810"/>
      <c r="F13" s="811"/>
      <c r="G13" s="812"/>
      <c r="H13" s="813" t="s">
        <v>622</v>
      </c>
      <c r="I13" s="812">
        <v>146</v>
      </c>
    </row>
    <row r="14" spans="1:9" ht="21.95" customHeight="1">
      <c r="A14" s="808" t="s">
        <v>167</v>
      </c>
      <c r="B14" s="810" t="s">
        <v>623</v>
      </c>
      <c r="C14" s="810"/>
      <c r="D14" s="810"/>
      <c r="E14" s="810"/>
      <c r="F14" s="811"/>
      <c r="G14" s="812"/>
      <c r="H14" s="813" t="s">
        <v>622</v>
      </c>
      <c r="I14" s="812">
        <v>5248</v>
      </c>
    </row>
    <row r="15" spans="1:9" ht="21.95" customHeight="1">
      <c r="A15" s="814" t="s">
        <v>43</v>
      </c>
      <c r="B15" s="815" t="s">
        <v>624</v>
      </c>
      <c r="C15" s="815"/>
      <c r="D15" s="815"/>
      <c r="E15" s="815"/>
      <c r="F15" s="816"/>
      <c r="G15" s="817"/>
      <c r="H15" s="818" t="s">
        <v>625</v>
      </c>
      <c r="I15" s="817">
        <v>52493</v>
      </c>
    </row>
  </sheetData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0"/>
  <sheetViews>
    <sheetView zoomScale="90" zoomScaleNormal="90" zoomScaleSheetLayoutView="75" workbookViewId="0" topLeftCell="A4">
      <selection activeCell="F145" sqref="F145"/>
    </sheetView>
  </sheetViews>
  <sheetFormatPr defaultColWidth="9.125" defaultRowHeight="12.75"/>
  <cols>
    <col min="1" max="1" width="4.625" style="819" customWidth="1"/>
    <col min="2" max="2" width="61.625" style="819" bestFit="1" customWidth="1"/>
    <col min="3" max="3" width="17.125" style="819" bestFit="1" customWidth="1"/>
    <col min="4" max="4" width="12.875" style="819" bestFit="1" customWidth="1"/>
    <col min="5" max="5" width="15.875" style="819" customWidth="1"/>
    <col min="6" max="6" width="12.375" style="819" customWidth="1"/>
    <col min="7" max="7" width="12.375" style="819" bestFit="1" customWidth="1"/>
    <col min="8" max="8" width="10.375" style="819" bestFit="1" customWidth="1"/>
    <col min="9" max="9" width="12.125" style="819" bestFit="1" customWidth="1"/>
    <col min="10" max="10" width="10.375" style="819" bestFit="1" customWidth="1"/>
    <col min="11" max="12" width="13.875" style="819" bestFit="1" customWidth="1"/>
    <col min="13" max="13" width="13.625" style="819" bestFit="1" customWidth="1"/>
    <col min="14" max="14" width="14.75390625" style="819" bestFit="1" customWidth="1"/>
    <col min="15" max="15" width="11.625" style="819" bestFit="1" customWidth="1"/>
    <col min="16" max="16384" width="9.125" style="819" customWidth="1"/>
  </cols>
  <sheetData>
    <row r="3" spans="1:14" ht="18.75" customHeight="1">
      <c r="A3" s="1504" t="s">
        <v>626</v>
      </c>
      <c r="B3" s="1504"/>
      <c r="C3" s="1504"/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</row>
    <row r="4" spans="1:14" ht="15.75">
      <c r="A4" s="820"/>
      <c r="B4" s="1505" t="s">
        <v>627</v>
      </c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820"/>
    </row>
    <row r="5" spans="1:14" ht="15.75">
      <c r="A5" s="820"/>
      <c r="B5" s="1505" t="s">
        <v>1112</v>
      </c>
      <c r="C5" s="1505"/>
      <c r="D5" s="1505"/>
      <c r="E5" s="1505"/>
      <c r="F5" s="1505"/>
      <c r="G5" s="1505"/>
      <c r="H5" s="1505"/>
      <c r="I5" s="1505"/>
      <c r="J5" s="1505"/>
      <c r="K5" s="1505"/>
      <c r="L5" s="1505"/>
      <c r="M5" s="1505"/>
      <c r="N5" s="820"/>
    </row>
    <row r="6" spans="2:13" ht="18.75"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</row>
    <row r="7" ht="12.75">
      <c r="N7" s="822" t="s">
        <v>368</v>
      </c>
    </row>
    <row r="8" spans="1:14" ht="32.25" customHeight="1">
      <c r="A8" s="823"/>
      <c r="B8" s="1506" t="s">
        <v>628</v>
      </c>
      <c r="C8" s="1508" t="s">
        <v>1292</v>
      </c>
      <c r="D8" s="1510" t="s">
        <v>629</v>
      </c>
      <c r="E8" s="1506" t="s">
        <v>630</v>
      </c>
      <c r="F8" s="1512" t="s">
        <v>631</v>
      </c>
      <c r="G8" s="824" t="s">
        <v>632</v>
      </c>
      <c r="H8" s="1514" t="s">
        <v>633</v>
      </c>
      <c r="I8" s="1515"/>
      <c r="J8" s="1516" t="s">
        <v>634</v>
      </c>
      <c r="K8" s="1516"/>
      <c r="L8" s="1499" t="s">
        <v>635</v>
      </c>
      <c r="M8" s="1501" t="s">
        <v>636</v>
      </c>
      <c r="N8" s="1502" t="s">
        <v>1297</v>
      </c>
    </row>
    <row r="9" spans="1:14" ht="52.5" customHeight="1">
      <c r="A9" s="825"/>
      <c r="B9" s="1507"/>
      <c r="C9" s="1509"/>
      <c r="D9" s="1511"/>
      <c r="E9" s="1507"/>
      <c r="F9" s="1513"/>
      <c r="G9" s="824" t="s">
        <v>637</v>
      </c>
      <c r="H9" s="826" t="s">
        <v>638</v>
      </c>
      <c r="I9" s="826" t="s">
        <v>639</v>
      </c>
      <c r="J9" s="826" t="s">
        <v>638</v>
      </c>
      <c r="K9" s="826" t="s">
        <v>640</v>
      </c>
      <c r="L9" s="1500"/>
      <c r="M9" s="1314"/>
      <c r="N9" s="1503"/>
    </row>
    <row r="10" spans="1:14" ht="21" customHeight="1">
      <c r="A10" s="827" t="s">
        <v>163</v>
      </c>
      <c r="B10" s="828" t="s">
        <v>641</v>
      </c>
      <c r="C10" s="829">
        <f>SUM(C11:C28)</f>
        <v>1958741</v>
      </c>
      <c r="D10" s="830">
        <f>SUM(E10:M10)</f>
        <v>1958741</v>
      </c>
      <c r="E10" s="831"/>
      <c r="F10" s="831">
        <v>29143</v>
      </c>
      <c r="G10" s="831"/>
      <c r="H10" s="831"/>
      <c r="I10" s="831"/>
      <c r="J10" s="831"/>
      <c r="K10" s="831"/>
      <c r="L10" s="831">
        <v>1929598</v>
      </c>
      <c r="M10" s="831"/>
      <c r="N10" s="832"/>
    </row>
    <row r="11" spans="1:14" ht="21" customHeight="1">
      <c r="A11" s="827"/>
      <c r="B11" s="833" t="s">
        <v>642</v>
      </c>
      <c r="C11" s="834">
        <f>SUM('3c.m.'!G25)</f>
        <v>6465</v>
      </c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2"/>
    </row>
    <row r="12" spans="1:14" ht="21" customHeight="1">
      <c r="A12" s="827"/>
      <c r="B12" s="833" t="s">
        <v>1035</v>
      </c>
      <c r="C12" s="834">
        <f>SUM('3c.m.'!G34)</f>
        <v>39283</v>
      </c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2"/>
    </row>
    <row r="13" spans="1:14" ht="21" customHeight="1">
      <c r="A13" s="827"/>
      <c r="B13" s="833" t="s">
        <v>1006</v>
      </c>
      <c r="C13" s="835">
        <f>SUM('3c.m.'!G43)</f>
        <v>1299</v>
      </c>
      <c r="D13" s="836"/>
      <c r="E13" s="837"/>
      <c r="F13" s="837"/>
      <c r="G13" s="837"/>
      <c r="H13" s="837"/>
      <c r="I13" s="837"/>
      <c r="J13" s="837"/>
      <c r="K13" s="837"/>
      <c r="L13" s="837"/>
      <c r="M13" s="838"/>
      <c r="N13" s="832"/>
    </row>
    <row r="14" spans="1:14" ht="21" customHeight="1">
      <c r="A14" s="827"/>
      <c r="B14" s="833" t="s">
        <v>643</v>
      </c>
      <c r="C14" s="835">
        <f>SUM('3c.m.'!G51)</f>
        <v>2251</v>
      </c>
      <c r="D14" s="836"/>
      <c r="E14" s="837"/>
      <c r="F14" s="837"/>
      <c r="G14" s="837"/>
      <c r="H14" s="837"/>
      <c r="I14" s="837"/>
      <c r="J14" s="837"/>
      <c r="K14" s="837"/>
      <c r="L14" s="837"/>
      <c r="M14" s="838"/>
      <c r="N14" s="832"/>
    </row>
    <row r="15" spans="1:14" ht="21" customHeight="1">
      <c r="A15" s="827"/>
      <c r="B15" s="833" t="s">
        <v>1038</v>
      </c>
      <c r="C15" s="835">
        <f>SUM('3c.m.'!G59)</f>
        <v>7425</v>
      </c>
      <c r="D15" s="836"/>
      <c r="E15" s="837"/>
      <c r="F15" s="837"/>
      <c r="G15" s="837"/>
      <c r="H15" s="837"/>
      <c r="I15" s="837"/>
      <c r="J15" s="837"/>
      <c r="K15" s="837"/>
      <c r="L15" s="837"/>
      <c r="M15" s="838"/>
      <c r="N15" s="832"/>
    </row>
    <row r="16" spans="1:14" ht="21" customHeight="1">
      <c r="A16" s="827"/>
      <c r="B16" s="833" t="s">
        <v>644</v>
      </c>
      <c r="C16" s="835">
        <f>SUM('3c.m.'!G86)</f>
        <v>53955</v>
      </c>
      <c r="D16" s="836"/>
      <c r="E16" s="837"/>
      <c r="F16" s="837"/>
      <c r="G16" s="837"/>
      <c r="H16" s="837"/>
      <c r="I16" s="837"/>
      <c r="J16" s="837"/>
      <c r="K16" s="837"/>
      <c r="L16" s="837"/>
      <c r="M16" s="838"/>
      <c r="N16" s="832"/>
    </row>
    <row r="17" spans="1:14" ht="21" customHeight="1">
      <c r="A17" s="827"/>
      <c r="B17" s="839" t="s">
        <v>645</v>
      </c>
      <c r="C17" s="835">
        <f>SUM('3c.m.'!G239)</f>
        <v>1000</v>
      </c>
      <c r="D17" s="836"/>
      <c r="E17" s="837"/>
      <c r="F17" s="837"/>
      <c r="G17" s="837"/>
      <c r="H17" s="837"/>
      <c r="I17" s="837"/>
      <c r="J17" s="837"/>
      <c r="K17" s="837"/>
      <c r="L17" s="837"/>
      <c r="M17" s="838"/>
      <c r="N17" s="832"/>
    </row>
    <row r="18" spans="1:14" ht="21" customHeight="1">
      <c r="A18" s="827"/>
      <c r="B18" s="833" t="s">
        <v>646</v>
      </c>
      <c r="C18" s="835">
        <f>SUM('3c.m.'!G257)</f>
        <v>68107</v>
      </c>
      <c r="D18" s="836"/>
      <c r="E18" s="837"/>
      <c r="F18" s="837"/>
      <c r="G18" s="837"/>
      <c r="H18" s="837"/>
      <c r="I18" s="837"/>
      <c r="J18" s="837"/>
      <c r="K18" s="837"/>
      <c r="L18" s="837"/>
      <c r="M18" s="838"/>
      <c r="N18" s="832"/>
    </row>
    <row r="19" spans="1:14" ht="21" customHeight="1">
      <c r="A19" s="827"/>
      <c r="B19" s="833" t="s">
        <v>1119</v>
      </c>
      <c r="C19" s="835">
        <f>SUM('3c.m.'!G301)</f>
        <v>3000</v>
      </c>
      <c r="D19" s="836"/>
      <c r="E19" s="837"/>
      <c r="F19" s="837"/>
      <c r="G19" s="837"/>
      <c r="H19" s="837"/>
      <c r="I19" s="837"/>
      <c r="J19" s="837"/>
      <c r="K19" s="837"/>
      <c r="L19" s="837"/>
      <c r="M19" s="838"/>
      <c r="N19" s="832"/>
    </row>
    <row r="20" spans="1:14" ht="21" customHeight="1">
      <c r="A20" s="827"/>
      <c r="B20" s="833" t="s">
        <v>647</v>
      </c>
      <c r="C20" s="835">
        <f>SUM('3c.m.'!G342)</f>
        <v>624222</v>
      </c>
      <c r="D20" s="836"/>
      <c r="E20" s="837"/>
      <c r="F20" s="837"/>
      <c r="G20" s="837"/>
      <c r="H20" s="837"/>
      <c r="I20" s="837"/>
      <c r="J20" s="837"/>
      <c r="K20" s="837"/>
      <c r="L20" s="837"/>
      <c r="M20" s="838"/>
      <c r="N20" s="832"/>
    </row>
    <row r="21" spans="1:14" ht="21" customHeight="1">
      <c r="A21" s="827"/>
      <c r="B21" s="833" t="s">
        <v>648</v>
      </c>
      <c r="C21" s="835">
        <f>SUM('4.mell.'!G10)</f>
        <v>389689</v>
      </c>
      <c r="D21" s="836"/>
      <c r="E21" s="837"/>
      <c r="F21" s="837"/>
      <c r="G21" s="837"/>
      <c r="H21" s="837"/>
      <c r="I21" s="837"/>
      <c r="J21" s="837"/>
      <c r="K21" s="837"/>
      <c r="L21" s="837"/>
      <c r="M21" s="838"/>
      <c r="N21" s="832"/>
    </row>
    <row r="22" spans="1:14" ht="21" customHeight="1">
      <c r="A22" s="827"/>
      <c r="B22" s="833" t="s">
        <v>1106</v>
      </c>
      <c r="C22" s="835">
        <f>SUM('4.mell.'!G14)</f>
        <v>1000</v>
      </c>
      <c r="D22" s="836"/>
      <c r="E22" s="837"/>
      <c r="F22" s="837"/>
      <c r="G22" s="837"/>
      <c r="H22" s="837"/>
      <c r="I22" s="837"/>
      <c r="J22" s="837"/>
      <c r="K22" s="837"/>
      <c r="L22" s="837"/>
      <c r="M22" s="838"/>
      <c r="N22" s="832"/>
    </row>
    <row r="23" spans="1:14" ht="25.5" customHeight="1">
      <c r="A23" s="827"/>
      <c r="B23" s="840" t="s">
        <v>1107</v>
      </c>
      <c r="C23" s="835">
        <f>SUM('4.mell.'!G15)</f>
        <v>253133</v>
      </c>
      <c r="D23" s="836"/>
      <c r="E23" s="837"/>
      <c r="F23" s="837"/>
      <c r="G23" s="837"/>
      <c r="H23" s="837"/>
      <c r="I23" s="837"/>
      <c r="J23" s="837"/>
      <c r="K23" s="837"/>
      <c r="L23" s="837"/>
      <c r="M23" s="838"/>
      <c r="N23" s="832"/>
    </row>
    <row r="24" spans="1:14" ht="19.5" customHeight="1">
      <c r="A24" s="827"/>
      <c r="B24" s="840" t="s">
        <v>1235</v>
      </c>
      <c r="C24" s="835">
        <f>SUM('4.mell.'!G16)</f>
        <v>359999</v>
      </c>
      <c r="D24" s="836"/>
      <c r="E24" s="837"/>
      <c r="F24" s="837"/>
      <c r="G24" s="837"/>
      <c r="H24" s="837"/>
      <c r="I24" s="837"/>
      <c r="J24" s="837"/>
      <c r="K24" s="837"/>
      <c r="L24" s="837"/>
      <c r="M24" s="838"/>
      <c r="N24" s="832"/>
    </row>
    <row r="25" spans="1:14" ht="20.25" customHeight="1">
      <c r="A25" s="827"/>
      <c r="B25" s="840" t="s">
        <v>1236</v>
      </c>
      <c r="C25" s="835">
        <f>SUM('4.mell.'!G17)</f>
        <v>119000</v>
      </c>
      <c r="D25" s="836"/>
      <c r="E25" s="837"/>
      <c r="F25" s="837"/>
      <c r="G25" s="837"/>
      <c r="H25" s="837"/>
      <c r="I25" s="837"/>
      <c r="J25" s="837"/>
      <c r="K25" s="837"/>
      <c r="L25" s="837"/>
      <c r="M25" s="838"/>
      <c r="N25" s="832"/>
    </row>
    <row r="26" spans="1:14" ht="21.75" customHeight="1">
      <c r="A26" s="827"/>
      <c r="B26" s="840" t="s">
        <v>1153</v>
      </c>
      <c r="C26" s="835">
        <f>SUM('5.mell. '!G16)</f>
        <v>25000</v>
      </c>
      <c r="D26" s="836"/>
      <c r="E26" s="837"/>
      <c r="F26" s="837"/>
      <c r="G26" s="837"/>
      <c r="H26" s="837"/>
      <c r="I26" s="837"/>
      <c r="J26" s="837"/>
      <c r="K26" s="837"/>
      <c r="L26" s="837"/>
      <c r="M26" s="838"/>
      <c r="N26" s="832"/>
    </row>
    <row r="27" spans="1:14" ht="21.75" customHeight="1">
      <c r="A27" s="827"/>
      <c r="B27" s="840" t="s">
        <v>1239</v>
      </c>
      <c r="C27" s="835">
        <f>SUM('5.mell. '!G31)</f>
        <v>1905</v>
      </c>
      <c r="D27" s="836"/>
      <c r="E27" s="837"/>
      <c r="F27" s="837"/>
      <c r="G27" s="837"/>
      <c r="H27" s="837"/>
      <c r="I27" s="837"/>
      <c r="J27" s="837"/>
      <c r="K27" s="837"/>
      <c r="L27" s="837"/>
      <c r="M27" s="838"/>
      <c r="N27" s="832"/>
    </row>
    <row r="28" spans="1:14" ht="21" customHeight="1">
      <c r="A28" s="827"/>
      <c r="B28" s="833" t="s">
        <v>649</v>
      </c>
      <c r="C28" s="835">
        <f>SUM('5.mell. '!G11)</f>
        <v>2008</v>
      </c>
      <c r="D28" s="836"/>
      <c r="E28" s="837"/>
      <c r="F28" s="837"/>
      <c r="G28" s="837"/>
      <c r="H28" s="837"/>
      <c r="I28" s="837"/>
      <c r="J28" s="837"/>
      <c r="K28" s="837"/>
      <c r="L28" s="837"/>
      <c r="M28" s="838"/>
      <c r="N28" s="832"/>
    </row>
    <row r="29" spans="1:14" ht="21" customHeight="1">
      <c r="A29" s="827" t="s">
        <v>164</v>
      </c>
      <c r="B29" s="841" t="s">
        <v>650</v>
      </c>
      <c r="C29" s="842">
        <f>SUM(C30)</f>
        <v>19173</v>
      </c>
      <c r="D29" s="830">
        <f>SUM(E29:N29)</f>
        <v>19173</v>
      </c>
      <c r="E29" s="830"/>
      <c r="F29" s="830">
        <v>18400</v>
      </c>
      <c r="G29" s="830"/>
      <c r="H29" s="830"/>
      <c r="I29" s="830"/>
      <c r="J29" s="830"/>
      <c r="K29" s="830"/>
      <c r="L29" s="830">
        <v>773</v>
      </c>
      <c r="M29" s="830"/>
      <c r="N29" s="832"/>
    </row>
    <row r="30" spans="1:14" ht="21" customHeight="1">
      <c r="A30" s="827"/>
      <c r="B30" s="843" t="s">
        <v>651</v>
      </c>
      <c r="C30" s="844">
        <f>SUM('3d.m.'!G9)</f>
        <v>19173</v>
      </c>
      <c r="D30" s="844"/>
      <c r="E30" s="845"/>
      <c r="F30" s="845"/>
      <c r="G30" s="845"/>
      <c r="H30" s="845"/>
      <c r="I30" s="845"/>
      <c r="J30" s="845"/>
      <c r="K30" s="845"/>
      <c r="L30" s="845"/>
      <c r="M30" s="846"/>
      <c r="N30" s="832"/>
    </row>
    <row r="31" spans="1:14" ht="21" customHeight="1">
      <c r="A31" s="827" t="s">
        <v>165</v>
      </c>
      <c r="B31" s="841" t="s">
        <v>652</v>
      </c>
      <c r="C31" s="842">
        <f>SUM(C32:C32)</f>
        <v>976524</v>
      </c>
      <c r="D31" s="830">
        <f>SUM(E31:M31)</f>
        <v>976524</v>
      </c>
      <c r="E31" s="845"/>
      <c r="F31" s="847">
        <v>764270</v>
      </c>
      <c r="G31" s="847"/>
      <c r="H31" s="845"/>
      <c r="I31" s="845"/>
      <c r="J31" s="845"/>
      <c r="K31" s="845"/>
      <c r="L31" s="847">
        <v>212254</v>
      </c>
      <c r="M31" s="846"/>
      <c r="N31" s="832"/>
    </row>
    <row r="32" spans="1:14" ht="29.1" customHeight="1">
      <c r="A32" s="827"/>
      <c r="B32" s="848" t="s">
        <v>653</v>
      </c>
      <c r="C32" s="844">
        <f>SUM('3c.m.'!G318)</f>
        <v>976524</v>
      </c>
      <c r="D32" s="844"/>
      <c r="E32" s="845"/>
      <c r="F32" s="845"/>
      <c r="G32" s="845"/>
      <c r="H32" s="845"/>
      <c r="I32" s="845"/>
      <c r="J32" s="845"/>
      <c r="K32" s="845"/>
      <c r="L32" s="845"/>
      <c r="M32" s="846"/>
      <c r="N32" s="832"/>
    </row>
    <row r="33" spans="1:14" ht="21" customHeight="1">
      <c r="A33" s="827" t="s">
        <v>166</v>
      </c>
      <c r="B33" s="841" t="s">
        <v>654</v>
      </c>
      <c r="C33" s="842">
        <f>SUM(C34)</f>
        <v>846772</v>
      </c>
      <c r="D33" s="830">
        <f>SUM(E33:N33)</f>
        <v>846772</v>
      </c>
      <c r="E33" s="847"/>
      <c r="F33" s="847">
        <v>30000</v>
      </c>
      <c r="G33" s="847">
        <v>694664</v>
      </c>
      <c r="H33" s="845"/>
      <c r="I33" s="845"/>
      <c r="J33" s="845"/>
      <c r="K33" s="845"/>
      <c r="L33" s="847">
        <v>122108</v>
      </c>
      <c r="M33" s="846"/>
      <c r="N33" s="849"/>
    </row>
    <row r="34" spans="1:14" ht="21" customHeight="1">
      <c r="A34" s="827"/>
      <c r="B34" s="843" t="s">
        <v>655</v>
      </c>
      <c r="C34" s="844">
        <f>SUM('3b.m.'!G49)</f>
        <v>846772</v>
      </c>
      <c r="D34" s="844"/>
      <c r="E34" s="845"/>
      <c r="F34" s="845"/>
      <c r="G34" s="845"/>
      <c r="H34" s="845"/>
      <c r="I34" s="845"/>
      <c r="J34" s="845"/>
      <c r="K34" s="845"/>
      <c r="L34" s="845"/>
      <c r="M34" s="846"/>
      <c r="N34" s="832"/>
    </row>
    <row r="35" spans="1:14" ht="21" customHeight="1">
      <c r="A35" s="827" t="s">
        <v>167</v>
      </c>
      <c r="B35" s="841" t="s">
        <v>656</v>
      </c>
      <c r="C35" s="842">
        <f>SUM(C36:C43)</f>
        <v>1259119</v>
      </c>
      <c r="D35" s="830">
        <f>SUM(E35:N35)</f>
        <v>1259119</v>
      </c>
      <c r="E35" s="845"/>
      <c r="F35" s="847">
        <v>1500</v>
      </c>
      <c r="G35" s="847"/>
      <c r="H35" s="845"/>
      <c r="I35" s="847"/>
      <c r="J35" s="845"/>
      <c r="K35" s="847"/>
      <c r="L35" s="847">
        <v>1257619</v>
      </c>
      <c r="M35" s="850"/>
      <c r="N35" s="851"/>
    </row>
    <row r="36" spans="1:14" ht="21" customHeight="1">
      <c r="A36" s="827"/>
      <c r="B36" s="843" t="s">
        <v>657</v>
      </c>
      <c r="C36" s="844">
        <f>SUM('3c.m.'!G310)</f>
        <v>462080</v>
      </c>
      <c r="D36" s="844"/>
      <c r="E36" s="845"/>
      <c r="F36" s="845"/>
      <c r="G36" s="845"/>
      <c r="H36" s="845"/>
      <c r="I36" s="845"/>
      <c r="J36" s="845"/>
      <c r="K36" s="845"/>
      <c r="L36" s="845"/>
      <c r="M36" s="846"/>
      <c r="N36" s="832"/>
    </row>
    <row r="37" spans="1:14" ht="21" customHeight="1">
      <c r="A37" s="827"/>
      <c r="B37" s="843" t="s">
        <v>1036</v>
      </c>
      <c r="C37" s="844">
        <f>SUM('3c.m.'!G334)</f>
        <v>177800</v>
      </c>
      <c r="D37" s="844"/>
      <c r="E37" s="845"/>
      <c r="F37" s="845"/>
      <c r="G37" s="845"/>
      <c r="H37" s="845"/>
      <c r="I37" s="845"/>
      <c r="J37" s="845"/>
      <c r="K37" s="845"/>
      <c r="L37" s="845"/>
      <c r="M37" s="846"/>
      <c r="N37" s="832"/>
    </row>
    <row r="38" spans="1:14" ht="21" customHeight="1">
      <c r="A38" s="827"/>
      <c r="B38" s="843" t="s">
        <v>1023</v>
      </c>
      <c r="C38" s="844">
        <f>SUM('3c.m.'!G112)</f>
        <v>11735</v>
      </c>
      <c r="D38" s="844"/>
      <c r="E38" s="845"/>
      <c r="F38" s="845"/>
      <c r="G38" s="845"/>
      <c r="H38" s="845"/>
      <c r="I38" s="845"/>
      <c r="J38" s="845"/>
      <c r="K38" s="845"/>
      <c r="L38" s="845"/>
      <c r="M38" s="846"/>
      <c r="N38" s="832"/>
    </row>
    <row r="39" spans="1:14" ht="24.95" customHeight="1">
      <c r="A39" s="827"/>
      <c r="B39" s="848" t="s">
        <v>658</v>
      </c>
      <c r="C39" s="844">
        <f>SUM('4.mell.'!G22)</f>
        <v>486329</v>
      </c>
      <c r="D39" s="844"/>
      <c r="E39" s="845"/>
      <c r="F39" s="845"/>
      <c r="G39" s="845"/>
      <c r="H39" s="845"/>
      <c r="I39" s="845"/>
      <c r="J39" s="845"/>
      <c r="K39" s="845"/>
      <c r="L39" s="845"/>
      <c r="M39" s="846"/>
      <c r="N39" s="832"/>
    </row>
    <row r="40" spans="1:14" ht="21" customHeight="1">
      <c r="A40" s="827"/>
      <c r="B40" s="843" t="s">
        <v>659</v>
      </c>
      <c r="C40" s="844">
        <f>SUM('4.mell.'!G26)</f>
        <v>47181</v>
      </c>
      <c r="D40" s="844"/>
      <c r="E40" s="845"/>
      <c r="F40" s="845"/>
      <c r="G40" s="845"/>
      <c r="H40" s="845"/>
      <c r="I40" s="845"/>
      <c r="J40" s="845"/>
      <c r="K40" s="845"/>
      <c r="L40" s="845"/>
      <c r="M40" s="846"/>
      <c r="N40" s="832"/>
    </row>
    <row r="41" spans="1:14" ht="21" customHeight="1">
      <c r="A41" s="827"/>
      <c r="B41" s="843" t="s">
        <v>660</v>
      </c>
      <c r="C41" s="844">
        <f>SUM('4.mell.'!G44)</f>
        <v>44274</v>
      </c>
      <c r="D41" s="844"/>
      <c r="E41" s="845"/>
      <c r="F41" s="845"/>
      <c r="G41" s="845"/>
      <c r="H41" s="845"/>
      <c r="I41" s="845"/>
      <c r="J41" s="845"/>
      <c r="K41" s="845"/>
      <c r="L41" s="845"/>
      <c r="M41" s="846"/>
      <c r="N41" s="832"/>
    </row>
    <row r="42" spans="1:14" ht="21" customHeight="1">
      <c r="A42" s="827"/>
      <c r="B42" s="843" t="s">
        <v>661</v>
      </c>
      <c r="C42" s="844">
        <f>SUM('4.mell.'!G47)</f>
        <v>16160</v>
      </c>
      <c r="D42" s="844"/>
      <c r="E42" s="845"/>
      <c r="F42" s="845"/>
      <c r="G42" s="845"/>
      <c r="H42" s="845"/>
      <c r="I42" s="845"/>
      <c r="J42" s="845"/>
      <c r="K42" s="845"/>
      <c r="L42" s="845"/>
      <c r="M42" s="846"/>
      <c r="N42" s="832"/>
    </row>
    <row r="43" spans="1:14" ht="21" customHeight="1">
      <c r="A43" s="827"/>
      <c r="B43" s="843" t="s">
        <v>662</v>
      </c>
      <c r="C43" s="844">
        <f>SUM('5.mell. '!G19)</f>
        <v>13560</v>
      </c>
      <c r="D43" s="844"/>
      <c r="E43" s="845"/>
      <c r="F43" s="845"/>
      <c r="G43" s="845"/>
      <c r="H43" s="845"/>
      <c r="I43" s="845"/>
      <c r="J43" s="845"/>
      <c r="K43" s="845"/>
      <c r="L43" s="845"/>
      <c r="M43" s="846"/>
      <c r="N43" s="832"/>
    </row>
    <row r="44" spans="1:14" ht="21" customHeight="1">
      <c r="A44" s="827" t="s">
        <v>43</v>
      </c>
      <c r="B44" s="841" t="s">
        <v>663</v>
      </c>
      <c r="C44" s="844"/>
      <c r="D44" s="830">
        <f>SUM(E44:M44)</f>
        <v>0</v>
      </c>
      <c r="E44" s="845"/>
      <c r="F44" s="845"/>
      <c r="G44" s="845"/>
      <c r="H44" s="845"/>
      <c r="I44" s="845"/>
      <c r="J44" s="845"/>
      <c r="K44" s="845"/>
      <c r="L44" s="845"/>
      <c r="M44" s="846"/>
      <c r="N44" s="832"/>
    </row>
    <row r="45" spans="1:14" ht="21" customHeight="1">
      <c r="A45" s="827" t="s">
        <v>369</v>
      </c>
      <c r="B45" s="841" t="s">
        <v>664</v>
      </c>
      <c r="C45" s="844"/>
      <c r="D45" s="830">
        <f>SUM(E45:M45)</f>
        <v>0</v>
      </c>
      <c r="E45" s="845"/>
      <c r="F45" s="845"/>
      <c r="G45" s="845"/>
      <c r="H45" s="845"/>
      <c r="I45" s="845"/>
      <c r="J45" s="845"/>
      <c r="K45" s="845"/>
      <c r="L45" s="845"/>
      <c r="M45" s="846"/>
      <c r="N45" s="832"/>
    </row>
    <row r="46" spans="1:14" ht="21" customHeight="1">
      <c r="A46" s="827" t="s">
        <v>570</v>
      </c>
      <c r="B46" s="841" t="s">
        <v>665</v>
      </c>
      <c r="C46" s="844"/>
      <c r="D46" s="830">
        <f>SUM(E46:M46)</f>
        <v>0</v>
      </c>
      <c r="E46" s="845"/>
      <c r="F46" s="845"/>
      <c r="G46" s="845"/>
      <c r="H46" s="845"/>
      <c r="I46" s="845"/>
      <c r="J46" s="845"/>
      <c r="K46" s="845"/>
      <c r="L46" s="845"/>
      <c r="M46" s="846"/>
      <c r="N46" s="832"/>
    </row>
    <row r="47" spans="1:14" ht="21" customHeight="1">
      <c r="A47" s="827" t="s">
        <v>572</v>
      </c>
      <c r="B47" s="841" t="s">
        <v>666</v>
      </c>
      <c r="C47" s="842">
        <f>SUM(C48:C50)</f>
        <v>124851</v>
      </c>
      <c r="D47" s="830">
        <f>SUM(E47:M47)</f>
        <v>124851</v>
      </c>
      <c r="E47" s="847"/>
      <c r="F47" s="847">
        <v>120961</v>
      </c>
      <c r="G47" s="847"/>
      <c r="H47" s="845"/>
      <c r="I47" s="845"/>
      <c r="J47" s="845"/>
      <c r="K47" s="845"/>
      <c r="L47" s="847">
        <v>3890</v>
      </c>
      <c r="M47" s="846"/>
      <c r="N47" s="832"/>
    </row>
    <row r="48" spans="1:14" ht="21" customHeight="1">
      <c r="A48" s="827"/>
      <c r="B48" s="843" t="s">
        <v>667</v>
      </c>
      <c r="C48" s="844">
        <f>SUM('3c.m.'!G368)</f>
        <v>16890</v>
      </c>
      <c r="D48" s="844"/>
      <c r="E48" s="845"/>
      <c r="F48" s="845"/>
      <c r="G48" s="845"/>
      <c r="H48" s="845"/>
      <c r="I48" s="845"/>
      <c r="J48" s="845"/>
      <c r="K48" s="845"/>
      <c r="L48" s="845"/>
      <c r="M48" s="846"/>
      <c r="N48" s="832"/>
    </row>
    <row r="49" spans="1:14" ht="21" customHeight="1">
      <c r="A49" s="827"/>
      <c r="B49" s="843" t="s">
        <v>668</v>
      </c>
      <c r="C49" s="844">
        <f>SUM('3c.m.'!G624)</f>
        <v>400</v>
      </c>
      <c r="D49" s="844"/>
      <c r="E49" s="845"/>
      <c r="F49" s="845"/>
      <c r="G49" s="845"/>
      <c r="H49" s="845"/>
      <c r="I49" s="845"/>
      <c r="J49" s="845"/>
      <c r="K49" s="845"/>
      <c r="L49" s="845"/>
      <c r="M49" s="846"/>
      <c r="N49" s="832"/>
    </row>
    <row r="50" spans="1:14" ht="21" customHeight="1">
      <c r="A50" s="827"/>
      <c r="B50" s="843" t="s">
        <v>669</v>
      </c>
      <c r="C50" s="844">
        <f>SUM('3c.m.'!G376)-'12.mell'!C18</f>
        <v>107561</v>
      </c>
      <c r="D50" s="844"/>
      <c r="E50" s="845"/>
      <c r="F50" s="845"/>
      <c r="G50" s="845"/>
      <c r="H50" s="845"/>
      <c r="I50" s="845"/>
      <c r="J50" s="845"/>
      <c r="K50" s="845"/>
      <c r="L50" s="845"/>
      <c r="M50" s="846"/>
      <c r="N50" s="832"/>
    </row>
    <row r="51" spans="1:14" ht="21" customHeight="1">
      <c r="A51" s="827" t="s">
        <v>573</v>
      </c>
      <c r="B51" s="841" t="s">
        <v>670</v>
      </c>
      <c r="C51" s="842">
        <f>SUM(C52:C61)</f>
        <v>1320848</v>
      </c>
      <c r="D51" s="830">
        <f>SUM(E51:N51)</f>
        <v>1320848</v>
      </c>
      <c r="E51" s="847">
        <v>845740</v>
      </c>
      <c r="F51" s="847">
        <v>451966</v>
      </c>
      <c r="G51" s="830"/>
      <c r="H51" s="847"/>
      <c r="I51" s="847"/>
      <c r="J51" s="847"/>
      <c r="K51" s="845"/>
      <c r="L51" s="847">
        <v>23142</v>
      </c>
      <c r="M51" s="846"/>
      <c r="N51" s="832"/>
    </row>
    <row r="52" spans="1:14" ht="21" customHeight="1">
      <c r="A52" s="827"/>
      <c r="B52" s="843" t="s">
        <v>671</v>
      </c>
      <c r="C52" s="844">
        <f>SUM('2.mell'!G41)</f>
        <v>172760</v>
      </c>
      <c r="D52" s="830"/>
      <c r="E52" s="847"/>
      <c r="F52" s="845"/>
      <c r="G52" s="845"/>
      <c r="H52" s="845"/>
      <c r="I52" s="845"/>
      <c r="J52" s="845"/>
      <c r="K52" s="845"/>
      <c r="L52" s="845"/>
      <c r="M52" s="846"/>
      <c r="N52" s="832"/>
    </row>
    <row r="53" spans="1:14" ht="21" customHeight="1">
      <c r="A53" s="827"/>
      <c r="B53" s="843" t="s">
        <v>672</v>
      </c>
      <c r="C53" s="844">
        <f>SUM('2.mell'!G75)</f>
        <v>165022</v>
      </c>
      <c r="D53" s="830"/>
      <c r="E53" s="847"/>
      <c r="F53" s="845"/>
      <c r="G53" s="845"/>
      <c r="H53" s="845"/>
      <c r="I53" s="845"/>
      <c r="J53" s="845"/>
      <c r="K53" s="845"/>
      <c r="L53" s="845"/>
      <c r="M53" s="846"/>
      <c r="N53" s="832"/>
    </row>
    <row r="54" spans="1:14" ht="21" customHeight="1">
      <c r="A54" s="827"/>
      <c r="B54" s="843" t="s">
        <v>673</v>
      </c>
      <c r="C54" s="844">
        <f>SUM('2.mell'!G108)</f>
        <v>87122</v>
      </c>
      <c r="D54" s="830"/>
      <c r="E54" s="847"/>
      <c r="F54" s="845"/>
      <c r="G54" s="845"/>
      <c r="H54" s="845"/>
      <c r="I54" s="845"/>
      <c r="J54" s="845"/>
      <c r="K54" s="845"/>
      <c r="L54" s="845"/>
      <c r="M54" s="846"/>
      <c r="N54" s="832"/>
    </row>
    <row r="55" spans="1:14" ht="21" customHeight="1">
      <c r="A55" s="827"/>
      <c r="B55" s="843" t="s">
        <v>674</v>
      </c>
      <c r="C55" s="844">
        <f>SUM('2.mell'!G175)</f>
        <v>177098</v>
      </c>
      <c r="D55" s="830"/>
      <c r="E55" s="847"/>
      <c r="F55" s="845"/>
      <c r="G55" s="845"/>
      <c r="H55" s="845"/>
      <c r="I55" s="845"/>
      <c r="J55" s="845"/>
      <c r="K55" s="845"/>
      <c r="L55" s="845"/>
      <c r="M55" s="846"/>
      <c r="N55" s="832"/>
    </row>
    <row r="56" spans="1:14" ht="21" customHeight="1">
      <c r="A56" s="827"/>
      <c r="B56" s="843" t="s">
        <v>675</v>
      </c>
      <c r="C56" s="844">
        <f>SUM('2.mell'!G142)</f>
        <v>290586</v>
      </c>
      <c r="D56" s="830"/>
      <c r="E56" s="847"/>
      <c r="F56" s="845"/>
      <c r="G56" s="845"/>
      <c r="H56" s="845"/>
      <c r="I56" s="845"/>
      <c r="J56" s="845"/>
      <c r="K56" s="845"/>
      <c r="L56" s="845"/>
      <c r="M56" s="846"/>
      <c r="N56" s="832"/>
    </row>
    <row r="57" spans="1:14" ht="21" customHeight="1">
      <c r="A57" s="827"/>
      <c r="B57" s="843" t="s">
        <v>676</v>
      </c>
      <c r="C57" s="844">
        <f>SUM('2.mell'!G206)</f>
        <v>131919</v>
      </c>
      <c r="D57" s="830"/>
      <c r="E57" s="847"/>
      <c r="F57" s="845"/>
      <c r="G57" s="845"/>
      <c r="H57" s="845"/>
      <c r="I57" s="845"/>
      <c r="J57" s="845"/>
      <c r="K57" s="845"/>
      <c r="L57" s="845"/>
      <c r="M57" s="846"/>
      <c r="N57" s="832"/>
    </row>
    <row r="58" spans="1:14" ht="21" customHeight="1">
      <c r="A58" s="827"/>
      <c r="B58" s="843" t="s">
        <v>677</v>
      </c>
      <c r="C58" s="844">
        <f>SUM('2.mell'!G239)</f>
        <v>94382</v>
      </c>
      <c r="D58" s="830"/>
      <c r="E58" s="847"/>
      <c r="F58" s="845"/>
      <c r="G58" s="845"/>
      <c r="H58" s="845"/>
      <c r="I58" s="845"/>
      <c r="J58" s="845"/>
      <c r="K58" s="845"/>
      <c r="L58" s="845"/>
      <c r="M58" s="846"/>
      <c r="N58" s="832"/>
    </row>
    <row r="59" spans="1:14" ht="21" customHeight="1">
      <c r="A59" s="827"/>
      <c r="B59" s="843" t="s">
        <v>678</v>
      </c>
      <c r="C59" s="844">
        <f>SUM('2.mell'!G272)</f>
        <v>92012</v>
      </c>
      <c r="D59" s="830"/>
      <c r="E59" s="847"/>
      <c r="F59" s="845"/>
      <c r="G59" s="845"/>
      <c r="H59" s="845"/>
      <c r="I59" s="845"/>
      <c r="J59" s="845"/>
      <c r="K59" s="845"/>
      <c r="L59" s="845"/>
      <c r="M59" s="846"/>
      <c r="N59" s="832"/>
    </row>
    <row r="60" spans="1:14" ht="21" customHeight="1">
      <c r="A60" s="827"/>
      <c r="B60" s="843" t="s">
        <v>679</v>
      </c>
      <c r="C60" s="844">
        <f>SUM('2.mell'!G305)</f>
        <v>93607</v>
      </c>
      <c r="D60" s="830"/>
      <c r="E60" s="847"/>
      <c r="F60" s="845"/>
      <c r="G60" s="845"/>
      <c r="H60" s="845"/>
      <c r="I60" s="845"/>
      <c r="J60" s="845"/>
      <c r="K60" s="845"/>
      <c r="L60" s="845"/>
      <c r="M60" s="846"/>
      <c r="N60" s="832"/>
    </row>
    <row r="61" spans="1:14" ht="21" customHeight="1">
      <c r="A61" s="827"/>
      <c r="B61" s="843" t="s">
        <v>1117</v>
      </c>
      <c r="C61" s="844">
        <f>SUM('3c.m.'!G205)</f>
        <v>16340</v>
      </c>
      <c r="D61" s="830"/>
      <c r="E61" s="847"/>
      <c r="F61" s="845"/>
      <c r="G61" s="845"/>
      <c r="H61" s="845"/>
      <c r="I61" s="845"/>
      <c r="J61" s="845"/>
      <c r="K61" s="845"/>
      <c r="L61" s="845"/>
      <c r="M61" s="846"/>
      <c r="N61" s="832"/>
    </row>
    <row r="62" spans="1:14" ht="21" customHeight="1">
      <c r="A62" s="827" t="s">
        <v>575</v>
      </c>
      <c r="B62" s="841" t="s">
        <v>680</v>
      </c>
      <c r="C62" s="842">
        <f>SUM(C63:C75)</f>
        <v>76682</v>
      </c>
      <c r="D62" s="830">
        <f>SUM(E62:N62)</f>
        <v>76682</v>
      </c>
      <c r="E62" s="847"/>
      <c r="F62" s="847">
        <v>60238</v>
      </c>
      <c r="G62" s="847">
        <v>3770</v>
      </c>
      <c r="H62" s="847"/>
      <c r="I62" s="845"/>
      <c r="J62" s="845"/>
      <c r="K62" s="845"/>
      <c r="L62" s="847">
        <v>12674</v>
      </c>
      <c r="M62" s="846"/>
      <c r="N62" s="832"/>
    </row>
    <row r="63" spans="1:14" ht="21" customHeight="1">
      <c r="A63" s="852"/>
      <c r="B63" s="843" t="s">
        <v>681</v>
      </c>
      <c r="C63" s="844">
        <f>SUM('3c.m.'!G68)</f>
        <v>31972</v>
      </c>
      <c r="D63" s="844"/>
      <c r="E63" s="845"/>
      <c r="F63" s="845"/>
      <c r="G63" s="845"/>
      <c r="H63" s="845"/>
      <c r="I63" s="845"/>
      <c r="J63" s="845"/>
      <c r="K63" s="845"/>
      <c r="L63" s="845"/>
      <c r="M63" s="846"/>
      <c r="N63" s="832"/>
    </row>
    <row r="64" spans="1:14" ht="21" customHeight="1">
      <c r="A64" s="852"/>
      <c r="B64" s="843" t="s">
        <v>682</v>
      </c>
      <c r="C64" s="844">
        <f>SUM('3c.m.'!G437)</f>
        <v>9006</v>
      </c>
      <c r="D64" s="844"/>
      <c r="E64" s="845"/>
      <c r="F64" s="845"/>
      <c r="G64" s="845"/>
      <c r="H64" s="845"/>
      <c r="I64" s="845"/>
      <c r="J64" s="845"/>
      <c r="K64" s="845"/>
      <c r="L64" s="845"/>
      <c r="M64" s="846"/>
      <c r="N64" s="832"/>
    </row>
    <row r="65" spans="1:14" ht="21" customHeight="1">
      <c r="A65" s="852"/>
      <c r="B65" s="843" t="s">
        <v>683</v>
      </c>
      <c r="C65" s="844">
        <f>SUM('3c.m.'!G486)</f>
        <v>0</v>
      </c>
      <c r="D65" s="844"/>
      <c r="E65" s="845"/>
      <c r="F65" s="845"/>
      <c r="G65" s="845"/>
      <c r="H65" s="845"/>
      <c r="I65" s="845"/>
      <c r="J65" s="845"/>
      <c r="K65" s="845"/>
      <c r="L65" s="845"/>
      <c r="M65" s="846"/>
      <c r="N65" s="832"/>
    </row>
    <row r="66" spans="1:14" ht="21" customHeight="1">
      <c r="A66" s="852"/>
      <c r="B66" s="843" t="s">
        <v>684</v>
      </c>
      <c r="C66" s="844">
        <f>SUM('3c.m.'!G495)</f>
        <v>1097</v>
      </c>
      <c r="D66" s="844"/>
      <c r="E66" s="845"/>
      <c r="F66" s="845"/>
      <c r="G66" s="845"/>
      <c r="H66" s="845"/>
      <c r="I66" s="845"/>
      <c r="J66" s="845"/>
      <c r="K66" s="845"/>
      <c r="L66" s="845"/>
      <c r="M66" s="846"/>
      <c r="N66" s="832"/>
    </row>
    <row r="67" spans="1:14" ht="21" customHeight="1">
      <c r="A67" s="852"/>
      <c r="B67" s="843" t="s">
        <v>685</v>
      </c>
      <c r="C67" s="844">
        <f>SUM('3c.m.'!G511)</f>
        <v>7500</v>
      </c>
      <c r="D67" s="844"/>
      <c r="E67" s="845"/>
      <c r="F67" s="845"/>
      <c r="G67" s="845"/>
      <c r="H67" s="845"/>
      <c r="I67" s="845"/>
      <c r="J67" s="845"/>
      <c r="K67" s="845"/>
      <c r="L67" s="845"/>
      <c r="M67" s="846"/>
      <c r="N67" s="832"/>
    </row>
    <row r="68" spans="1:14" ht="21" customHeight="1">
      <c r="A68" s="852"/>
      <c r="B68" s="843" t="s">
        <v>686</v>
      </c>
      <c r="C68" s="844">
        <f>SUM('3c.m.'!G559)</f>
        <v>8079</v>
      </c>
      <c r="D68" s="844"/>
      <c r="E68" s="845"/>
      <c r="F68" s="845"/>
      <c r="G68" s="845"/>
      <c r="H68" s="845"/>
      <c r="I68" s="845"/>
      <c r="J68" s="845"/>
      <c r="K68" s="845"/>
      <c r="L68" s="845"/>
      <c r="M68" s="846"/>
      <c r="N68" s="832"/>
    </row>
    <row r="69" spans="1:14" ht="21" customHeight="1">
      <c r="A69" s="852"/>
      <c r="B69" s="843" t="s">
        <v>687</v>
      </c>
      <c r="C69" s="844">
        <f>SUM('3c.m.'!G567)</f>
        <v>1785</v>
      </c>
      <c r="D69" s="844"/>
      <c r="E69" s="845"/>
      <c r="F69" s="845"/>
      <c r="G69" s="845"/>
      <c r="H69" s="845"/>
      <c r="I69" s="845"/>
      <c r="J69" s="845"/>
      <c r="K69" s="845"/>
      <c r="L69" s="845"/>
      <c r="M69" s="846"/>
      <c r="N69" s="832"/>
    </row>
    <row r="70" spans="1:14" ht="21" customHeight="1">
      <c r="A70" s="852"/>
      <c r="B70" s="843" t="s">
        <v>688</v>
      </c>
      <c r="C70" s="844">
        <f>SUM('3c.m.'!G576)</f>
        <v>880</v>
      </c>
      <c r="D70" s="844"/>
      <c r="E70" s="845"/>
      <c r="F70" s="845"/>
      <c r="G70" s="845"/>
      <c r="H70" s="845"/>
      <c r="I70" s="845"/>
      <c r="J70" s="845"/>
      <c r="K70" s="845"/>
      <c r="L70" s="845"/>
      <c r="M70" s="846"/>
      <c r="N70" s="832"/>
    </row>
    <row r="71" spans="1:14" ht="21" customHeight="1">
      <c r="A71" s="852"/>
      <c r="B71" s="843" t="s">
        <v>689</v>
      </c>
      <c r="C71" s="844">
        <f>SUM('3c.m.'!G600)</f>
        <v>600</v>
      </c>
      <c r="D71" s="844"/>
      <c r="E71" s="845"/>
      <c r="F71" s="845"/>
      <c r="G71" s="845"/>
      <c r="H71" s="845"/>
      <c r="I71" s="845"/>
      <c r="J71" s="845"/>
      <c r="K71" s="845"/>
      <c r="L71" s="845"/>
      <c r="M71" s="846"/>
      <c r="N71" s="832"/>
    </row>
    <row r="72" spans="1:14" ht="21" customHeight="1">
      <c r="A72" s="852"/>
      <c r="B72" s="843" t="s">
        <v>690</v>
      </c>
      <c r="C72" s="844">
        <f>SUM('3c.m.'!G608)</f>
        <v>4433</v>
      </c>
      <c r="D72" s="844"/>
      <c r="E72" s="845"/>
      <c r="F72" s="845"/>
      <c r="G72" s="845"/>
      <c r="H72" s="845"/>
      <c r="I72" s="845"/>
      <c r="J72" s="845"/>
      <c r="K72" s="845"/>
      <c r="L72" s="845"/>
      <c r="M72" s="846"/>
      <c r="N72" s="832"/>
    </row>
    <row r="73" spans="1:14" ht="21" customHeight="1">
      <c r="A73" s="852"/>
      <c r="B73" s="843" t="s">
        <v>691</v>
      </c>
      <c r="C73" s="844">
        <f>SUM('3c.m.'!G616)</f>
        <v>2000</v>
      </c>
      <c r="D73" s="844"/>
      <c r="E73" s="845"/>
      <c r="F73" s="845"/>
      <c r="G73" s="845"/>
      <c r="H73" s="845"/>
      <c r="I73" s="845"/>
      <c r="J73" s="845"/>
      <c r="K73" s="845"/>
      <c r="L73" s="845"/>
      <c r="M73" s="846"/>
      <c r="N73" s="832"/>
    </row>
    <row r="74" spans="1:14" ht="21" customHeight="1">
      <c r="A74" s="852"/>
      <c r="B74" s="843" t="s">
        <v>692</v>
      </c>
      <c r="C74" s="844">
        <f>SUM('3c.m.'!G632)</f>
        <v>4560</v>
      </c>
      <c r="D74" s="844"/>
      <c r="E74" s="845"/>
      <c r="F74" s="845"/>
      <c r="G74" s="845"/>
      <c r="H74" s="845"/>
      <c r="I74" s="845"/>
      <c r="J74" s="845"/>
      <c r="K74" s="845"/>
      <c r="L74" s="845"/>
      <c r="M74" s="846"/>
      <c r="N74" s="832"/>
    </row>
    <row r="75" spans="1:14" ht="21" customHeight="1">
      <c r="A75" s="852"/>
      <c r="B75" s="843" t="s">
        <v>1135</v>
      </c>
      <c r="C75" s="844">
        <f>SUM('3c.m.'!G640)</f>
        <v>4770</v>
      </c>
      <c r="D75" s="844"/>
      <c r="E75" s="845"/>
      <c r="F75" s="845"/>
      <c r="G75" s="845"/>
      <c r="H75" s="845"/>
      <c r="I75" s="845"/>
      <c r="J75" s="845"/>
      <c r="K75" s="845"/>
      <c r="L75" s="845"/>
      <c r="M75" s="846"/>
      <c r="N75" s="832"/>
    </row>
    <row r="76" spans="1:14" ht="21" customHeight="1">
      <c r="A76" s="827" t="s">
        <v>577</v>
      </c>
      <c r="B76" s="841" t="s">
        <v>693</v>
      </c>
      <c r="C76" s="842">
        <f>SUM(C77:C77)</f>
        <v>2053</v>
      </c>
      <c r="D76" s="830">
        <f>SUM(E76:N76)</f>
        <v>2053</v>
      </c>
      <c r="E76" s="845"/>
      <c r="F76" s="847">
        <v>1540</v>
      </c>
      <c r="G76" s="847"/>
      <c r="H76" s="845"/>
      <c r="I76" s="845"/>
      <c r="J76" s="845"/>
      <c r="K76" s="845"/>
      <c r="L76" s="847">
        <v>513</v>
      </c>
      <c r="M76" s="846"/>
      <c r="N76" s="832"/>
    </row>
    <row r="77" spans="1:14" ht="21" customHeight="1">
      <c r="A77" s="827"/>
      <c r="B77" s="843" t="s">
        <v>694</v>
      </c>
      <c r="C77" s="844">
        <f>SUM('3c.m.'!G592)</f>
        <v>2053</v>
      </c>
      <c r="D77" s="844"/>
      <c r="E77" s="845"/>
      <c r="F77" s="845"/>
      <c r="G77" s="845"/>
      <c r="H77" s="845"/>
      <c r="I77" s="845"/>
      <c r="J77" s="845"/>
      <c r="K77" s="845"/>
      <c r="L77" s="845"/>
      <c r="M77" s="846"/>
      <c r="N77" s="832"/>
    </row>
    <row r="78" spans="1:14" ht="21" customHeight="1">
      <c r="A78" s="827" t="s">
        <v>579</v>
      </c>
      <c r="B78" s="841" t="s">
        <v>695</v>
      </c>
      <c r="C78" s="842">
        <f>SUM(C79:C85)</f>
        <v>254822</v>
      </c>
      <c r="D78" s="830">
        <f>SUM(E78:N78)</f>
        <v>254822</v>
      </c>
      <c r="E78" s="847">
        <v>217170</v>
      </c>
      <c r="F78" s="847">
        <v>20520</v>
      </c>
      <c r="G78" s="847"/>
      <c r="H78" s="845"/>
      <c r="I78" s="845"/>
      <c r="J78" s="845"/>
      <c r="K78" s="845"/>
      <c r="L78" s="847">
        <v>17132</v>
      </c>
      <c r="M78" s="846"/>
      <c r="N78" s="832"/>
    </row>
    <row r="79" spans="1:14" ht="21" customHeight="1">
      <c r="A79" s="852"/>
      <c r="B79" s="843" t="s">
        <v>696</v>
      </c>
      <c r="C79" s="844">
        <f>SUM('3c.m.'!G805)</f>
        <v>3000</v>
      </c>
      <c r="D79" s="844"/>
      <c r="E79" s="845"/>
      <c r="F79" s="845"/>
      <c r="G79" s="845"/>
      <c r="H79" s="845"/>
      <c r="I79" s="845"/>
      <c r="J79" s="845"/>
      <c r="K79" s="845"/>
      <c r="L79" s="845"/>
      <c r="M79" s="846"/>
      <c r="N79" s="832"/>
    </row>
    <row r="80" spans="1:14" ht="21" customHeight="1">
      <c r="A80" s="852"/>
      <c r="B80" s="843" t="s">
        <v>697</v>
      </c>
      <c r="C80" s="844">
        <f>SUM('3c.m.'!G813)</f>
        <v>2500</v>
      </c>
      <c r="D80" s="844"/>
      <c r="E80" s="845"/>
      <c r="F80" s="845"/>
      <c r="G80" s="845"/>
      <c r="H80" s="845"/>
      <c r="I80" s="845"/>
      <c r="J80" s="845"/>
      <c r="K80" s="845"/>
      <c r="L80" s="845"/>
      <c r="M80" s="846"/>
      <c r="N80" s="832"/>
    </row>
    <row r="81" spans="1:14" ht="21" customHeight="1">
      <c r="A81" s="852"/>
      <c r="B81" s="843" t="s">
        <v>698</v>
      </c>
      <c r="C81" s="844">
        <f>SUM('3c.m.'!G821)</f>
        <v>5000</v>
      </c>
      <c r="D81" s="844"/>
      <c r="E81" s="845"/>
      <c r="F81" s="845"/>
      <c r="G81" s="845"/>
      <c r="H81" s="845"/>
      <c r="I81" s="845"/>
      <c r="J81" s="845"/>
      <c r="K81" s="845"/>
      <c r="L81" s="845"/>
      <c r="M81" s="846"/>
      <c r="N81" s="832"/>
    </row>
    <row r="82" spans="1:14" ht="21" customHeight="1">
      <c r="A82" s="852"/>
      <c r="B82" s="843" t="s">
        <v>699</v>
      </c>
      <c r="C82" s="844">
        <f>SUM('3c.m.'!G829)</f>
        <v>5000</v>
      </c>
      <c r="D82" s="844"/>
      <c r="E82" s="845"/>
      <c r="F82" s="845"/>
      <c r="G82" s="845"/>
      <c r="H82" s="845"/>
      <c r="I82" s="845"/>
      <c r="J82" s="845"/>
      <c r="K82" s="845"/>
      <c r="L82" s="845"/>
      <c r="M82" s="846"/>
      <c r="N82" s="832"/>
    </row>
    <row r="83" spans="1:14" ht="21" customHeight="1">
      <c r="A83" s="852"/>
      <c r="B83" s="843" t="s">
        <v>700</v>
      </c>
      <c r="C83" s="844">
        <f>SUM('3d.m.'!G26)</f>
        <v>2000</v>
      </c>
      <c r="D83" s="844"/>
      <c r="E83" s="845"/>
      <c r="F83" s="845"/>
      <c r="G83" s="845"/>
      <c r="H83" s="845"/>
      <c r="I83" s="845"/>
      <c r="J83" s="845"/>
      <c r="K83" s="845"/>
      <c r="L83" s="845"/>
      <c r="M83" s="846"/>
      <c r="N83" s="832"/>
    </row>
    <row r="84" spans="1:14" ht="21" customHeight="1">
      <c r="A84" s="852"/>
      <c r="B84" s="843" t="s">
        <v>701</v>
      </c>
      <c r="C84" s="844">
        <f>SUM('3d.m.'!G42)</f>
        <v>233970</v>
      </c>
      <c r="D84" s="844"/>
      <c r="E84" s="845"/>
      <c r="F84" s="845"/>
      <c r="G84" s="845"/>
      <c r="H84" s="845"/>
      <c r="I84" s="845"/>
      <c r="J84" s="845"/>
      <c r="K84" s="845"/>
      <c r="L84" s="845"/>
      <c r="M84" s="846"/>
      <c r="N84" s="832"/>
    </row>
    <row r="85" spans="1:14" ht="21" customHeight="1">
      <c r="A85" s="852"/>
      <c r="B85" s="853" t="s">
        <v>702</v>
      </c>
      <c r="C85" s="844">
        <f>SUM('3d.m.'!G44)</f>
        <v>3352</v>
      </c>
      <c r="D85" s="844"/>
      <c r="E85" s="845"/>
      <c r="F85" s="845"/>
      <c r="G85" s="845"/>
      <c r="H85" s="845"/>
      <c r="I85" s="845"/>
      <c r="J85" s="845"/>
      <c r="K85" s="845"/>
      <c r="L85" s="845"/>
      <c r="M85" s="846"/>
      <c r="N85" s="832"/>
    </row>
    <row r="86" spans="1:14" ht="21" customHeight="1">
      <c r="A86" s="827" t="s">
        <v>581</v>
      </c>
      <c r="B86" s="841" t="s">
        <v>703</v>
      </c>
      <c r="C86" s="842">
        <f>SUM(C87:C105)</f>
        <v>2115544</v>
      </c>
      <c r="D86" s="830">
        <f>SUM(E86:N86)</f>
        <v>2115544</v>
      </c>
      <c r="E86" s="845"/>
      <c r="F86" s="847"/>
      <c r="G86" s="847"/>
      <c r="H86" s="847"/>
      <c r="I86" s="847"/>
      <c r="J86" s="845"/>
      <c r="K86" s="845"/>
      <c r="L86" s="847">
        <v>1466544</v>
      </c>
      <c r="M86" s="850">
        <v>649000</v>
      </c>
      <c r="N86" s="854"/>
    </row>
    <row r="87" spans="1:14" ht="21" customHeight="1">
      <c r="A87" s="852"/>
      <c r="B87" s="843" t="s">
        <v>704</v>
      </c>
      <c r="C87" s="844">
        <f>SUM('3c.m.'!G78)</f>
        <v>430576</v>
      </c>
      <c r="D87" s="844"/>
      <c r="E87" s="845"/>
      <c r="F87" s="845"/>
      <c r="G87" s="845"/>
      <c r="H87" s="845"/>
      <c r="I87" s="845"/>
      <c r="J87" s="845"/>
      <c r="K87" s="845"/>
      <c r="L87" s="845"/>
      <c r="M87" s="846"/>
      <c r="N87" s="832"/>
    </row>
    <row r="88" spans="1:14" ht="21" customHeight="1">
      <c r="A88" s="852"/>
      <c r="B88" s="843" t="s">
        <v>705</v>
      </c>
      <c r="C88" s="844">
        <f>SUM('3c.m.'!G96)</f>
        <v>100059</v>
      </c>
      <c r="D88" s="844"/>
      <c r="E88" s="845"/>
      <c r="F88" s="845"/>
      <c r="G88" s="845"/>
      <c r="H88" s="845"/>
      <c r="I88" s="845"/>
      <c r="J88" s="845"/>
      <c r="K88" s="845"/>
      <c r="L88" s="845"/>
      <c r="M88" s="846"/>
      <c r="N88" s="832"/>
    </row>
    <row r="89" spans="1:14" ht="21" customHeight="1">
      <c r="A89" s="852"/>
      <c r="B89" s="833" t="s">
        <v>706</v>
      </c>
      <c r="C89" s="844">
        <f>SUM('3c.m.'!G104)</f>
        <v>30950</v>
      </c>
      <c r="D89" s="844"/>
      <c r="E89" s="845"/>
      <c r="F89" s="845"/>
      <c r="G89" s="845"/>
      <c r="H89" s="845"/>
      <c r="I89" s="845"/>
      <c r="J89" s="845"/>
      <c r="K89" s="845"/>
      <c r="L89" s="845"/>
      <c r="M89" s="846"/>
      <c r="N89" s="832"/>
    </row>
    <row r="90" spans="1:14" ht="21" customHeight="1">
      <c r="A90" s="852"/>
      <c r="B90" s="833" t="s">
        <v>707</v>
      </c>
      <c r="C90" s="844">
        <f>SUM('3c.m.'!G121)</f>
        <v>10000</v>
      </c>
      <c r="D90" s="844"/>
      <c r="E90" s="845"/>
      <c r="F90" s="845"/>
      <c r="G90" s="845"/>
      <c r="H90" s="845"/>
      <c r="I90" s="845"/>
      <c r="J90" s="845"/>
      <c r="K90" s="845"/>
      <c r="L90" s="845"/>
      <c r="M90" s="846"/>
      <c r="N90" s="832"/>
    </row>
    <row r="91" spans="1:14" ht="21" customHeight="1">
      <c r="A91" s="852"/>
      <c r="B91" s="833" t="s">
        <v>708</v>
      </c>
      <c r="C91" s="844">
        <f>SUM('3c.m.'!G129)</f>
        <v>18050</v>
      </c>
      <c r="D91" s="844"/>
      <c r="E91" s="845"/>
      <c r="F91" s="845"/>
      <c r="G91" s="845"/>
      <c r="H91" s="845"/>
      <c r="I91" s="845"/>
      <c r="J91" s="845"/>
      <c r="K91" s="845"/>
      <c r="L91" s="845"/>
      <c r="M91" s="846"/>
      <c r="N91" s="832"/>
    </row>
    <row r="92" spans="1:14" ht="21" customHeight="1">
      <c r="A92" s="852"/>
      <c r="B92" s="833" t="s">
        <v>709</v>
      </c>
      <c r="C92" s="844">
        <f>SUM('3c.m.'!G137)</f>
        <v>20911</v>
      </c>
      <c r="D92" s="844"/>
      <c r="E92" s="845"/>
      <c r="F92" s="845"/>
      <c r="G92" s="845"/>
      <c r="H92" s="845"/>
      <c r="I92" s="845"/>
      <c r="J92" s="845"/>
      <c r="K92" s="845"/>
      <c r="L92" s="845"/>
      <c r="M92" s="846"/>
      <c r="N92" s="832"/>
    </row>
    <row r="93" spans="1:14" ht="21" customHeight="1">
      <c r="A93" s="852"/>
      <c r="B93" s="833" t="s">
        <v>710</v>
      </c>
      <c r="C93" s="844">
        <f>SUM('3c.m.'!G145)</f>
        <v>11280</v>
      </c>
      <c r="D93" s="844"/>
      <c r="E93" s="845"/>
      <c r="F93" s="845"/>
      <c r="G93" s="845"/>
      <c r="H93" s="845"/>
      <c r="I93" s="845"/>
      <c r="J93" s="845"/>
      <c r="K93" s="845"/>
      <c r="L93" s="845"/>
      <c r="M93" s="846"/>
      <c r="N93" s="832"/>
    </row>
    <row r="94" spans="1:14" ht="21" customHeight="1">
      <c r="A94" s="852"/>
      <c r="B94" s="833" t="s">
        <v>711</v>
      </c>
      <c r="C94" s="844">
        <f>SUM('3c.m.'!G326)</f>
        <v>525972</v>
      </c>
      <c r="D94" s="844"/>
      <c r="E94" s="845"/>
      <c r="F94" s="845"/>
      <c r="G94" s="845"/>
      <c r="H94" s="845"/>
      <c r="I94" s="845"/>
      <c r="J94" s="845"/>
      <c r="K94" s="845"/>
      <c r="L94" s="845"/>
      <c r="M94" s="846"/>
      <c r="N94" s="832"/>
    </row>
    <row r="95" spans="1:14" ht="21" customHeight="1">
      <c r="A95" s="852"/>
      <c r="B95" s="843" t="s">
        <v>712</v>
      </c>
      <c r="C95" s="844">
        <f>SUM('4.mell.'!G29)</f>
        <v>127554</v>
      </c>
      <c r="D95" s="844"/>
      <c r="E95" s="845"/>
      <c r="F95" s="845"/>
      <c r="G95" s="845"/>
      <c r="H95" s="845"/>
      <c r="I95" s="845"/>
      <c r="J95" s="845"/>
      <c r="K95" s="845"/>
      <c r="L95" s="845"/>
      <c r="M95" s="846"/>
      <c r="N95" s="832"/>
    </row>
    <row r="96" spans="1:14" ht="21" customHeight="1">
      <c r="A96" s="852"/>
      <c r="B96" s="843" t="s">
        <v>1110</v>
      </c>
      <c r="C96" s="844">
        <f>SUM('4.mell.'!G33)</f>
        <v>75000</v>
      </c>
      <c r="D96" s="844"/>
      <c r="E96" s="845"/>
      <c r="F96" s="845"/>
      <c r="G96" s="845"/>
      <c r="H96" s="845"/>
      <c r="I96" s="845"/>
      <c r="J96" s="845"/>
      <c r="K96" s="845"/>
      <c r="L96" s="845"/>
      <c r="M96" s="846"/>
      <c r="N96" s="832"/>
    </row>
    <row r="97" spans="1:14" ht="21" customHeight="1">
      <c r="A97" s="852"/>
      <c r="B97" s="843" t="s">
        <v>1109</v>
      </c>
      <c r="C97" s="844">
        <f>SUM('4.mell.'!G34)</f>
        <v>383074</v>
      </c>
      <c r="D97" s="844"/>
      <c r="E97" s="845"/>
      <c r="F97" s="845"/>
      <c r="G97" s="845"/>
      <c r="H97" s="845"/>
      <c r="I97" s="845"/>
      <c r="J97" s="845"/>
      <c r="K97" s="845"/>
      <c r="L97" s="845"/>
      <c r="M97" s="846"/>
      <c r="N97" s="832"/>
    </row>
    <row r="98" spans="1:14" ht="21" customHeight="1">
      <c r="A98" s="852"/>
      <c r="B98" s="843" t="s">
        <v>713</v>
      </c>
      <c r="C98" s="844">
        <f>SUM('4.mell.'!G38)</f>
        <v>86151</v>
      </c>
      <c r="D98" s="844"/>
      <c r="E98" s="845"/>
      <c r="F98" s="845"/>
      <c r="G98" s="845"/>
      <c r="H98" s="845"/>
      <c r="I98" s="845"/>
      <c r="J98" s="845"/>
      <c r="K98" s="845"/>
      <c r="L98" s="845"/>
      <c r="M98" s="846"/>
      <c r="N98" s="832"/>
    </row>
    <row r="99" spans="1:14" ht="21" customHeight="1">
      <c r="A99" s="852"/>
      <c r="B99" s="843" t="s">
        <v>714</v>
      </c>
      <c r="C99" s="844">
        <f>SUM('4.mell.'!G43)</f>
        <v>100000</v>
      </c>
      <c r="D99" s="844"/>
      <c r="E99" s="845"/>
      <c r="F99" s="845"/>
      <c r="G99" s="845"/>
      <c r="H99" s="845"/>
      <c r="I99" s="845"/>
      <c r="J99" s="845"/>
      <c r="K99" s="845"/>
      <c r="L99" s="845"/>
      <c r="M99" s="846"/>
      <c r="N99" s="832"/>
    </row>
    <row r="100" spans="1:14" ht="21" customHeight="1">
      <c r="A100" s="852"/>
      <c r="B100" s="843" t="s">
        <v>1037</v>
      </c>
      <c r="C100" s="844">
        <f>SUM('4.mell.'!G50)</f>
        <v>43369</v>
      </c>
      <c r="D100" s="844"/>
      <c r="E100" s="845"/>
      <c r="F100" s="845"/>
      <c r="G100" s="845"/>
      <c r="H100" s="845"/>
      <c r="I100" s="845"/>
      <c r="J100" s="845"/>
      <c r="K100" s="845"/>
      <c r="L100" s="845"/>
      <c r="M100" s="846"/>
      <c r="N100" s="832"/>
    </row>
    <row r="101" spans="1:14" ht="21" customHeight="1">
      <c r="A101" s="852"/>
      <c r="B101" s="843" t="s">
        <v>1025</v>
      </c>
      <c r="C101" s="844">
        <f>SUM('4.mell.'!G59)</f>
        <v>325</v>
      </c>
      <c r="D101" s="844"/>
      <c r="E101" s="845"/>
      <c r="F101" s="845"/>
      <c r="G101" s="845"/>
      <c r="H101" s="845"/>
      <c r="I101" s="845"/>
      <c r="J101" s="845"/>
      <c r="K101" s="845"/>
      <c r="L101" s="845"/>
      <c r="M101" s="846"/>
      <c r="N101" s="832"/>
    </row>
    <row r="102" spans="1:14" ht="21" customHeight="1">
      <c r="A102" s="852"/>
      <c r="B102" s="843" t="s">
        <v>1237</v>
      </c>
      <c r="C102" s="844">
        <f>SUM('4.mell.'!G61)</f>
        <v>20000</v>
      </c>
      <c r="D102" s="844"/>
      <c r="E102" s="845"/>
      <c r="F102" s="845"/>
      <c r="G102" s="845"/>
      <c r="H102" s="845"/>
      <c r="I102" s="845"/>
      <c r="J102" s="845"/>
      <c r="K102" s="845"/>
      <c r="L102" s="845"/>
      <c r="M102" s="846"/>
      <c r="N102" s="832"/>
    </row>
    <row r="103" spans="1:14" ht="21" customHeight="1">
      <c r="A103" s="852"/>
      <c r="B103" s="843" t="s">
        <v>715</v>
      </c>
      <c r="C103" s="844">
        <f>SUM('4.mell.'!G62)</f>
        <v>45488</v>
      </c>
      <c r="D103" s="844"/>
      <c r="E103" s="845"/>
      <c r="F103" s="845"/>
      <c r="G103" s="845"/>
      <c r="H103" s="845"/>
      <c r="I103" s="845"/>
      <c r="J103" s="845"/>
      <c r="K103" s="845"/>
      <c r="L103" s="845"/>
      <c r="M103" s="846"/>
      <c r="N103" s="832"/>
    </row>
    <row r="104" spans="1:14" ht="21" customHeight="1">
      <c r="A104" s="852"/>
      <c r="B104" s="843" t="s">
        <v>1238</v>
      </c>
      <c r="C104" s="844">
        <f>SUM('5.mell. '!G23)</f>
        <v>15138</v>
      </c>
      <c r="D104" s="844"/>
      <c r="E104" s="845"/>
      <c r="F104" s="845"/>
      <c r="G104" s="845"/>
      <c r="H104" s="845"/>
      <c r="I104" s="845"/>
      <c r="J104" s="845"/>
      <c r="K104" s="845"/>
      <c r="L104" s="845"/>
      <c r="M104" s="846"/>
      <c r="N104" s="832"/>
    </row>
    <row r="105" spans="1:14" ht="21" customHeight="1">
      <c r="A105" s="852"/>
      <c r="B105" s="843" t="s">
        <v>716</v>
      </c>
      <c r="C105" s="844">
        <f>SUM('4.mell.'!G67)</f>
        <v>71647</v>
      </c>
      <c r="D105" s="844"/>
      <c r="E105" s="845"/>
      <c r="F105" s="845"/>
      <c r="G105" s="845"/>
      <c r="H105" s="845"/>
      <c r="I105" s="845"/>
      <c r="J105" s="845"/>
      <c r="K105" s="845"/>
      <c r="L105" s="845"/>
      <c r="M105" s="846"/>
      <c r="N105" s="832"/>
    </row>
    <row r="106" spans="1:14" ht="21" customHeight="1">
      <c r="A106" s="827" t="s">
        <v>584</v>
      </c>
      <c r="B106" s="841" t="s">
        <v>717</v>
      </c>
      <c r="C106" s="844"/>
      <c r="D106" s="830">
        <f>SUM(E106:M106)</f>
        <v>0</v>
      </c>
      <c r="E106" s="845"/>
      <c r="F106" s="845"/>
      <c r="G106" s="845"/>
      <c r="H106" s="845"/>
      <c r="I106" s="845"/>
      <c r="J106" s="845"/>
      <c r="K106" s="845"/>
      <c r="L106" s="845"/>
      <c r="M106" s="846"/>
      <c r="N106" s="832"/>
    </row>
    <row r="107" spans="1:14" ht="21" customHeight="1">
      <c r="A107" s="827" t="s">
        <v>586</v>
      </c>
      <c r="B107" s="841" t="s">
        <v>718</v>
      </c>
      <c r="C107" s="844"/>
      <c r="D107" s="830">
        <f>SUM(E107:M107)</f>
        <v>0</v>
      </c>
      <c r="E107" s="845"/>
      <c r="F107" s="845"/>
      <c r="G107" s="845"/>
      <c r="H107" s="845"/>
      <c r="I107" s="845"/>
      <c r="J107" s="845"/>
      <c r="K107" s="845"/>
      <c r="L107" s="845"/>
      <c r="M107" s="846"/>
      <c r="N107" s="832"/>
    </row>
    <row r="108" spans="1:14" ht="21" customHeight="1">
      <c r="A108" s="827" t="s">
        <v>588</v>
      </c>
      <c r="B108" s="841" t="s">
        <v>719</v>
      </c>
      <c r="C108" s="842">
        <f>SUM(C109:C117)</f>
        <v>108772</v>
      </c>
      <c r="D108" s="830">
        <f>SUM(E108:M108)</f>
        <v>108772</v>
      </c>
      <c r="E108" s="845"/>
      <c r="F108" s="847">
        <v>71500</v>
      </c>
      <c r="G108" s="847"/>
      <c r="H108" s="847"/>
      <c r="I108" s="845"/>
      <c r="J108" s="845"/>
      <c r="K108" s="845"/>
      <c r="L108" s="847">
        <v>37272</v>
      </c>
      <c r="M108" s="846"/>
      <c r="N108" s="832"/>
    </row>
    <row r="109" spans="1:14" ht="21" customHeight="1">
      <c r="A109" s="827"/>
      <c r="B109" s="843" t="s">
        <v>720</v>
      </c>
      <c r="C109" s="844">
        <f>SUM('3c.m.'!G163)</f>
        <v>11493</v>
      </c>
      <c r="D109" s="830"/>
      <c r="E109" s="845"/>
      <c r="F109" s="845"/>
      <c r="G109" s="845"/>
      <c r="H109" s="847"/>
      <c r="I109" s="845"/>
      <c r="J109" s="845"/>
      <c r="K109" s="845"/>
      <c r="L109" s="845"/>
      <c r="M109" s="846"/>
      <c r="N109" s="832"/>
    </row>
    <row r="110" spans="1:14" ht="21" customHeight="1">
      <c r="A110" s="827"/>
      <c r="B110" s="843" t="s">
        <v>721</v>
      </c>
      <c r="C110" s="844">
        <f>SUM('3c.m.'!G171)</f>
        <v>12200</v>
      </c>
      <c r="D110" s="830"/>
      <c r="E110" s="845"/>
      <c r="F110" s="845"/>
      <c r="G110" s="845"/>
      <c r="H110" s="847"/>
      <c r="I110" s="845"/>
      <c r="J110" s="845"/>
      <c r="K110" s="845"/>
      <c r="L110" s="845"/>
      <c r="M110" s="846"/>
      <c r="N110" s="832"/>
    </row>
    <row r="111" spans="1:14" ht="21" customHeight="1">
      <c r="A111" s="827"/>
      <c r="B111" s="843" t="s">
        <v>722</v>
      </c>
      <c r="C111" s="844">
        <f>SUM('3c.m.'!G196)</f>
        <v>12196</v>
      </c>
      <c r="D111" s="830"/>
      <c r="E111" s="845"/>
      <c r="F111" s="845"/>
      <c r="G111" s="845"/>
      <c r="H111" s="847"/>
      <c r="I111" s="845"/>
      <c r="J111" s="845"/>
      <c r="K111" s="845"/>
      <c r="L111" s="845"/>
      <c r="M111" s="846"/>
      <c r="N111" s="832"/>
    </row>
    <row r="112" spans="1:14" ht="21" customHeight="1">
      <c r="A112" s="827"/>
      <c r="B112" s="843" t="s">
        <v>723</v>
      </c>
      <c r="C112" s="844">
        <f>SUM('3c.m.'!G187)</f>
        <v>8990</v>
      </c>
      <c r="D112" s="844"/>
      <c r="E112" s="845"/>
      <c r="F112" s="845"/>
      <c r="G112" s="845"/>
      <c r="H112" s="845"/>
      <c r="I112" s="845"/>
      <c r="J112" s="845"/>
      <c r="K112" s="845"/>
      <c r="L112" s="845"/>
      <c r="M112" s="846"/>
      <c r="N112" s="832"/>
    </row>
    <row r="113" spans="1:14" ht="21" customHeight="1">
      <c r="A113" s="827"/>
      <c r="B113" s="843" t="s">
        <v>724</v>
      </c>
      <c r="C113" s="844">
        <f>SUM('3c.m.'!G681)</f>
        <v>12208</v>
      </c>
      <c r="D113" s="844"/>
      <c r="E113" s="845"/>
      <c r="F113" s="845"/>
      <c r="G113" s="845"/>
      <c r="H113" s="845"/>
      <c r="I113" s="845"/>
      <c r="J113" s="845"/>
      <c r="K113" s="845"/>
      <c r="L113" s="845"/>
      <c r="M113" s="846"/>
      <c r="N113" s="832"/>
    </row>
    <row r="114" spans="1:14" ht="21" customHeight="1">
      <c r="A114" s="827"/>
      <c r="B114" s="843" t="s">
        <v>725</v>
      </c>
      <c r="C114" s="844">
        <f>SUM('3c.m.'!G715)</f>
        <v>39575</v>
      </c>
      <c r="D114" s="844"/>
      <c r="E114" s="845"/>
      <c r="F114" s="845"/>
      <c r="G114" s="845"/>
      <c r="H114" s="845"/>
      <c r="I114" s="845"/>
      <c r="J114" s="845"/>
      <c r="K114" s="845"/>
      <c r="L114" s="845"/>
      <c r="M114" s="846"/>
      <c r="N114" s="832"/>
    </row>
    <row r="115" spans="1:14" ht="21" customHeight="1">
      <c r="A115" s="827"/>
      <c r="B115" s="843" t="s">
        <v>726</v>
      </c>
      <c r="C115" s="844">
        <f>SUM('3c.m.'!G723)</f>
        <v>5110</v>
      </c>
      <c r="D115" s="844"/>
      <c r="E115" s="845"/>
      <c r="F115" s="845"/>
      <c r="G115" s="845"/>
      <c r="H115" s="845"/>
      <c r="I115" s="845"/>
      <c r="J115" s="845"/>
      <c r="K115" s="845"/>
      <c r="L115" s="845"/>
      <c r="M115" s="846"/>
      <c r="N115" s="832"/>
    </row>
    <row r="116" spans="1:14" ht="21" customHeight="1">
      <c r="A116" s="827"/>
      <c r="B116" s="843" t="s">
        <v>727</v>
      </c>
      <c r="C116" s="844">
        <f>SUM('3c.m.'!G732)</f>
        <v>4500</v>
      </c>
      <c r="D116" s="844"/>
      <c r="E116" s="845"/>
      <c r="F116" s="845"/>
      <c r="G116" s="845"/>
      <c r="H116" s="845"/>
      <c r="I116" s="845"/>
      <c r="J116" s="845"/>
      <c r="K116" s="845"/>
      <c r="L116" s="845"/>
      <c r="M116" s="846"/>
      <c r="N116" s="832"/>
    </row>
    <row r="117" spans="1:14" ht="21" customHeight="1">
      <c r="A117" s="827"/>
      <c r="B117" s="843" t="s">
        <v>728</v>
      </c>
      <c r="C117" s="844">
        <f>SUM('3c.m.'!G740)</f>
        <v>2500</v>
      </c>
      <c r="D117" s="844"/>
      <c r="E117" s="845"/>
      <c r="F117" s="845"/>
      <c r="G117" s="845"/>
      <c r="H117" s="845"/>
      <c r="I117" s="845"/>
      <c r="J117" s="845"/>
      <c r="K117" s="845"/>
      <c r="L117" s="845"/>
      <c r="M117" s="846"/>
      <c r="N117" s="832"/>
    </row>
    <row r="118" spans="1:14" ht="21" customHeight="1">
      <c r="A118" s="827" t="s">
        <v>590</v>
      </c>
      <c r="B118" s="841" t="s">
        <v>729</v>
      </c>
      <c r="C118" s="842">
        <f>SUM(C119:C121)</f>
        <v>48230</v>
      </c>
      <c r="D118" s="830">
        <f>SUM(E118:M118)</f>
        <v>48230</v>
      </c>
      <c r="E118" s="845"/>
      <c r="F118" s="847">
        <v>16000</v>
      </c>
      <c r="G118" s="847"/>
      <c r="H118" s="845"/>
      <c r="I118" s="845"/>
      <c r="J118" s="845"/>
      <c r="K118" s="845"/>
      <c r="L118" s="847">
        <v>32230</v>
      </c>
      <c r="M118" s="846"/>
      <c r="N118" s="832"/>
    </row>
    <row r="119" spans="1:14" ht="21" customHeight="1">
      <c r="A119" s="827"/>
      <c r="B119" s="843" t="s">
        <v>730</v>
      </c>
      <c r="C119" s="844">
        <f>SUM('3c.m.'!G247)</f>
        <v>17295</v>
      </c>
      <c r="D119" s="844"/>
      <c r="E119" s="845"/>
      <c r="F119" s="845"/>
      <c r="G119" s="845"/>
      <c r="H119" s="845"/>
      <c r="I119" s="845"/>
      <c r="J119" s="845"/>
      <c r="K119" s="845"/>
      <c r="L119" s="845"/>
      <c r="M119" s="846"/>
      <c r="N119" s="832"/>
    </row>
    <row r="120" spans="1:14" ht="21" customHeight="1">
      <c r="A120" s="827"/>
      <c r="B120" s="843" t="s">
        <v>731</v>
      </c>
      <c r="C120" s="844">
        <f>SUM('3c.m.'!G845)</f>
        <v>1000</v>
      </c>
      <c r="D120" s="844"/>
      <c r="E120" s="845"/>
      <c r="F120" s="845"/>
      <c r="G120" s="845"/>
      <c r="H120" s="845"/>
      <c r="I120" s="845"/>
      <c r="J120" s="845"/>
      <c r="K120" s="845"/>
      <c r="L120" s="845"/>
      <c r="M120" s="846"/>
      <c r="N120" s="832"/>
    </row>
    <row r="121" spans="1:14" ht="21" customHeight="1">
      <c r="A121" s="827"/>
      <c r="B121" s="843" t="s">
        <v>1024</v>
      </c>
      <c r="C121" s="844">
        <f>SUM('5.mell. '!G26)</f>
        <v>29935</v>
      </c>
      <c r="D121" s="844"/>
      <c r="E121" s="845"/>
      <c r="F121" s="845"/>
      <c r="G121" s="845"/>
      <c r="H121" s="845"/>
      <c r="I121" s="845"/>
      <c r="J121" s="845"/>
      <c r="K121" s="845"/>
      <c r="L121" s="845"/>
      <c r="M121" s="846"/>
      <c r="N121" s="832"/>
    </row>
    <row r="122" spans="1:14" ht="21" customHeight="1">
      <c r="A122" s="827" t="s">
        <v>592</v>
      </c>
      <c r="B122" s="841" t="s">
        <v>732</v>
      </c>
      <c r="C122" s="842">
        <f>SUM(C123:C125)</f>
        <v>20512</v>
      </c>
      <c r="D122" s="830">
        <f>SUM(E122:M122)</f>
        <v>20512</v>
      </c>
      <c r="E122" s="847"/>
      <c r="F122" s="847">
        <v>14500</v>
      </c>
      <c r="G122" s="847"/>
      <c r="H122" s="845"/>
      <c r="I122" s="845"/>
      <c r="J122" s="845"/>
      <c r="K122" s="845"/>
      <c r="L122" s="847">
        <v>6012</v>
      </c>
      <c r="M122" s="846"/>
      <c r="N122" s="832"/>
    </row>
    <row r="123" spans="1:14" ht="21" customHeight="1">
      <c r="A123" s="827"/>
      <c r="B123" s="843" t="s">
        <v>733</v>
      </c>
      <c r="C123" s="844">
        <f>SUM('3c.m.'!G230)</f>
        <v>15646</v>
      </c>
      <c r="D123" s="844"/>
      <c r="E123" s="845"/>
      <c r="F123" s="845"/>
      <c r="G123" s="845"/>
      <c r="H123" s="845"/>
      <c r="I123" s="845"/>
      <c r="J123" s="845"/>
      <c r="K123" s="845"/>
      <c r="L123" s="845"/>
      <c r="M123" s="846"/>
      <c r="N123" s="832"/>
    </row>
    <row r="124" spans="1:14" ht="21" customHeight="1">
      <c r="A124" s="827"/>
      <c r="B124" s="843" t="s">
        <v>734</v>
      </c>
      <c r="C124" s="844">
        <f>SUM('3c.m.'!G705)</f>
        <v>3240</v>
      </c>
      <c r="D124" s="844"/>
      <c r="E124" s="845"/>
      <c r="F124" s="845"/>
      <c r="G124" s="845"/>
      <c r="H124" s="845"/>
      <c r="I124" s="845"/>
      <c r="J124" s="845"/>
      <c r="K124" s="845"/>
      <c r="L124" s="845"/>
      <c r="M124" s="846"/>
      <c r="N124" s="832"/>
    </row>
    <row r="125" spans="1:14" ht="21" customHeight="1">
      <c r="A125" s="827"/>
      <c r="B125" s="843" t="s">
        <v>735</v>
      </c>
      <c r="C125" s="844">
        <f>SUM('3c.m.'!G837)</f>
        <v>1626</v>
      </c>
      <c r="D125" s="844"/>
      <c r="E125" s="845"/>
      <c r="F125" s="845"/>
      <c r="G125" s="845"/>
      <c r="H125" s="845"/>
      <c r="I125" s="845"/>
      <c r="J125" s="845"/>
      <c r="K125" s="845"/>
      <c r="L125" s="845"/>
      <c r="M125" s="846"/>
      <c r="N125" s="832"/>
    </row>
    <row r="126" spans="1:14" ht="21" customHeight="1">
      <c r="A126" s="855"/>
      <c r="B126" s="841" t="s">
        <v>736</v>
      </c>
      <c r="C126" s="842">
        <f>SUM('3c.m.'!G214)</f>
        <v>163406</v>
      </c>
      <c r="D126" s="830">
        <f>SUM(E126:N126)</f>
        <v>163406</v>
      </c>
      <c r="E126" s="845"/>
      <c r="F126" s="847">
        <v>152772</v>
      </c>
      <c r="G126" s="847"/>
      <c r="H126" s="845"/>
      <c r="I126" s="845"/>
      <c r="J126" s="845"/>
      <c r="K126" s="845"/>
      <c r="L126" s="847">
        <v>10634</v>
      </c>
      <c r="M126" s="846"/>
      <c r="N126" s="832"/>
    </row>
    <row r="127" spans="1:14" ht="21" customHeight="1">
      <c r="A127" s="855"/>
      <c r="B127" s="841" t="s">
        <v>737</v>
      </c>
      <c r="C127" s="842">
        <f>SUM('3c.m.'!G222)</f>
        <v>133351</v>
      </c>
      <c r="D127" s="830">
        <f aca="true" t="shared" si="0" ref="D127:D144">SUM(E127:N127)</f>
        <v>133351</v>
      </c>
      <c r="E127" s="845"/>
      <c r="F127" s="847">
        <v>100000</v>
      </c>
      <c r="G127" s="847"/>
      <c r="H127" s="847"/>
      <c r="I127" s="845"/>
      <c r="J127" s="845"/>
      <c r="K127" s="845"/>
      <c r="L127" s="847">
        <v>33351</v>
      </c>
      <c r="M127" s="846"/>
      <c r="N127" s="832"/>
    </row>
    <row r="128" spans="1:14" ht="30.6" customHeight="1">
      <c r="A128" s="855"/>
      <c r="B128" s="856" t="s">
        <v>738</v>
      </c>
      <c r="C128" s="842">
        <f>SUM('3a.m.'!G29+'3a.m.'!G39)-'13.mell'!C10</f>
        <v>2081129</v>
      </c>
      <c r="D128" s="830">
        <f t="shared" si="0"/>
        <v>2081129</v>
      </c>
      <c r="E128" s="847"/>
      <c r="F128" s="847">
        <v>1828378</v>
      </c>
      <c r="G128" s="847"/>
      <c r="H128" s="847"/>
      <c r="I128" s="845"/>
      <c r="J128" s="845"/>
      <c r="K128" s="845"/>
      <c r="L128" s="847">
        <v>244751</v>
      </c>
      <c r="M128" s="850"/>
      <c r="N128" s="857">
        <v>8000</v>
      </c>
    </row>
    <row r="129" spans="1:14" ht="21" customHeight="1">
      <c r="A129" s="855"/>
      <c r="B129" s="841" t="s">
        <v>739</v>
      </c>
      <c r="C129" s="842">
        <f>SUM('3c.m.'!G283)</f>
        <v>49452</v>
      </c>
      <c r="D129" s="830">
        <f t="shared" si="0"/>
        <v>49452</v>
      </c>
      <c r="E129" s="845"/>
      <c r="F129" s="847">
        <v>40000</v>
      </c>
      <c r="G129" s="847"/>
      <c r="H129" s="845"/>
      <c r="I129" s="845"/>
      <c r="J129" s="845"/>
      <c r="K129" s="845"/>
      <c r="L129" s="847">
        <v>9452</v>
      </c>
      <c r="M129" s="846"/>
      <c r="N129" s="857"/>
    </row>
    <row r="130" spans="1:14" ht="21" customHeight="1">
      <c r="A130" s="855"/>
      <c r="B130" s="841" t="s">
        <v>1199</v>
      </c>
      <c r="C130" s="842">
        <v>135000</v>
      </c>
      <c r="D130" s="830">
        <f t="shared" si="0"/>
        <v>135000</v>
      </c>
      <c r="E130" s="845"/>
      <c r="F130" s="847"/>
      <c r="G130" s="847"/>
      <c r="H130" s="845"/>
      <c r="I130" s="845"/>
      <c r="J130" s="845"/>
      <c r="K130" s="845"/>
      <c r="L130" s="847">
        <v>135000</v>
      </c>
      <c r="M130" s="846"/>
      <c r="N130" s="857"/>
    </row>
    <row r="131" spans="1:14" ht="21" customHeight="1">
      <c r="A131" s="855"/>
      <c r="B131" s="841" t="s">
        <v>740</v>
      </c>
      <c r="C131" s="842">
        <f>SUM('3c.m.'!G351)</f>
        <v>5098</v>
      </c>
      <c r="D131" s="830">
        <f t="shared" si="0"/>
        <v>5098</v>
      </c>
      <c r="E131" s="845"/>
      <c r="F131" s="847">
        <v>5000</v>
      </c>
      <c r="G131" s="847"/>
      <c r="H131" s="845"/>
      <c r="I131" s="845"/>
      <c r="J131" s="845"/>
      <c r="K131" s="845"/>
      <c r="L131" s="847">
        <v>98</v>
      </c>
      <c r="M131" s="846"/>
      <c r="N131" s="857"/>
    </row>
    <row r="132" spans="1:14" ht="21" customHeight="1">
      <c r="A132" s="855"/>
      <c r="B132" s="841" t="s">
        <v>741</v>
      </c>
      <c r="C132" s="842">
        <f>SUM('3d.m.'!G15)</f>
        <v>778270</v>
      </c>
      <c r="D132" s="830">
        <f t="shared" si="0"/>
        <v>778270</v>
      </c>
      <c r="E132" s="845"/>
      <c r="F132" s="847">
        <v>778270</v>
      </c>
      <c r="G132" s="847"/>
      <c r="H132" s="845"/>
      <c r="I132" s="845"/>
      <c r="J132" s="845"/>
      <c r="K132" s="845"/>
      <c r="L132" s="847"/>
      <c r="M132" s="846"/>
      <c r="N132" s="857"/>
    </row>
    <row r="133" spans="1:14" ht="21" customHeight="1">
      <c r="A133" s="855"/>
      <c r="B133" s="841" t="s">
        <v>742</v>
      </c>
      <c r="C133" s="842">
        <f>SUM('1c.mell '!G74)</f>
        <v>30000</v>
      </c>
      <c r="D133" s="830">
        <f t="shared" si="0"/>
        <v>30000</v>
      </c>
      <c r="E133" s="845"/>
      <c r="F133" s="847">
        <v>30000</v>
      </c>
      <c r="G133" s="847"/>
      <c r="H133" s="845"/>
      <c r="I133" s="845"/>
      <c r="J133" s="845"/>
      <c r="K133" s="845"/>
      <c r="L133" s="847"/>
      <c r="M133" s="846"/>
      <c r="N133" s="857"/>
    </row>
    <row r="134" spans="1:14" ht="21" customHeight="1">
      <c r="A134" s="855"/>
      <c r="B134" s="841" t="s">
        <v>1043</v>
      </c>
      <c r="C134" s="842">
        <f>SUM('1c.mell '!G76)</f>
        <v>5500</v>
      </c>
      <c r="D134" s="830">
        <f t="shared" si="0"/>
        <v>5500</v>
      </c>
      <c r="E134" s="845"/>
      <c r="F134" s="847">
        <v>5500</v>
      </c>
      <c r="G134" s="847"/>
      <c r="H134" s="845"/>
      <c r="I134" s="845"/>
      <c r="J134" s="845"/>
      <c r="K134" s="845"/>
      <c r="L134" s="847"/>
      <c r="M134" s="846"/>
      <c r="N134" s="857"/>
    </row>
    <row r="135" spans="1:14" ht="21" customHeight="1">
      <c r="A135" s="855"/>
      <c r="B135" s="841" t="s">
        <v>743</v>
      </c>
      <c r="C135" s="842">
        <f>SUM('1c.mell '!G78)</f>
        <v>178150</v>
      </c>
      <c r="D135" s="830">
        <f t="shared" si="0"/>
        <v>178150</v>
      </c>
      <c r="E135" s="847"/>
      <c r="F135" s="847">
        <v>178150</v>
      </c>
      <c r="G135" s="847"/>
      <c r="H135" s="845"/>
      <c r="I135" s="845"/>
      <c r="J135" s="845"/>
      <c r="K135" s="845"/>
      <c r="L135" s="847"/>
      <c r="M135" s="846"/>
      <c r="N135" s="857"/>
    </row>
    <row r="136" spans="1:14" ht="21" customHeight="1">
      <c r="A136" s="855"/>
      <c r="B136" s="841" t="s">
        <v>744</v>
      </c>
      <c r="C136" s="842">
        <f>SUM('1c.mell '!G80)</f>
        <v>173000</v>
      </c>
      <c r="D136" s="830">
        <f t="shared" si="0"/>
        <v>173000</v>
      </c>
      <c r="E136" s="845"/>
      <c r="F136" s="847"/>
      <c r="G136" s="847">
        <v>18000</v>
      </c>
      <c r="H136" s="845"/>
      <c r="I136" s="845"/>
      <c r="J136" s="845"/>
      <c r="K136" s="845"/>
      <c r="L136" s="847">
        <v>155000</v>
      </c>
      <c r="M136" s="846"/>
      <c r="N136" s="857"/>
    </row>
    <row r="137" spans="1:14" ht="21" customHeight="1">
      <c r="A137" s="855"/>
      <c r="B137" s="841" t="s">
        <v>1248</v>
      </c>
      <c r="C137" s="842">
        <f>SUM('1c.mell '!G82)</f>
        <v>21257</v>
      </c>
      <c r="D137" s="830">
        <f t="shared" si="0"/>
        <v>21257</v>
      </c>
      <c r="E137" s="845"/>
      <c r="F137" s="847">
        <v>21257</v>
      </c>
      <c r="G137" s="847"/>
      <c r="H137" s="845"/>
      <c r="I137" s="845"/>
      <c r="J137" s="845"/>
      <c r="K137" s="845"/>
      <c r="L137" s="847"/>
      <c r="M137" s="846"/>
      <c r="N137" s="857"/>
    </row>
    <row r="138" spans="1:14" ht="21" customHeight="1">
      <c r="A138" s="855"/>
      <c r="B138" s="841" t="s">
        <v>1294</v>
      </c>
      <c r="C138" s="842">
        <v>400837</v>
      </c>
      <c r="D138" s="830">
        <f t="shared" si="0"/>
        <v>400837</v>
      </c>
      <c r="E138" s="845"/>
      <c r="F138" s="847"/>
      <c r="G138" s="847"/>
      <c r="H138" s="845"/>
      <c r="I138" s="845"/>
      <c r="J138" s="845"/>
      <c r="K138" s="845"/>
      <c r="L138" s="847"/>
      <c r="M138" s="846"/>
      <c r="N138" s="857">
        <v>400837</v>
      </c>
    </row>
    <row r="139" spans="1:14" ht="21" customHeight="1">
      <c r="A139" s="855"/>
      <c r="B139" s="841" t="s">
        <v>1149</v>
      </c>
      <c r="C139" s="842">
        <v>63789</v>
      </c>
      <c r="D139" s="830">
        <f t="shared" si="0"/>
        <v>63789</v>
      </c>
      <c r="E139" s="845"/>
      <c r="F139" s="847"/>
      <c r="G139" s="847"/>
      <c r="H139" s="845"/>
      <c r="I139" s="845"/>
      <c r="J139" s="845"/>
      <c r="K139" s="845"/>
      <c r="L139" s="847">
        <v>63789</v>
      </c>
      <c r="M139" s="846"/>
      <c r="N139" s="857"/>
    </row>
    <row r="140" spans="1:14" ht="21" customHeight="1">
      <c r="A140" s="855"/>
      <c r="B140" s="841" t="s">
        <v>745</v>
      </c>
      <c r="C140" s="842">
        <f>SUM('1c.mell '!G114)</f>
        <v>48000</v>
      </c>
      <c r="D140" s="830">
        <f t="shared" si="0"/>
        <v>48000</v>
      </c>
      <c r="E140" s="845"/>
      <c r="F140" s="847">
        <v>48000</v>
      </c>
      <c r="G140" s="847"/>
      <c r="H140" s="845"/>
      <c r="I140" s="847"/>
      <c r="J140" s="845"/>
      <c r="K140" s="845"/>
      <c r="L140" s="847"/>
      <c r="M140" s="846"/>
      <c r="N140" s="857"/>
    </row>
    <row r="141" spans="1:14" ht="21" customHeight="1">
      <c r="A141" s="855"/>
      <c r="B141" s="841" t="s">
        <v>746</v>
      </c>
      <c r="C141" s="842">
        <f>SUM('2.mell'!G373)-'12.mell'!C9</f>
        <v>1679948</v>
      </c>
      <c r="D141" s="830">
        <f t="shared" si="0"/>
        <v>1679948</v>
      </c>
      <c r="E141" s="847"/>
      <c r="F141" s="847">
        <v>1426250</v>
      </c>
      <c r="G141" s="847">
        <v>160668</v>
      </c>
      <c r="H141" s="847"/>
      <c r="I141" s="845"/>
      <c r="J141" s="845"/>
      <c r="K141" s="845"/>
      <c r="L141" s="847">
        <v>93030</v>
      </c>
      <c r="M141" s="846"/>
      <c r="N141" s="832"/>
    </row>
    <row r="142" spans="1:14" ht="21" customHeight="1">
      <c r="A142" s="827"/>
      <c r="B142" s="841" t="s">
        <v>747</v>
      </c>
      <c r="C142" s="842">
        <f>SUM('2.mell'!G443)</f>
        <v>611163</v>
      </c>
      <c r="D142" s="830">
        <f t="shared" si="0"/>
        <v>611163</v>
      </c>
      <c r="E142" s="847">
        <v>269516</v>
      </c>
      <c r="F142" s="847">
        <v>315496</v>
      </c>
      <c r="G142" s="847">
        <v>26151</v>
      </c>
      <c r="H142" s="847"/>
      <c r="I142" s="845"/>
      <c r="J142" s="845"/>
      <c r="K142" s="845"/>
      <c r="L142" s="847"/>
      <c r="M142" s="846"/>
      <c r="N142" s="832"/>
    </row>
    <row r="143" spans="1:14" ht="21" customHeight="1">
      <c r="A143" s="827"/>
      <c r="B143" s="841" t="s">
        <v>748</v>
      </c>
      <c r="C143" s="842">
        <f>SUM('2.mell'!G476)</f>
        <v>1117343</v>
      </c>
      <c r="D143" s="830">
        <f t="shared" si="0"/>
        <v>1117343</v>
      </c>
      <c r="E143" s="847">
        <v>588881</v>
      </c>
      <c r="F143" s="847">
        <v>334302</v>
      </c>
      <c r="G143" s="847">
        <v>134346</v>
      </c>
      <c r="H143" s="847"/>
      <c r="I143" s="845"/>
      <c r="J143" s="845"/>
      <c r="K143" s="845"/>
      <c r="L143" s="847">
        <v>59814</v>
      </c>
      <c r="M143" s="846"/>
      <c r="N143" s="832"/>
    </row>
    <row r="144" spans="1:14" ht="21" customHeight="1">
      <c r="A144" s="827"/>
      <c r="B144" s="841" t="s">
        <v>749</v>
      </c>
      <c r="C144" s="842">
        <f>SUM('2.mell'!G546)-'12.mell'!C7</f>
        <v>321065</v>
      </c>
      <c r="D144" s="830">
        <f t="shared" si="0"/>
        <v>321065</v>
      </c>
      <c r="E144" s="847">
        <v>22329</v>
      </c>
      <c r="F144" s="847">
        <v>228441</v>
      </c>
      <c r="G144" s="847">
        <v>22802</v>
      </c>
      <c r="H144" s="847"/>
      <c r="I144" s="845"/>
      <c r="J144" s="847"/>
      <c r="K144" s="845"/>
      <c r="L144" s="847">
        <v>47493</v>
      </c>
      <c r="M144" s="850"/>
      <c r="N144" s="832"/>
    </row>
    <row r="145" spans="1:14" ht="21" customHeight="1">
      <c r="A145" s="827"/>
      <c r="B145" s="841"/>
      <c r="C145" s="844"/>
      <c r="D145" s="844"/>
      <c r="E145" s="845"/>
      <c r="F145" s="845"/>
      <c r="G145" s="845"/>
      <c r="H145" s="845"/>
      <c r="I145" s="845"/>
      <c r="J145" s="845"/>
      <c r="K145" s="845"/>
      <c r="L145" s="845"/>
      <c r="M145" s="846"/>
      <c r="N145" s="832"/>
    </row>
    <row r="146" spans="1:15" ht="21" customHeight="1">
      <c r="A146" s="827"/>
      <c r="B146" s="858" t="s">
        <v>750</v>
      </c>
      <c r="C146" s="859">
        <f>SUM(C10+C29+C31+C33+C35+C47+C51+C62+C76+C78+C86+C108+C118+C122+C126+C127+C128+C129+C131+C132+C133+C135+C136+C140+C141+C142+C143+C144+C134+C139+C130+C137+C138)</f>
        <v>17128401</v>
      </c>
      <c r="D146" s="859">
        <f aca="true" t="shared" si="1" ref="D146:N146">SUM(D10+D29+D31+D33+D35+D47+D51+D62+D76+D78+D86+D108+D118+D122+D126+D127+D128+D129+D131+D132+D133+D135+D136+D140+D141+D142+D143+D144+D134+D139+D130+D137+D138)</f>
        <v>17128401</v>
      </c>
      <c r="E146" s="859">
        <f t="shared" si="1"/>
        <v>1943636</v>
      </c>
      <c r="F146" s="859">
        <f t="shared" si="1"/>
        <v>7092354</v>
      </c>
      <c r="G146" s="859">
        <f t="shared" si="1"/>
        <v>1060401</v>
      </c>
      <c r="H146" s="859">
        <f t="shared" si="1"/>
        <v>0</v>
      </c>
      <c r="I146" s="859">
        <f t="shared" si="1"/>
        <v>0</v>
      </c>
      <c r="J146" s="859">
        <f t="shared" si="1"/>
        <v>0</v>
      </c>
      <c r="K146" s="859">
        <f t="shared" si="1"/>
        <v>0</v>
      </c>
      <c r="L146" s="859">
        <f t="shared" si="1"/>
        <v>5974173</v>
      </c>
      <c r="M146" s="859">
        <f t="shared" si="1"/>
        <v>649000</v>
      </c>
      <c r="N146" s="859">
        <f t="shared" si="1"/>
        <v>408837</v>
      </c>
      <c r="O146" s="860"/>
    </row>
    <row r="147" spans="1:14" ht="21" customHeight="1">
      <c r="A147" s="827"/>
      <c r="B147" s="841"/>
      <c r="C147" s="844"/>
      <c r="D147" s="844"/>
      <c r="E147" s="845"/>
      <c r="F147" s="845"/>
      <c r="G147" s="845"/>
      <c r="H147" s="845"/>
      <c r="I147" s="845"/>
      <c r="J147" s="845"/>
      <c r="K147" s="845"/>
      <c r="L147" s="845"/>
      <c r="M147" s="846"/>
      <c r="N147" s="832"/>
    </row>
    <row r="148" ht="12.75">
      <c r="F148" s="860"/>
    </row>
    <row r="149" ht="12.75">
      <c r="F149" s="860"/>
    </row>
    <row r="150" ht="12.75">
      <c r="F150" s="860"/>
    </row>
  </sheetData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view="pageBreakPreview" zoomScale="60" workbookViewId="0" topLeftCell="A37">
      <selection activeCell="A87" sqref="A87:XFD87"/>
    </sheetView>
  </sheetViews>
  <sheetFormatPr defaultColWidth="9.125" defaultRowHeight="12.75"/>
  <cols>
    <col min="1" max="1" width="7.625" style="819" customWidth="1"/>
    <col min="2" max="2" width="49.625" style="819" customWidth="1"/>
    <col min="3" max="3" width="13.875" style="819" customWidth="1"/>
    <col min="4" max="4" width="13.00390625" style="819" customWidth="1"/>
    <col min="5" max="5" width="11.125" style="819" customWidth="1"/>
    <col min="6" max="6" width="11.875" style="819" customWidth="1"/>
    <col min="7" max="7" width="12.125" style="819" customWidth="1"/>
    <col min="8" max="8" width="11.375" style="819" customWidth="1"/>
    <col min="9" max="9" width="10.625" style="819" bestFit="1" customWidth="1"/>
    <col min="10" max="10" width="11.125" style="819" customWidth="1"/>
    <col min="11" max="11" width="11.625" style="819" customWidth="1"/>
    <col min="12" max="12" width="10.875" style="819" customWidth="1"/>
    <col min="13" max="13" width="11.00390625" style="819" customWidth="1"/>
    <col min="14" max="16384" width="9.125" style="819" customWidth="1"/>
  </cols>
  <sheetData>
    <row r="1" spans="1:13" ht="12.75">
      <c r="A1" s="1519" t="s">
        <v>751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  <c r="M1" s="1519"/>
    </row>
    <row r="2" spans="2:12" ht="18.75">
      <c r="B2" s="1520" t="s">
        <v>752</v>
      </c>
      <c r="C2" s="1520"/>
      <c r="D2" s="1520"/>
      <c r="E2" s="1520"/>
      <c r="F2" s="1520"/>
      <c r="G2" s="1520"/>
      <c r="H2" s="1520"/>
      <c r="I2" s="1520"/>
      <c r="J2" s="1520"/>
      <c r="K2" s="1520"/>
      <c r="L2" s="1520"/>
    </row>
    <row r="3" spans="2:12" ht="18.75">
      <c r="B3" s="1521" t="s">
        <v>1112</v>
      </c>
      <c r="C3" s="1521"/>
      <c r="D3" s="1521"/>
      <c r="E3" s="1521"/>
      <c r="F3" s="1521"/>
      <c r="G3" s="1521"/>
      <c r="H3" s="1521"/>
      <c r="I3" s="1521"/>
      <c r="J3" s="1521"/>
      <c r="K3" s="1521"/>
      <c r="L3" s="1521"/>
    </row>
    <row r="4" spans="3:13" ht="9.75" customHeight="1">
      <c r="C4" s="861"/>
      <c r="F4" s="862"/>
      <c r="G4" s="862"/>
      <c r="H4" s="862"/>
      <c r="I4" s="862"/>
      <c r="J4" s="862"/>
      <c r="K4" s="862"/>
      <c r="L4" s="862"/>
      <c r="M4" s="822" t="s">
        <v>368</v>
      </c>
    </row>
    <row r="5" spans="1:13" ht="27" customHeight="1">
      <c r="A5" s="863"/>
      <c r="B5" s="1517" t="s">
        <v>753</v>
      </c>
      <c r="C5" s="1501" t="s">
        <v>1293</v>
      </c>
      <c r="D5" s="1517" t="s">
        <v>754</v>
      </c>
      <c r="E5" s="1501" t="s">
        <v>631</v>
      </c>
      <c r="F5" s="1501" t="s">
        <v>637</v>
      </c>
      <c r="G5" s="1517" t="s">
        <v>633</v>
      </c>
      <c r="H5" s="1517"/>
      <c r="I5" s="1517" t="s">
        <v>634</v>
      </c>
      <c r="J5" s="1517"/>
      <c r="K5" s="1517" t="s">
        <v>755</v>
      </c>
      <c r="L5" s="1501" t="s">
        <v>756</v>
      </c>
      <c r="M5" s="1517" t="s">
        <v>757</v>
      </c>
    </row>
    <row r="6" spans="1:13" ht="41.25" customHeight="1">
      <c r="A6" s="865"/>
      <c r="B6" s="1517"/>
      <c r="C6" s="1522"/>
      <c r="D6" s="1517"/>
      <c r="E6" s="1522"/>
      <c r="F6" s="1314"/>
      <c r="G6" s="864" t="s">
        <v>758</v>
      </c>
      <c r="H6" s="864" t="s">
        <v>759</v>
      </c>
      <c r="I6" s="864" t="s">
        <v>760</v>
      </c>
      <c r="J6" s="864" t="s">
        <v>759</v>
      </c>
      <c r="K6" s="1517"/>
      <c r="L6" s="1518"/>
      <c r="M6" s="1517"/>
    </row>
    <row r="7" spans="1:13" ht="18" customHeight="1">
      <c r="A7" s="867">
        <v>2985</v>
      </c>
      <c r="B7" s="870" t="s">
        <v>761</v>
      </c>
      <c r="C7" s="871">
        <f>SUM('2.mell'!G541)</f>
        <v>38853</v>
      </c>
      <c r="D7" s="869">
        <f aca="true" t="shared" si="0" ref="D7:D89">SUM(E7:M7)</f>
        <v>38853</v>
      </c>
      <c r="E7" s="869"/>
      <c r="F7" s="872">
        <v>38853</v>
      </c>
      <c r="G7" s="870"/>
      <c r="H7" s="870"/>
      <c r="I7" s="870"/>
      <c r="J7" s="870"/>
      <c r="K7" s="870"/>
      <c r="L7" s="870"/>
      <c r="M7" s="873"/>
    </row>
    <row r="8" spans="1:13" ht="18" customHeight="1">
      <c r="A8" s="867">
        <v>2985</v>
      </c>
      <c r="B8" s="870" t="s">
        <v>411</v>
      </c>
      <c r="C8" s="871">
        <f>SUM('2.mell'!G582)</f>
        <v>253779</v>
      </c>
      <c r="D8" s="869">
        <f t="shared" si="0"/>
        <v>253779</v>
      </c>
      <c r="E8" s="869"/>
      <c r="F8" s="872">
        <v>204639</v>
      </c>
      <c r="G8" s="870">
        <v>41000</v>
      </c>
      <c r="H8" s="870"/>
      <c r="I8" s="870"/>
      <c r="J8" s="870"/>
      <c r="K8" s="870">
        <v>8140</v>
      </c>
      <c r="L8" s="870"/>
      <c r="M8" s="873"/>
    </row>
    <row r="9" spans="1:13" ht="18" customHeight="1">
      <c r="A9" s="867">
        <v>2975</v>
      </c>
      <c r="B9" s="870" t="s">
        <v>1269</v>
      </c>
      <c r="C9" s="871">
        <v>40540</v>
      </c>
      <c r="D9" s="869">
        <f t="shared" si="0"/>
        <v>40540</v>
      </c>
      <c r="E9" s="869">
        <v>35171</v>
      </c>
      <c r="F9" s="872">
        <v>5369</v>
      </c>
      <c r="G9" s="870"/>
      <c r="H9" s="870"/>
      <c r="I9" s="870"/>
      <c r="J9" s="870"/>
      <c r="K9" s="870"/>
      <c r="L9" s="870"/>
      <c r="M9" s="873"/>
    </row>
    <row r="10" spans="1:13" ht="18" customHeight="1">
      <c r="A10" s="874">
        <v>3011</v>
      </c>
      <c r="B10" s="875" t="s">
        <v>114</v>
      </c>
      <c r="C10" s="876">
        <f>SUM('3a.m.'!G18)</f>
        <v>17132</v>
      </c>
      <c r="D10" s="869">
        <f t="shared" si="0"/>
        <v>17132</v>
      </c>
      <c r="E10" s="869"/>
      <c r="F10" s="877">
        <v>10008</v>
      </c>
      <c r="G10" s="864"/>
      <c r="H10" s="864"/>
      <c r="I10" s="864"/>
      <c r="J10" s="864"/>
      <c r="K10" s="878">
        <v>7124</v>
      </c>
      <c r="L10" s="864"/>
      <c r="M10" s="879"/>
    </row>
    <row r="11" spans="1:13" ht="18" customHeight="1">
      <c r="A11" s="880">
        <v>3052</v>
      </c>
      <c r="B11" s="881" t="s">
        <v>23</v>
      </c>
      <c r="C11" s="871">
        <f>SUM('3c.m.'!G17)</f>
        <v>6114</v>
      </c>
      <c r="D11" s="869">
        <f t="shared" si="0"/>
        <v>6114</v>
      </c>
      <c r="E11" s="869"/>
      <c r="F11" s="869">
        <v>4963</v>
      </c>
      <c r="G11" s="882"/>
      <c r="H11" s="882"/>
      <c r="I11" s="882"/>
      <c r="J11" s="882"/>
      <c r="K11" s="883">
        <v>1151</v>
      </c>
      <c r="L11" s="882"/>
      <c r="M11" s="873"/>
    </row>
    <row r="12" spans="1:13" ht="18" customHeight="1">
      <c r="A12" s="880">
        <v>3141</v>
      </c>
      <c r="B12" s="881" t="s">
        <v>135</v>
      </c>
      <c r="C12" s="871">
        <f>SUM('3c.m.'!G154)</f>
        <v>8500</v>
      </c>
      <c r="D12" s="869">
        <f t="shared" si="0"/>
        <v>8500</v>
      </c>
      <c r="E12" s="869"/>
      <c r="F12" s="884">
        <v>8500</v>
      </c>
      <c r="G12" s="885"/>
      <c r="H12" s="885"/>
      <c r="I12" s="885"/>
      <c r="J12" s="885"/>
      <c r="K12" s="885"/>
      <c r="L12" s="885"/>
      <c r="M12" s="873"/>
    </row>
    <row r="13" spans="1:13" ht="18" customHeight="1">
      <c r="A13" s="867">
        <v>3144</v>
      </c>
      <c r="B13" s="886" t="s">
        <v>387</v>
      </c>
      <c r="C13" s="871">
        <f>SUM('3c.m.'!G179)</f>
        <v>1500</v>
      </c>
      <c r="D13" s="869">
        <f t="shared" si="0"/>
        <v>1500</v>
      </c>
      <c r="E13" s="869"/>
      <c r="F13" s="884">
        <v>1500</v>
      </c>
      <c r="G13" s="885"/>
      <c r="H13" s="885"/>
      <c r="I13" s="885"/>
      <c r="J13" s="885"/>
      <c r="K13" s="885"/>
      <c r="L13" s="885"/>
      <c r="M13" s="873"/>
    </row>
    <row r="14" spans="1:13" ht="18" customHeight="1">
      <c r="A14" s="867">
        <v>3206</v>
      </c>
      <c r="B14" s="886" t="s">
        <v>1114</v>
      </c>
      <c r="C14" s="871">
        <v>5000</v>
      </c>
      <c r="D14" s="869">
        <f t="shared" si="0"/>
        <v>5000</v>
      </c>
      <c r="E14" s="869"/>
      <c r="F14" s="884">
        <v>5000</v>
      </c>
      <c r="G14" s="885"/>
      <c r="H14" s="885"/>
      <c r="I14" s="885"/>
      <c r="J14" s="885"/>
      <c r="K14" s="885"/>
      <c r="L14" s="885"/>
      <c r="M14" s="873"/>
    </row>
    <row r="15" spans="1:13" ht="18" customHeight="1">
      <c r="A15" s="880">
        <v>3207</v>
      </c>
      <c r="B15" s="881" t="s">
        <v>290</v>
      </c>
      <c r="C15" s="871">
        <f>SUM('3c.m.'!G275)</f>
        <v>31200</v>
      </c>
      <c r="D15" s="869">
        <f t="shared" si="0"/>
        <v>31200</v>
      </c>
      <c r="E15" s="869">
        <v>29000</v>
      </c>
      <c r="F15" s="884"/>
      <c r="G15" s="885"/>
      <c r="H15" s="885"/>
      <c r="I15" s="885"/>
      <c r="J15" s="885"/>
      <c r="K15" s="885">
        <v>2200</v>
      </c>
      <c r="L15" s="885"/>
      <c r="M15" s="873"/>
    </row>
    <row r="16" spans="1:13" ht="18" customHeight="1">
      <c r="A16" s="880">
        <v>3209</v>
      </c>
      <c r="B16" s="881" t="s">
        <v>762</v>
      </c>
      <c r="C16" s="871">
        <f>SUM('3c.m.'!G292)</f>
        <v>7245</v>
      </c>
      <c r="D16" s="869">
        <f t="shared" si="0"/>
        <v>7245</v>
      </c>
      <c r="E16" s="869"/>
      <c r="F16" s="884">
        <v>5000</v>
      </c>
      <c r="G16" s="885"/>
      <c r="H16" s="885"/>
      <c r="I16" s="885"/>
      <c r="J16" s="885"/>
      <c r="K16" s="885">
        <v>2245</v>
      </c>
      <c r="L16" s="885"/>
      <c r="M16" s="873"/>
    </row>
    <row r="17" spans="1:13" ht="18" customHeight="1">
      <c r="A17" s="880">
        <v>3224</v>
      </c>
      <c r="B17" s="881" t="s">
        <v>428</v>
      </c>
      <c r="C17" s="871">
        <v>15000</v>
      </c>
      <c r="D17" s="869">
        <f t="shared" si="0"/>
        <v>15000</v>
      </c>
      <c r="E17" s="869"/>
      <c r="F17" s="884">
        <v>15000</v>
      </c>
      <c r="G17" s="885"/>
      <c r="H17" s="885"/>
      <c r="I17" s="885"/>
      <c r="J17" s="885"/>
      <c r="K17" s="885"/>
      <c r="L17" s="885"/>
      <c r="M17" s="873"/>
    </row>
    <row r="18" spans="1:13" ht="18" customHeight="1">
      <c r="A18" s="880">
        <v>3302</v>
      </c>
      <c r="B18" s="887" t="s">
        <v>383</v>
      </c>
      <c r="C18" s="888">
        <v>160239</v>
      </c>
      <c r="D18" s="869">
        <f t="shared" si="0"/>
        <v>160239</v>
      </c>
      <c r="E18" s="869">
        <v>160239</v>
      </c>
      <c r="F18" s="884"/>
      <c r="G18" s="885"/>
      <c r="H18" s="885"/>
      <c r="I18" s="885"/>
      <c r="J18" s="885"/>
      <c r="K18" s="885"/>
      <c r="L18" s="885"/>
      <c r="M18" s="873"/>
    </row>
    <row r="19" spans="1:13" ht="18" customHeight="1">
      <c r="A19" s="880">
        <v>3304</v>
      </c>
      <c r="B19" s="887" t="s">
        <v>1256</v>
      </c>
      <c r="C19" s="888">
        <f>SUM('3c.m.'!G394)</f>
        <v>11000</v>
      </c>
      <c r="D19" s="869">
        <f t="shared" si="0"/>
        <v>11000</v>
      </c>
      <c r="E19" s="869"/>
      <c r="F19" s="884"/>
      <c r="G19" s="885"/>
      <c r="H19" s="885"/>
      <c r="I19" s="885">
        <v>11000</v>
      </c>
      <c r="J19" s="885"/>
      <c r="K19" s="885"/>
      <c r="L19" s="885"/>
      <c r="M19" s="873"/>
    </row>
    <row r="20" spans="1:13" ht="18" customHeight="1">
      <c r="A20" s="880">
        <v>3305</v>
      </c>
      <c r="B20" s="881" t="s">
        <v>201</v>
      </c>
      <c r="C20" s="871">
        <f>SUM('3c.m.'!G403)</f>
        <v>17573</v>
      </c>
      <c r="D20" s="869">
        <f t="shared" si="0"/>
        <v>17573</v>
      </c>
      <c r="E20" s="869"/>
      <c r="F20" s="884">
        <v>17500</v>
      </c>
      <c r="G20" s="885"/>
      <c r="H20" s="885"/>
      <c r="I20" s="885"/>
      <c r="J20" s="885"/>
      <c r="K20" s="885">
        <v>73</v>
      </c>
      <c r="L20" s="885"/>
      <c r="M20" s="873"/>
    </row>
    <row r="21" spans="1:13" ht="18" customHeight="1">
      <c r="A21" s="880">
        <v>3306</v>
      </c>
      <c r="B21" s="881" t="s">
        <v>202</v>
      </c>
      <c r="C21" s="871">
        <f>SUM('3c.m.'!G412)</f>
        <v>10012</v>
      </c>
      <c r="D21" s="869">
        <f t="shared" si="0"/>
        <v>10012</v>
      </c>
      <c r="E21" s="869"/>
      <c r="F21" s="884">
        <v>10000</v>
      </c>
      <c r="G21" s="885"/>
      <c r="H21" s="885"/>
      <c r="I21" s="885"/>
      <c r="J21" s="885"/>
      <c r="K21" s="885">
        <v>12</v>
      </c>
      <c r="L21" s="885"/>
      <c r="M21" s="873"/>
    </row>
    <row r="22" spans="1:13" ht="18" customHeight="1">
      <c r="A22" s="880">
        <v>3307</v>
      </c>
      <c r="B22" s="881" t="s">
        <v>203</v>
      </c>
      <c r="C22" s="871">
        <f>SUM('3c.m.'!G421)</f>
        <v>5063</v>
      </c>
      <c r="D22" s="869">
        <f t="shared" si="0"/>
        <v>5063</v>
      </c>
      <c r="E22" s="869"/>
      <c r="F22" s="884">
        <v>4000</v>
      </c>
      <c r="G22" s="885"/>
      <c r="H22" s="885"/>
      <c r="I22" s="885"/>
      <c r="J22" s="885"/>
      <c r="K22" s="885">
        <v>1063</v>
      </c>
      <c r="L22" s="885"/>
      <c r="M22" s="873"/>
    </row>
    <row r="23" spans="1:13" ht="18" customHeight="1">
      <c r="A23" s="880">
        <v>3310</v>
      </c>
      <c r="B23" s="881" t="s">
        <v>402</v>
      </c>
      <c r="C23" s="871">
        <f>SUM('3c.m.'!G429)</f>
        <v>14000</v>
      </c>
      <c r="D23" s="869">
        <f t="shared" si="0"/>
        <v>14000</v>
      </c>
      <c r="E23" s="869"/>
      <c r="F23" s="884">
        <v>14000</v>
      </c>
      <c r="G23" s="885"/>
      <c r="H23" s="885"/>
      <c r="I23" s="885"/>
      <c r="J23" s="885"/>
      <c r="K23" s="885"/>
      <c r="L23" s="885"/>
      <c r="M23" s="873"/>
    </row>
    <row r="24" spans="1:13" ht="18" customHeight="1">
      <c r="A24" s="880">
        <v>3312</v>
      </c>
      <c r="B24" s="881" t="s">
        <v>385</v>
      </c>
      <c r="C24" s="871">
        <f>SUM('3c.m.'!G445)</f>
        <v>42225</v>
      </c>
      <c r="D24" s="869">
        <f t="shared" si="0"/>
        <v>42225</v>
      </c>
      <c r="E24" s="869"/>
      <c r="F24" s="884">
        <v>42225</v>
      </c>
      <c r="G24" s="885"/>
      <c r="H24" s="885"/>
      <c r="I24" s="885"/>
      <c r="J24" s="885"/>
      <c r="K24" s="885"/>
      <c r="L24" s="885"/>
      <c r="M24" s="873"/>
    </row>
    <row r="25" spans="1:13" ht="18" customHeight="1">
      <c r="A25" s="880">
        <v>3313</v>
      </c>
      <c r="B25" s="889" t="s">
        <v>10</v>
      </c>
      <c r="C25" s="871">
        <f>SUM('3c.m.'!G453)</f>
        <v>7020</v>
      </c>
      <c r="D25" s="869">
        <f t="shared" si="0"/>
        <v>7020</v>
      </c>
      <c r="E25" s="869"/>
      <c r="F25" s="884">
        <v>7000</v>
      </c>
      <c r="G25" s="885"/>
      <c r="H25" s="885"/>
      <c r="I25" s="885"/>
      <c r="J25" s="885"/>
      <c r="K25" s="885">
        <v>20</v>
      </c>
      <c r="L25" s="885"/>
      <c r="M25" s="873"/>
    </row>
    <row r="26" spans="1:13" ht="18" customHeight="1">
      <c r="A26" s="880">
        <v>3315</v>
      </c>
      <c r="B26" s="889" t="s">
        <v>11</v>
      </c>
      <c r="C26" s="871">
        <f>SUM('3c.m.'!G461)</f>
        <v>10000</v>
      </c>
      <c r="D26" s="869">
        <f t="shared" si="0"/>
        <v>10000</v>
      </c>
      <c r="E26" s="869"/>
      <c r="F26" s="884">
        <v>10000</v>
      </c>
      <c r="G26" s="885"/>
      <c r="H26" s="885"/>
      <c r="I26" s="885"/>
      <c r="J26" s="885"/>
      <c r="K26" s="885"/>
      <c r="L26" s="885"/>
      <c r="M26" s="873"/>
    </row>
    <row r="27" spans="1:13" ht="18" customHeight="1">
      <c r="A27" s="880">
        <v>3316</v>
      </c>
      <c r="B27" s="889" t="s">
        <v>138</v>
      </c>
      <c r="C27" s="871">
        <f>SUM('3c.m.'!G469)</f>
        <v>5000</v>
      </c>
      <c r="D27" s="869">
        <f t="shared" si="0"/>
        <v>5000</v>
      </c>
      <c r="E27" s="869"/>
      <c r="F27" s="884">
        <v>5000</v>
      </c>
      <c r="G27" s="885"/>
      <c r="H27" s="885"/>
      <c r="I27" s="885"/>
      <c r="J27" s="885"/>
      <c r="K27" s="885"/>
      <c r="L27" s="885"/>
      <c r="M27" s="873"/>
    </row>
    <row r="28" spans="1:13" ht="18" customHeight="1">
      <c r="A28" s="880">
        <v>3317</v>
      </c>
      <c r="B28" s="890" t="s">
        <v>386</v>
      </c>
      <c r="C28" s="871">
        <f>SUM('3c.m.'!G477)</f>
        <v>90267</v>
      </c>
      <c r="D28" s="869">
        <f t="shared" si="0"/>
        <v>90267</v>
      </c>
      <c r="E28" s="869">
        <v>57900</v>
      </c>
      <c r="F28" s="884">
        <v>32100</v>
      </c>
      <c r="G28" s="885"/>
      <c r="H28" s="885"/>
      <c r="I28" s="885"/>
      <c r="J28" s="885"/>
      <c r="K28" s="885">
        <v>267</v>
      </c>
      <c r="L28" s="885"/>
      <c r="M28" s="873"/>
    </row>
    <row r="29" spans="1:13" ht="18" customHeight="1">
      <c r="A29" s="880">
        <v>3322</v>
      </c>
      <c r="B29" s="881" t="s">
        <v>400</v>
      </c>
      <c r="C29" s="871">
        <f>SUM('3c.m.'!G503)</f>
        <v>9538</v>
      </c>
      <c r="D29" s="869">
        <f t="shared" si="0"/>
        <v>9538</v>
      </c>
      <c r="E29" s="869"/>
      <c r="F29" s="884">
        <v>9500</v>
      </c>
      <c r="G29" s="885"/>
      <c r="H29" s="885"/>
      <c r="I29" s="885"/>
      <c r="J29" s="885"/>
      <c r="K29" s="885">
        <v>38</v>
      </c>
      <c r="L29" s="885"/>
      <c r="M29" s="873"/>
    </row>
    <row r="30" spans="1:13" ht="18" customHeight="1">
      <c r="A30" s="880">
        <v>3324</v>
      </c>
      <c r="B30" s="881" t="s">
        <v>451</v>
      </c>
      <c r="C30" s="871">
        <f>SUM('3c.m.'!G519)</f>
        <v>3550</v>
      </c>
      <c r="D30" s="869">
        <f t="shared" si="0"/>
        <v>3550</v>
      </c>
      <c r="E30" s="869"/>
      <c r="F30" s="884">
        <v>2000</v>
      </c>
      <c r="G30" s="885"/>
      <c r="H30" s="885"/>
      <c r="I30" s="885"/>
      <c r="J30" s="885"/>
      <c r="K30" s="885">
        <v>1550</v>
      </c>
      <c r="L30" s="885"/>
      <c r="M30" s="873"/>
    </row>
    <row r="31" spans="1:13" ht="18" customHeight="1">
      <c r="A31" s="880">
        <v>3325</v>
      </c>
      <c r="B31" s="881" t="s">
        <v>1039</v>
      </c>
      <c r="C31" s="871">
        <f>SUM('3c.m.'!G527)</f>
        <v>40252</v>
      </c>
      <c r="D31" s="869">
        <f t="shared" si="0"/>
        <v>40252</v>
      </c>
      <c r="E31" s="869"/>
      <c r="F31" s="884">
        <v>40000</v>
      </c>
      <c r="G31" s="885"/>
      <c r="H31" s="885"/>
      <c r="I31" s="885"/>
      <c r="J31" s="885"/>
      <c r="K31" s="885">
        <v>252</v>
      </c>
      <c r="L31" s="885"/>
      <c r="M31" s="873"/>
    </row>
    <row r="32" spans="1:13" ht="18" customHeight="1">
      <c r="A32" s="880">
        <v>3326</v>
      </c>
      <c r="B32" s="881" t="s">
        <v>1042</v>
      </c>
      <c r="C32" s="871">
        <f>SUM('3c.m.'!G535)</f>
        <v>6500</v>
      </c>
      <c r="D32" s="869">
        <f t="shared" si="0"/>
        <v>6500</v>
      </c>
      <c r="E32" s="869"/>
      <c r="F32" s="884">
        <v>6500</v>
      </c>
      <c r="G32" s="885"/>
      <c r="H32" s="885"/>
      <c r="I32" s="885"/>
      <c r="J32" s="885"/>
      <c r="K32" s="885"/>
      <c r="L32" s="885"/>
      <c r="M32" s="873"/>
    </row>
    <row r="33" spans="1:13" ht="18" customHeight="1">
      <c r="A33" s="880">
        <v>3327</v>
      </c>
      <c r="B33" s="881" t="s">
        <v>1041</v>
      </c>
      <c r="C33" s="871">
        <f>SUM('3c.m.'!G543)</f>
        <v>1000</v>
      </c>
      <c r="D33" s="869">
        <f t="shared" si="0"/>
        <v>1000</v>
      </c>
      <c r="E33" s="869"/>
      <c r="F33" s="884">
        <v>1000</v>
      </c>
      <c r="G33" s="885"/>
      <c r="H33" s="885"/>
      <c r="I33" s="885"/>
      <c r="J33" s="885"/>
      <c r="K33" s="885"/>
      <c r="L33" s="885"/>
      <c r="M33" s="873"/>
    </row>
    <row r="34" spans="1:13" ht="18" customHeight="1">
      <c r="A34" s="880">
        <v>3329</v>
      </c>
      <c r="B34" s="881" t="s">
        <v>1197</v>
      </c>
      <c r="C34" s="871">
        <f>SUM('3c.m.'!G551)</f>
        <v>107059</v>
      </c>
      <c r="D34" s="869">
        <f t="shared" si="0"/>
        <v>107059</v>
      </c>
      <c r="E34" s="869"/>
      <c r="F34" s="884">
        <v>80357</v>
      </c>
      <c r="G34" s="885"/>
      <c r="H34" s="885"/>
      <c r="I34" s="885"/>
      <c r="J34" s="885"/>
      <c r="K34" s="885">
        <v>26702</v>
      </c>
      <c r="L34" s="885"/>
      <c r="M34" s="873"/>
    </row>
    <row r="35" spans="1:13" ht="18" customHeight="1">
      <c r="A35" s="880">
        <v>3351</v>
      </c>
      <c r="B35" s="881" t="s">
        <v>401</v>
      </c>
      <c r="C35" s="871">
        <f>SUM('3c.m.'!G648)</f>
        <v>15500</v>
      </c>
      <c r="D35" s="869">
        <f t="shared" si="0"/>
        <v>15500</v>
      </c>
      <c r="E35" s="869"/>
      <c r="F35" s="884">
        <v>15500</v>
      </c>
      <c r="G35" s="885"/>
      <c r="H35" s="885"/>
      <c r="I35" s="885"/>
      <c r="J35" s="885"/>
      <c r="K35" s="885"/>
      <c r="L35" s="885"/>
      <c r="M35" s="873"/>
    </row>
    <row r="36" spans="1:13" ht="18" customHeight="1">
      <c r="A36" s="880">
        <v>3352</v>
      </c>
      <c r="B36" s="881" t="s">
        <v>472</v>
      </c>
      <c r="C36" s="871">
        <f>SUM('3c.m.'!G657)</f>
        <v>21741</v>
      </c>
      <c r="D36" s="869">
        <f t="shared" si="0"/>
        <v>21741</v>
      </c>
      <c r="E36" s="869"/>
      <c r="F36" s="884">
        <v>20000</v>
      </c>
      <c r="G36" s="885"/>
      <c r="H36" s="885"/>
      <c r="I36" s="885"/>
      <c r="J36" s="885"/>
      <c r="K36" s="885">
        <v>1741</v>
      </c>
      <c r="L36" s="885"/>
      <c r="M36" s="873"/>
    </row>
    <row r="37" spans="1:13" ht="18" customHeight="1">
      <c r="A37" s="880">
        <v>3355</v>
      </c>
      <c r="B37" s="881" t="s">
        <v>37</v>
      </c>
      <c r="C37" s="871">
        <f>SUM('3c.m.'!G665)</f>
        <v>17722</v>
      </c>
      <c r="D37" s="869">
        <f t="shared" si="0"/>
        <v>17722</v>
      </c>
      <c r="E37" s="869"/>
      <c r="F37" s="884">
        <v>14000</v>
      </c>
      <c r="G37" s="885"/>
      <c r="H37" s="885"/>
      <c r="I37" s="885"/>
      <c r="J37" s="885"/>
      <c r="K37" s="885">
        <v>3722</v>
      </c>
      <c r="L37" s="885"/>
      <c r="M37" s="873"/>
    </row>
    <row r="38" spans="1:13" ht="24.95" customHeight="1">
      <c r="A38" s="880">
        <v>3356</v>
      </c>
      <c r="B38" s="891" t="s">
        <v>763</v>
      </c>
      <c r="C38" s="871">
        <f>SUM('3c.m.'!G673)</f>
        <v>22108</v>
      </c>
      <c r="D38" s="869">
        <f t="shared" si="0"/>
        <v>22108</v>
      </c>
      <c r="E38" s="869"/>
      <c r="F38" s="884">
        <v>8000</v>
      </c>
      <c r="G38" s="885"/>
      <c r="H38" s="885"/>
      <c r="I38" s="885"/>
      <c r="J38" s="885"/>
      <c r="K38" s="885">
        <v>14108</v>
      </c>
      <c r="L38" s="885"/>
      <c r="M38" s="873"/>
    </row>
    <row r="39" spans="1:13" ht="18" customHeight="1">
      <c r="A39" s="880">
        <v>3360</v>
      </c>
      <c r="B39" s="881" t="s">
        <v>390</v>
      </c>
      <c r="C39" s="871">
        <f>SUM('3c.m.'!G697)</f>
        <v>4000</v>
      </c>
      <c r="D39" s="869">
        <f t="shared" si="0"/>
        <v>4000</v>
      </c>
      <c r="E39" s="869"/>
      <c r="F39" s="884">
        <v>4000</v>
      </c>
      <c r="G39" s="885"/>
      <c r="H39" s="885"/>
      <c r="I39" s="885"/>
      <c r="J39" s="885"/>
      <c r="K39" s="885"/>
      <c r="L39" s="885"/>
      <c r="M39" s="873"/>
    </row>
    <row r="40" spans="1:13" ht="18" customHeight="1">
      <c r="A40" s="880">
        <v>3416</v>
      </c>
      <c r="B40" s="881" t="s">
        <v>173</v>
      </c>
      <c r="C40" s="871">
        <f>SUM('3c.m.'!G748)</f>
        <v>22500</v>
      </c>
      <c r="D40" s="869">
        <f t="shared" si="0"/>
        <v>22500</v>
      </c>
      <c r="E40" s="869"/>
      <c r="F40" s="884">
        <v>20000</v>
      </c>
      <c r="G40" s="885"/>
      <c r="H40" s="885"/>
      <c r="I40" s="885"/>
      <c r="J40" s="885"/>
      <c r="K40" s="885">
        <v>2500</v>
      </c>
      <c r="L40" s="885"/>
      <c r="M40" s="873"/>
    </row>
    <row r="41" spans="1:13" ht="18" customHeight="1">
      <c r="A41" s="880">
        <v>3421</v>
      </c>
      <c r="B41" s="881" t="s">
        <v>405</v>
      </c>
      <c r="C41" s="871">
        <f>SUM('3c.m.'!G757)</f>
        <v>36634</v>
      </c>
      <c r="D41" s="869">
        <f t="shared" si="0"/>
        <v>36634</v>
      </c>
      <c r="E41" s="869"/>
      <c r="F41" s="884">
        <v>16000</v>
      </c>
      <c r="G41" s="885"/>
      <c r="H41" s="885"/>
      <c r="I41" s="885"/>
      <c r="J41" s="885"/>
      <c r="K41" s="885">
        <v>20634</v>
      </c>
      <c r="L41" s="885"/>
      <c r="M41" s="873"/>
    </row>
    <row r="42" spans="1:13" ht="18" customHeight="1">
      <c r="A42" s="880">
        <v>3422</v>
      </c>
      <c r="B42" s="881" t="s">
        <v>142</v>
      </c>
      <c r="C42" s="871">
        <f>SUM('3c.m.'!G765)</f>
        <v>47957</v>
      </c>
      <c r="D42" s="869">
        <f t="shared" si="0"/>
        <v>47957</v>
      </c>
      <c r="E42" s="869">
        <v>6000</v>
      </c>
      <c r="F42" s="884">
        <v>20000</v>
      </c>
      <c r="G42" s="885"/>
      <c r="H42" s="885"/>
      <c r="I42" s="885"/>
      <c r="J42" s="885"/>
      <c r="K42" s="885">
        <v>21957</v>
      </c>
      <c r="L42" s="885"/>
      <c r="M42" s="873"/>
    </row>
    <row r="43" spans="1:13" ht="18" customHeight="1">
      <c r="A43" s="880">
        <v>3423</v>
      </c>
      <c r="B43" s="881" t="s">
        <v>141</v>
      </c>
      <c r="C43" s="871">
        <f>SUM('3c.m.'!G773)</f>
        <v>11112</v>
      </c>
      <c r="D43" s="869">
        <f t="shared" si="0"/>
        <v>11112</v>
      </c>
      <c r="E43" s="869"/>
      <c r="F43" s="884">
        <v>7232</v>
      </c>
      <c r="G43" s="885"/>
      <c r="H43" s="885"/>
      <c r="I43" s="885"/>
      <c r="J43" s="885"/>
      <c r="K43" s="885">
        <v>3880</v>
      </c>
      <c r="L43" s="885"/>
      <c r="M43" s="873"/>
    </row>
    <row r="44" spans="1:13" ht="18" customHeight="1">
      <c r="A44" s="880">
        <v>3424</v>
      </c>
      <c r="B44" s="887" t="s">
        <v>296</v>
      </c>
      <c r="C44" s="871">
        <f>SUM('3c.m.'!G781)</f>
        <v>18673</v>
      </c>
      <c r="D44" s="869">
        <f t="shared" si="0"/>
        <v>18673</v>
      </c>
      <c r="E44" s="869"/>
      <c r="F44" s="884">
        <v>15000</v>
      </c>
      <c r="G44" s="885"/>
      <c r="H44" s="885"/>
      <c r="I44" s="885"/>
      <c r="J44" s="885"/>
      <c r="K44" s="885">
        <v>3673</v>
      </c>
      <c r="L44" s="885"/>
      <c r="M44" s="873"/>
    </row>
    <row r="45" spans="1:13" ht="18" customHeight="1">
      <c r="A45" s="880">
        <v>3425</v>
      </c>
      <c r="B45" s="887" t="s">
        <v>40</v>
      </c>
      <c r="C45" s="871">
        <f>SUM('3c.m.'!G789)</f>
        <v>10619</v>
      </c>
      <c r="D45" s="869">
        <f t="shared" si="0"/>
        <v>10619</v>
      </c>
      <c r="E45" s="869"/>
      <c r="F45" s="872">
        <v>6000</v>
      </c>
      <c r="G45" s="870"/>
      <c r="H45" s="870"/>
      <c r="I45" s="870"/>
      <c r="J45" s="870"/>
      <c r="K45" s="870">
        <v>4619</v>
      </c>
      <c r="L45" s="870"/>
      <c r="M45" s="873"/>
    </row>
    <row r="46" spans="1:13" ht="18" customHeight="1">
      <c r="A46" s="880">
        <v>3426</v>
      </c>
      <c r="B46" s="881" t="s">
        <v>362</v>
      </c>
      <c r="C46" s="871">
        <f>SUM('3c.m.'!G797)</f>
        <v>92002</v>
      </c>
      <c r="D46" s="869">
        <f t="shared" si="0"/>
        <v>92002</v>
      </c>
      <c r="E46" s="869">
        <v>75500</v>
      </c>
      <c r="F46" s="872"/>
      <c r="G46" s="870"/>
      <c r="H46" s="870"/>
      <c r="I46" s="870"/>
      <c r="J46" s="870"/>
      <c r="K46" s="870">
        <v>16502</v>
      </c>
      <c r="L46" s="870"/>
      <c r="M46" s="873"/>
    </row>
    <row r="47" spans="1:13" ht="18" customHeight="1">
      <c r="A47" s="880">
        <v>3921</v>
      </c>
      <c r="B47" s="887" t="s">
        <v>488</v>
      </c>
      <c r="C47" s="871">
        <f>SUM('3d.m.'!G12)</f>
        <v>6400</v>
      </c>
      <c r="D47" s="869">
        <f t="shared" si="0"/>
        <v>6400</v>
      </c>
      <c r="E47" s="869"/>
      <c r="F47" s="872"/>
      <c r="G47" s="870"/>
      <c r="H47" s="870"/>
      <c r="I47" s="870"/>
      <c r="J47" s="870"/>
      <c r="K47" s="870">
        <v>6400</v>
      </c>
      <c r="L47" s="870"/>
      <c r="M47" s="873"/>
    </row>
    <row r="48" spans="1:13" ht="18" customHeight="1">
      <c r="A48" s="880">
        <v>3922</v>
      </c>
      <c r="B48" s="887" t="s">
        <v>487</v>
      </c>
      <c r="C48" s="871">
        <f>SUM('3d.m.'!G13)</f>
        <v>8200</v>
      </c>
      <c r="D48" s="869">
        <f t="shared" si="0"/>
        <v>8200</v>
      </c>
      <c r="E48" s="869"/>
      <c r="F48" s="872"/>
      <c r="G48" s="870"/>
      <c r="H48" s="870"/>
      <c r="I48" s="870"/>
      <c r="J48" s="870"/>
      <c r="K48" s="870">
        <v>8200</v>
      </c>
      <c r="L48" s="870"/>
      <c r="M48" s="873"/>
    </row>
    <row r="49" spans="1:13" ht="18" customHeight="1">
      <c r="A49" s="880">
        <v>3924</v>
      </c>
      <c r="B49" s="887" t="s">
        <v>1145</v>
      </c>
      <c r="C49" s="871">
        <f>SUM('3d.m.'!G14)</f>
        <v>9000</v>
      </c>
      <c r="D49" s="869">
        <f t="shared" si="0"/>
        <v>9000</v>
      </c>
      <c r="E49" s="869"/>
      <c r="F49" s="872"/>
      <c r="G49" s="870"/>
      <c r="H49" s="870"/>
      <c r="I49" s="870"/>
      <c r="J49" s="870"/>
      <c r="K49" s="870">
        <v>9000</v>
      </c>
      <c r="L49" s="870"/>
      <c r="M49" s="873"/>
    </row>
    <row r="50" spans="1:13" ht="18" customHeight="1">
      <c r="A50" s="880">
        <v>3927</v>
      </c>
      <c r="B50" s="887" t="s">
        <v>1150</v>
      </c>
      <c r="C50" s="871">
        <f>SUM('3d.m.'!G16)</f>
        <v>3000</v>
      </c>
      <c r="D50" s="869">
        <f t="shared" si="0"/>
        <v>3000</v>
      </c>
      <c r="E50" s="869"/>
      <c r="F50" s="872">
        <v>3000</v>
      </c>
      <c r="G50" s="870"/>
      <c r="H50" s="870"/>
      <c r="I50" s="870"/>
      <c r="J50" s="870"/>
      <c r="K50" s="870"/>
      <c r="L50" s="870"/>
      <c r="M50" s="873"/>
    </row>
    <row r="51" spans="1:13" ht="18" customHeight="1">
      <c r="A51" s="867">
        <v>3928</v>
      </c>
      <c r="B51" s="870" t="s">
        <v>153</v>
      </c>
      <c r="C51" s="871">
        <f>SUM('3d.m.'!G17)</f>
        <v>449104</v>
      </c>
      <c r="D51" s="869">
        <f t="shared" si="0"/>
        <v>449104</v>
      </c>
      <c r="E51" s="869"/>
      <c r="F51" s="872">
        <v>17000</v>
      </c>
      <c r="G51" s="870"/>
      <c r="H51" s="870"/>
      <c r="I51" s="870"/>
      <c r="J51" s="870"/>
      <c r="K51" s="870">
        <v>432104</v>
      </c>
      <c r="L51" s="870"/>
      <c r="M51" s="873"/>
    </row>
    <row r="52" spans="1:13" ht="18" customHeight="1">
      <c r="A52" s="867">
        <v>3929</v>
      </c>
      <c r="B52" s="870" t="s">
        <v>287</v>
      </c>
      <c r="C52" s="871">
        <f>SUM('3d.m.'!G23)</f>
        <v>7200</v>
      </c>
      <c r="D52" s="869">
        <f t="shared" si="0"/>
        <v>7200</v>
      </c>
      <c r="E52" s="869"/>
      <c r="F52" s="872"/>
      <c r="G52" s="870"/>
      <c r="H52" s="870"/>
      <c r="I52" s="870"/>
      <c r="J52" s="870"/>
      <c r="K52" s="870">
        <v>7200</v>
      </c>
      <c r="L52" s="870"/>
      <c r="M52" s="873"/>
    </row>
    <row r="53" spans="1:13" ht="18" customHeight="1">
      <c r="A53" s="880">
        <v>3932</v>
      </c>
      <c r="B53" s="887" t="s">
        <v>187</v>
      </c>
      <c r="C53" s="871">
        <f>SUM('3d.m.'!G27)</f>
        <v>12500</v>
      </c>
      <c r="D53" s="869">
        <f t="shared" si="0"/>
        <v>12500</v>
      </c>
      <c r="E53" s="869"/>
      <c r="F53" s="872">
        <v>12500</v>
      </c>
      <c r="G53" s="870"/>
      <c r="H53" s="870"/>
      <c r="I53" s="870"/>
      <c r="J53" s="870"/>
      <c r="K53" s="870"/>
      <c r="L53" s="870"/>
      <c r="M53" s="873"/>
    </row>
    <row r="54" spans="1:13" ht="18" customHeight="1">
      <c r="A54" s="880">
        <v>3934</v>
      </c>
      <c r="B54" s="887" t="s">
        <v>419</v>
      </c>
      <c r="C54" s="871">
        <f>SUM('3d.m.'!G28)</f>
        <v>5000</v>
      </c>
      <c r="D54" s="869">
        <f t="shared" si="0"/>
        <v>5000</v>
      </c>
      <c r="E54" s="869"/>
      <c r="F54" s="872">
        <v>5000</v>
      </c>
      <c r="G54" s="870"/>
      <c r="H54" s="870"/>
      <c r="I54" s="870"/>
      <c r="J54" s="870"/>
      <c r="K54" s="870"/>
      <c r="L54" s="870"/>
      <c r="M54" s="873"/>
    </row>
    <row r="55" spans="1:13" ht="24" customHeight="1">
      <c r="A55" s="880">
        <v>3941</v>
      </c>
      <c r="B55" s="892" t="s">
        <v>765</v>
      </c>
      <c r="C55" s="871">
        <f>SUM('3d.m.'!G31)</f>
        <v>350160</v>
      </c>
      <c r="D55" s="869">
        <f t="shared" si="0"/>
        <v>350160</v>
      </c>
      <c r="E55" s="869"/>
      <c r="F55" s="872">
        <v>350160</v>
      </c>
      <c r="G55" s="870"/>
      <c r="H55" s="870"/>
      <c r="I55" s="870"/>
      <c r="J55" s="870"/>
      <c r="K55" s="870"/>
      <c r="L55" s="870"/>
      <c r="M55" s="873"/>
    </row>
    <row r="56" spans="1:13" ht="18" customHeight="1">
      <c r="A56" s="867">
        <v>3942</v>
      </c>
      <c r="B56" s="893" t="s">
        <v>422</v>
      </c>
      <c r="C56" s="871">
        <f>SUM('3d.m.'!G32)</f>
        <v>8000</v>
      </c>
      <c r="D56" s="869">
        <f t="shared" si="0"/>
        <v>8000</v>
      </c>
      <c r="E56" s="869"/>
      <c r="F56" s="872"/>
      <c r="G56" s="870"/>
      <c r="H56" s="870"/>
      <c r="I56" s="870"/>
      <c r="J56" s="870"/>
      <c r="K56" s="870">
        <v>8000</v>
      </c>
      <c r="L56" s="870"/>
      <c r="M56" s="873"/>
    </row>
    <row r="57" spans="1:13" ht="18" customHeight="1">
      <c r="A57" s="867">
        <v>3943</v>
      </c>
      <c r="B57" s="870" t="s">
        <v>6</v>
      </c>
      <c r="C57" s="871">
        <f>SUM('3d.m.'!G33)</f>
        <v>1000</v>
      </c>
      <c r="D57" s="869">
        <f t="shared" si="0"/>
        <v>1000</v>
      </c>
      <c r="E57" s="869"/>
      <c r="F57" s="872">
        <v>1000</v>
      </c>
      <c r="G57" s="870"/>
      <c r="H57" s="870"/>
      <c r="I57" s="870"/>
      <c r="J57" s="870"/>
      <c r="K57" s="870"/>
      <c r="L57" s="870"/>
      <c r="M57" s="873"/>
    </row>
    <row r="58" spans="1:13" ht="18" customHeight="1">
      <c r="A58" s="867">
        <v>3944</v>
      </c>
      <c r="B58" s="870" t="s">
        <v>420</v>
      </c>
      <c r="C58" s="871">
        <f>SUM('3d.m.'!G38)</f>
        <v>20000</v>
      </c>
      <c r="D58" s="869">
        <f t="shared" si="0"/>
        <v>20000</v>
      </c>
      <c r="E58" s="869"/>
      <c r="F58" s="872">
        <v>20000</v>
      </c>
      <c r="G58" s="870"/>
      <c r="H58" s="870"/>
      <c r="I58" s="870"/>
      <c r="J58" s="870"/>
      <c r="K58" s="870"/>
      <c r="L58" s="870"/>
      <c r="M58" s="873"/>
    </row>
    <row r="59" spans="1:13" ht="18" customHeight="1">
      <c r="A59" s="867">
        <v>3945</v>
      </c>
      <c r="B59" s="1175" t="s">
        <v>1113</v>
      </c>
      <c r="C59" s="871">
        <f>SUM('3d.m.'!G39)</f>
        <v>21000</v>
      </c>
      <c r="D59" s="869">
        <f t="shared" si="0"/>
        <v>21000</v>
      </c>
      <c r="E59" s="869"/>
      <c r="F59" s="872">
        <v>15000</v>
      </c>
      <c r="G59" s="870"/>
      <c r="H59" s="870"/>
      <c r="I59" s="870"/>
      <c r="J59" s="870"/>
      <c r="K59" s="870">
        <v>6000</v>
      </c>
      <c r="L59" s="870"/>
      <c r="M59" s="873"/>
    </row>
    <row r="60" spans="1:13" ht="18" customHeight="1">
      <c r="A60" s="867">
        <v>3972</v>
      </c>
      <c r="B60" s="870" t="s">
        <v>423</v>
      </c>
      <c r="C60" s="871">
        <f>SUM('3d.m.'!G45)</f>
        <v>19850</v>
      </c>
      <c r="D60" s="869">
        <f t="shared" si="0"/>
        <v>19850</v>
      </c>
      <c r="E60" s="869"/>
      <c r="F60" s="872"/>
      <c r="G60" s="870"/>
      <c r="H60" s="870"/>
      <c r="I60" s="870"/>
      <c r="J60" s="870"/>
      <c r="K60" s="870">
        <v>19850</v>
      </c>
      <c r="L60" s="870"/>
      <c r="M60" s="894"/>
    </row>
    <row r="61" spans="1:13" ht="18" customHeight="1">
      <c r="A61" s="867">
        <v>3988</v>
      </c>
      <c r="B61" s="895" t="s">
        <v>766</v>
      </c>
      <c r="C61" s="871">
        <f>SUM('3d.m.'!G48)</f>
        <v>1185</v>
      </c>
      <c r="D61" s="869">
        <f t="shared" si="0"/>
        <v>1185</v>
      </c>
      <c r="E61" s="869"/>
      <c r="F61" s="872">
        <v>1185</v>
      </c>
      <c r="G61" s="870"/>
      <c r="H61" s="870"/>
      <c r="I61" s="870"/>
      <c r="J61" s="870"/>
      <c r="K61" s="870"/>
      <c r="L61" s="870"/>
      <c r="M61" s="894"/>
    </row>
    <row r="62" spans="1:13" ht="18" customHeight="1">
      <c r="A62" s="867">
        <v>3989</v>
      </c>
      <c r="B62" s="895" t="s">
        <v>360</v>
      </c>
      <c r="C62" s="871">
        <f>SUM('3d.m.'!G49)</f>
        <v>6000</v>
      </c>
      <c r="D62" s="869">
        <f t="shared" si="0"/>
        <v>6000</v>
      </c>
      <c r="E62" s="869"/>
      <c r="F62" s="872">
        <v>6000</v>
      </c>
      <c r="G62" s="870"/>
      <c r="H62" s="870"/>
      <c r="I62" s="870"/>
      <c r="J62" s="870"/>
      <c r="K62" s="870"/>
      <c r="L62" s="870"/>
      <c r="M62" s="894"/>
    </row>
    <row r="63" spans="1:13" ht="18" customHeight="1">
      <c r="A63" s="867">
        <v>3990</v>
      </c>
      <c r="B63" s="896" t="s">
        <v>309</v>
      </c>
      <c r="C63" s="871">
        <f>SUM('3d.m.'!G50)</f>
        <v>1769</v>
      </c>
      <c r="D63" s="869">
        <f t="shared" si="0"/>
        <v>1769</v>
      </c>
      <c r="E63" s="869"/>
      <c r="F63" s="872">
        <v>1769</v>
      </c>
      <c r="G63" s="870"/>
      <c r="H63" s="870"/>
      <c r="I63" s="870"/>
      <c r="J63" s="870"/>
      <c r="K63" s="870"/>
      <c r="L63" s="870"/>
      <c r="M63" s="894"/>
    </row>
    <row r="64" spans="1:13" ht="18" customHeight="1">
      <c r="A64" s="867">
        <v>3991</v>
      </c>
      <c r="B64" s="896" t="s">
        <v>354</v>
      </c>
      <c r="C64" s="871">
        <f>SUM('3d.m.'!G51)</f>
        <v>4820</v>
      </c>
      <c r="D64" s="869">
        <f t="shared" si="0"/>
        <v>4820</v>
      </c>
      <c r="E64" s="869"/>
      <c r="F64" s="872">
        <v>4820</v>
      </c>
      <c r="G64" s="870"/>
      <c r="H64" s="870"/>
      <c r="I64" s="870"/>
      <c r="J64" s="870"/>
      <c r="K64" s="870"/>
      <c r="L64" s="870"/>
      <c r="M64" s="894"/>
    </row>
    <row r="65" spans="1:13" ht="18" customHeight="1">
      <c r="A65" s="897">
        <v>3992</v>
      </c>
      <c r="B65" s="896" t="s">
        <v>310</v>
      </c>
      <c r="C65" s="871">
        <f>SUM('3d.m.'!G52)</f>
        <v>1400</v>
      </c>
      <c r="D65" s="869">
        <f t="shared" si="0"/>
        <v>1400</v>
      </c>
      <c r="E65" s="869"/>
      <c r="F65" s="872">
        <v>1400</v>
      </c>
      <c r="G65" s="870"/>
      <c r="H65" s="870"/>
      <c r="I65" s="870"/>
      <c r="J65" s="870"/>
      <c r="K65" s="870"/>
      <c r="L65" s="870"/>
      <c r="M65" s="894"/>
    </row>
    <row r="66" spans="1:13" ht="18" customHeight="1">
      <c r="A66" s="867">
        <v>3993</v>
      </c>
      <c r="B66" s="896" t="s">
        <v>311</v>
      </c>
      <c r="C66" s="871">
        <f>SUM('3d.m.'!G53)</f>
        <v>900</v>
      </c>
      <c r="D66" s="869">
        <f t="shared" si="0"/>
        <v>900</v>
      </c>
      <c r="E66" s="869"/>
      <c r="F66" s="872">
        <v>900</v>
      </c>
      <c r="G66" s="870"/>
      <c r="H66" s="870"/>
      <c r="I66" s="870"/>
      <c r="J66" s="870"/>
      <c r="K66" s="870"/>
      <c r="L66" s="870"/>
      <c r="M66" s="894"/>
    </row>
    <row r="67" spans="1:13" ht="18" customHeight="1">
      <c r="A67" s="867">
        <v>3994</v>
      </c>
      <c r="B67" s="896" t="s">
        <v>103</v>
      </c>
      <c r="C67" s="871">
        <f>SUM('3d.m.'!G54)</f>
        <v>900</v>
      </c>
      <c r="D67" s="869">
        <f t="shared" si="0"/>
        <v>900</v>
      </c>
      <c r="E67" s="869"/>
      <c r="F67" s="872">
        <v>900</v>
      </c>
      <c r="G67" s="870"/>
      <c r="H67" s="870"/>
      <c r="I67" s="870"/>
      <c r="J67" s="870"/>
      <c r="K67" s="870"/>
      <c r="L67" s="870"/>
      <c r="M67" s="894"/>
    </row>
    <row r="68" spans="1:13" ht="18" customHeight="1">
      <c r="A68" s="867">
        <v>3995</v>
      </c>
      <c r="B68" s="896" t="s">
        <v>104</v>
      </c>
      <c r="C68" s="871">
        <f>SUM('3d.m.'!G55)</f>
        <v>900</v>
      </c>
      <c r="D68" s="869">
        <f t="shared" si="0"/>
        <v>900</v>
      </c>
      <c r="E68" s="869"/>
      <c r="F68" s="872">
        <v>900</v>
      </c>
      <c r="G68" s="870"/>
      <c r="H68" s="870"/>
      <c r="I68" s="870"/>
      <c r="J68" s="870"/>
      <c r="K68" s="870"/>
      <c r="L68" s="870"/>
      <c r="M68" s="894"/>
    </row>
    <row r="69" spans="1:13" ht="18" customHeight="1">
      <c r="A69" s="867">
        <v>3997</v>
      </c>
      <c r="B69" s="896" t="s">
        <v>105</v>
      </c>
      <c r="C69" s="871">
        <f>SUM('3d.m.'!G56)</f>
        <v>900</v>
      </c>
      <c r="D69" s="869">
        <f t="shared" si="0"/>
        <v>900</v>
      </c>
      <c r="E69" s="869"/>
      <c r="F69" s="872">
        <v>900</v>
      </c>
      <c r="G69" s="870"/>
      <c r="H69" s="870"/>
      <c r="I69" s="870"/>
      <c r="J69" s="870"/>
      <c r="K69" s="870"/>
      <c r="L69" s="870"/>
      <c r="M69" s="894"/>
    </row>
    <row r="70" spans="1:13" ht="18" customHeight="1">
      <c r="A70" s="867">
        <v>3998</v>
      </c>
      <c r="B70" s="896" t="s">
        <v>106</v>
      </c>
      <c r="C70" s="871">
        <f>SUM('3d.m.'!G57)</f>
        <v>1124</v>
      </c>
      <c r="D70" s="869">
        <f t="shared" si="0"/>
        <v>1124</v>
      </c>
      <c r="E70" s="869"/>
      <c r="F70" s="872">
        <v>1124</v>
      </c>
      <c r="G70" s="870"/>
      <c r="H70" s="870"/>
      <c r="I70" s="870"/>
      <c r="J70" s="870"/>
      <c r="K70" s="870"/>
      <c r="L70" s="870"/>
      <c r="M70" s="894"/>
    </row>
    <row r="71" spans="1:13" ht="18" customHeight="1">
      <c r="A71" s="867">
        <v>3999</v>
      </c>
      <c r="B71" s="896" t="s">
        <v>107</v>
      </c>
      <c r="C71" s="871">
        <f>SUM('3d.m.'!G58)</f>
        <v>1000</v>
      </c>
      <c r="D71" s="869">
        <f t="shared" si="0"/>
        <v>1000</v>
      </c>
      <c r="E71" s="869"/>
      <c r="F71" s="872">
        <v>1000</v>
      </c>
      <c r="G71" s="870"/>
      <c r="H71" s="870"/>
      <c r="I71" s="870"/>
      <c r="J71" s="870"/>
      <c r="K71" s="870"/>
      <c r="L71" s="870"/>
      <c r="M71" s="894"/>
    </row>
    <row r="72" spans="1:13" ht="18" customHeight="1">
      <c r="A72" s="867">
        <v>4132</v>
      </c>
      <c r="B72" s="870" t="s">
        <v>124</v>
      </c>
      <c r="C72" s="871">
        <f>SUM('4.mell.'!G42)</f>
        <v>32276</v>
      </c>
      <c r="D72" s="869">
        <f t="shared" si="0"/>
        <v>32276</v>
      </c>
      <c r="E72" s="869"/>
      <c r="F72" s="872">
        <v>5000</v>
      </c>
      <c r="G72" s="870"/>
      <c r="H72" s="870"/>
      <c r="I72" s="870"/>
      <c r="J72" s="870"/>
      <c r="K72" s="870">
        <v>12276</v>
      </c>
      <c r="L72" s="870"/>
      <c r="M72" s="898">
        <v>15000</v>
      </c>
    </row>
    <row r="73" spans="1:13" ht="18" customHeight="1">
      <c r="A73" s="867">
        <v>4120</v>
      </c>
      <c r="B73" s="992" t="s">
        <v>1022</v>
      </c>
      <c r="C73" s="871">
        <f>SUM('4.mell.'!G23)</f>
        <v>750000</v>
      </c>
      <c r="D73" s="869">
        <f t="shared" si="0"/>
        <v>750000</v>
      </c>
      <c r="E73" s="869"/>
      <c r="F73" s="872"/>
      <c r="G73" s="870"/>
      <c r="H73" s="870">
        <v>250000</v>
      </c>
      <c r="I73" s="870"/>
      <c r="J73" s="870"/>
      <c r="K73" s="870">
        <v>500000</v>
      </c>
      <c r="L73" s="870"/>
      <c r="M73" s="898"/>
    </row>
    <row r="74" spans="1:13" ht="18" customHeight="1">
      <c r="A74" s="867">
        <v>4323</v>
      </c>
      <c r="B74" s="992" t="s">
        <v>1051</v>
      </c>
      <c r="C74" s="871">
        <f>SUM('4.mell.'!G68)</f>
        <v>95000</v>
      </c>
      <c r="D74" s="869">
        <f t="shared" si="0"/>
        <v>95000</v>
      </c>
      <c r="E74" s="869"/>
      <c r="F74" s="872"/>
      <c r="G74" s="870"/>
      <c r="H74" s="870"/>
      <c r="I74" s="870"/>
      <c r="J74" s="870"/>
      <c r="K74" s="870">
        <v>95000</v>
      </c>
      <c r="L74" s="870"/>
      <c r="M74" s="898"/>
    </row>
    <row r="75" spans="1:13" ht="18" customHeight="1">
      <c r="A75" s="867">
        <v>4324</v>
      </c>
      <c r="B75" s="992" t="s">
        <v>1296</v>
      </c>
      <c r="C75" s="871">
        <v>800000</v>
      </c>
      <c r="D75" s="869">
        <f t="shared" si="0"/>
        <v>800000</v>
      </c>
      <c r="E75" s="869"/>
      <c r="F75" s="872"/>
      <c r="G75" s="870">
        <v>60000</v>
      </c>
      <c r="H75" s="870">
        <v>740000</v>
      </c>
      <c r="I75" s="870"/>
      <c r="J75" s="870"/>
      <c r="K75" s="870"/>
      <c r="L75" s="870"/>
      <c r="M75" s="898"/>
    </row>
    <row r="76" spans="1:13" ht="18" customHeight="1">
      <c r="A76" s="867">
        <v>5013</v>
      </c>
      <c r="B76" s="1108" t="s">
        <v>1057</v>
      </c>
      <c r="C76" s="871">
        <f>SUM('5.mell. '!G12)</f>
        <v>0</v>
      </c>
      <c r="D76" s="869">
        <f t="shared" si="0"/>
        <v>0</v>
      </c>
      <c r="E76" s="869"/>
      <c r="F76" s="872"/>
      <c r="G76" s="870"/>
      <c r="H76" s="870"/>
      <c r="I76" s="870"/>
      <c r="J76" s="870"/>
      <c r="K76" s="870"/>
      <c r="L76" s="870"/>
      <c r="M76" s="898"/>
    </row>
    <row r="77" spans="1:13" ht="18" customHeight="1">
      <c r="A77" s="867">
        <v>5014</v>
      </c>
      <c r="B77" s="671" t="s">
        <v>1069</v>
      </c>
      <c r="C77" s="871">
        <f>SUM('5.mell. '!G13)</f>
        <v>7000</v>
      </c>
      <c r="D77" s="869">
        <f t="shared" si="0"/>
        <v>7000</v>
      </c>
      <c r="E77" s="869"/>
      <c r="F77" s="872">
        <v>7000</v>
      </c>
      <c r="G77" s="870"/>
      <c r="H77" s="870"/>
      <c r="I77" s="870"/>
      <c r="J77" s="870"/>
      <c r="K77" s="870"/>
      <c r="L77" s="870"/>
      <c r="M77" s="898"/>
    </row>
    <row r="78" spans="1:13" ht="18" customHeight="1">
      <c r="A78" s="867">
        <v>5015</v>
      </c>
      <c r="B78" s="1108" t="s">
        <v>1075</v>
      </c>
      <c r="C78" s="871">
        <f>SUM('5.mell. '!G14)</f>
        <v>10000</v>
      </c>
      <c r="D78" s="869">
        <f t="shared" si="0"/>
        <v>10000</v>
      </c>
      <c r="E78" s="869"/>
      <c r="F78" s="872">
        <v>10000</v>
      </c>
      <c r="G78" s="870"/>
      <c r="H78" s="870"/>
      <c r="I78" s="870"/>
      <c r="J78" s="870"/>
      <c r="K78" s="870"/>
      <c r="L78" s="870"/>
      <c r="M78" s="898"/>
    </row>
    <row r="79" spans="1:13" ht="18" customHeight="1">
      <c r="A79" s="867">
        <v>5016</v>
      </c>
      <c r="B79" s="992" t="s">
        <v>1118</v>
      </c>
      <c r="C79" s="871">
        <f>SUM('5.mell. '!G15)</f>
        <v>60000</v>
      </c>
      <c r="D79" s="869">
        <f t="shared" si="0"/>
        <v>60000</v>
      </c>
      <c r="E79" s="869"/>
      <c r="F79" s="872"/>
      <c r="G79" s="870"/>
      <c r="H79" s="870"/>
      <c r="I79" s="870"/>
      <c r="J79" s="870"/>
      <c r="K79" s="870">
        <v>60000</v>
      </c>
      <c r="L79" s="870"/>
      <c r="M79" s="898"/>
    </row>
    <row r="80" spans="1:13" ht="18" customHeight="1">
      <c r="A80" s="867">
        <v>5035</v>
      </c>
      <c r="B80" s="899" t="s">
        <v>1007</v>
      </c>
      <c r="C80" s="871">
        <f>SUM('5.mell. '!G29)</f>
        <v>547516</v>
      </c>
      <c r="D80" s="869">
        <f t="shared" si="0"/>
        <v>547516</v>
      </c>
      <c r="E80" s="869"/>
      <c r="F80" s="872"/>
      <c r="G80" s="870"/>
      <c r="H80" s="870">
        <v>150000</v>
      </c>
      <c r="I80" s="870"/>
      <c r="J80" s="870"/>
      <c r="K80" s="870">
        <v>397516</v>
      </c>
      <c r="L80" s="870"/>
      <c r="M80" s="894"/>
    </row>
    <row r="81" spans="1:13" ht="18" customHeight="1">
      <c r="A81" s="867">
        <v>5038</v>
      </c>
      <c r="B81" s="899" t="s">
        <v>1139</v>
      </c>
      <c r="C81" s="871">
        <f>SUM('5.mell. '!G20)</f>
        <v>185882</v>
      </c>
      <c r="D81" s="869">
        <f t="shared" si="0"/>
        <v>185882</v>
      </c>
      <c r="E81" s="869"/>
      <c r="F81" s="872"/>
      <c r="G81" s="870"/>
      <c r="H81" s="870"/>
      <c r="I81" s="870"/>
      <c r="J81" s="870"/>
      <c r="K81" s="870">
        <v>185882</v>
      </c>
      <c r="L81" s="870"/>
      <c r="M81" s="894"/>
    </row>
    <row r="82" spans="1:13" ht="15.75" customHeight="1">
      <c r="A82" s="867">
        <v>5039</v>
      </c>
      <c r="B82" s="899" t="s">
        <v>1233</v>
      </c>
      <c r="C82" s="871">
        <f>SUM('5.mell. '!G32)</f>
        <v>13223</v>
      </c>
      <c r="D82" s="869">
        <f t="shared" si="0"/>
        <v>13223</v>
      </c>
      <c r="E82" s="869"/>
      <c r="F82" s="872"/>
      <c r="G82" s="870"/>
      <c r="H82" s="870"/>
      <c r="I82" s="870"/>
      <c r="J82" s="870"/>
      <c r="K82" s="870">
        <v>13223</v>
      </c>
      <c r="L82" s="870"/>
      <c r="M82" s="894"/>
    </row>
    <row r="83" spans="1:13" ht="15.75" customHeight="1">
      <c r="A83" s="867">
        <v>5062</v>
      </c>
      <c r="B83" s="899" t="s">
        <v>1240</v>
      </c>
      <c r="C83" s="871">
        <f>SUM('5.mell. '!G36)</f>
        <v>1553</v>
      </c>
      <c r="D83" s="869">
        <f t="shared" si="0"/>
        <v>1553</v>
      </c>
      <c r="E83" s="869"/>
      <c r="F83" s="872"/>
      <c r="G83" s="870"/>
      <c r="H83" s="870"/>
      <c r="I83" s="870"/>
      <c r="J83" s="870"/>
      <c r="K83" s="870">
        <v>1553</v>
      </c>
      <c r="L83" s="870"/>
      <c r="M83" s="894"/>
    </row>
    <row r="84" spans="1:13" ht="15.75" customHeight="1">
      <c r="A84" s="867">
        <v>5069</v>
      </c>
      <c r="B84" s="899" t="s">
        <v>1249</v>
      </c>
      <c r="C84" s="871">
        <f>SUM('5.mell. '!G37)</f>
        <v>13000</v>
      </c>
      <c r="D84" s="869">
        <f t="shared" si="0"/>
        <v>13000</v>
      </c>
      <c r="E84" s="869"/>
      <c r="F84" s="872">
        <v>13000</v>
      </c>
      <c r="G84" s="870"/>
      <c r="H84" s="870"/>
      <c r="I84" s="870"/>
      <c r="J84" s="870"/>
      <c r="K84" s="870"/>
      <c r="L84" s="870"/>
      <c r="M84" s="894"/>
    </row>
    <row r="85" spans="1:13" ht="18" customHeight="1">
      <c r="A85" s="867">
        <v>6121</v>
      </c>
      <c r="B85" s="868" t="s">
        <v>967</v>
      </c>
      <c r="C85" s="871">
        <f>SUM('6.mell. '!G21)</f>
        <v>16463</v>
      </c>
      <c r="D85" s="869">
        <f t="shared" si="0"/>
        <v>16463</v>
      </c>
      <c r="E85" s="869"/>
      <c r="F85" s="872">
        <v>16463</v>
      </c>
      <c r="G85" s="870"/>
      <c r="H85" s="870"/>
      <c r="I85" s="870"/>
      <c r="J85" s="870"/>
      <c r="K85" s="870"/>
      <c r="L85" s="870"/>
      <c r="M85" s="894"/>
    </row>
    <row r="86" spans="1:13" ht="18" customHeight="1">
      <c r="A86" s="867">
        <v>6122</v>
      </c>
      <c r="B86" s="1079" t="s">
        <v>1114</v>
      </c>
      <c r="C86" s="871">
        <f>SUM('6.mell. '!G22)</f>
        <v>0</v>
      </c>
      <c r="D86" s="869">
        <f t="shared" si="0"/>
        <v>0</v>
      </c>
      <c r="E86" s="869"/>
      <c r="F86" s="872"/>
      <c r="G86" s="870"/>
      <c r="H86" s="870"/>
      <c r="I86" s="870"/>
      <c r="J86" s="870"/>
      <c r="K86" s="870"/>
      <c r="L86" s="870"/>
      <c r="M86" s="894"/>
    </row>
    <row r="87" spans="1:13" ht="18" customHeight="1">
      <c r="A87" s="867">
        <v>6128</v>
      </c>
      <c r="B87" s="717" t="s">
        <v>1115</v>
      </c>
      <c r="C87" s="871">
        <f>SUM('6.mell. '!G34)</f>
        <v>0</v>
      </c>
      <c r="D87" s="869">
        <f t="shared" si="0"/>
        <v>0</v>
      </c>
      <c r="E87" s="869"/>
      <c r="F87" s="872"/>
      <c r="G87" s="870"/>
      <c r="H87" s="870"/>
      <c r="I87" s="870"/>
      <c r="J87" s="870"/>
      <c r="K87" s="870"/>
      <c r="L87" s="870"/>
      <c r="M87" s="894"/>
    </row>
    <row r="88" spans="1:13" ht="18" customHeight="1">
      <c r="A88" s="867">
        <v>6128</v>
      </c>
      <c r="B88" s="717" t="s">
        <v>1116</v>
      </c>
      <c r="C88" s="871">
        <f>SUM('6.mell. '!G35)</f>
        <v>10000</v>
      </c>
      <c r="D88" s="869">
        <f t="shared" si="0"/>
        <v>10000</v>
      </c>
      <c r="E88" s="869"/>
      <c r="F88" s="872">
        <v>10000</v>
      </c>
      <c r="G88" s="870"/>
      <c r="H88" s="870"/>
      <c r="I88" s="870"/>
      <c r="J88" s="870"/>
      <c r="K88" s="870"/>
      <c r="L88" s="870"/>
      <c r="M88" s="894"/>
    </row>
    <row r="89" spans="1:13" ht="24.75" customHeight="1">
      <c r="A89" s="1192" t="s">
        <v>1198</v>
      </c>
      <c r="B89" s="1079" t="s">
        <v>1200</v>
      </c>
      <c r="C89" s="871">
        <v>313000</v>
      </c>
      <c r="D89" s="869">
        <f t="shared" si="0"/>
        <v>313000</v>
      </c>
      <c r="E89" s="869"/>
      <c r="F89" s="872"/>
      <c r="G89" s="870"/>
      <c r="H89" s="870"/>
      <c r="I89" s="870"/>
      <c r="J89" s="870"/>
      <c r="K89" s="870">
        <v>313000</v>
      </c>
      <c r="L89" s="870"/>
      <c r="M89" s="894"/>
    </row>
    <row r="90" spans="1:14" ht="21" customHeight="1">
      <c r="A90" s="832"/>
      <c r="B90" s="900" t="s">
        <v>151</v>
      </c>
      <c r="C90" s="854">
        <f>SUM(C7:C89)</f>
        <v>5081954</v>
      </c>
      <c r="D90" s="854">
        <f>SUM(D7:D89)</f>
        <v>5081954</v>
      </c>
      <c r="E90" s="854">
        <f aca="true" t="shared" si="1" ref="E90:M90">SUM(E7:E89)</f>
        <v>363810</v>
      </c>
      <c r="F90" s="854">
        <f t="shared" si="1"/>
        <v>1231767</v>
      </c>
      <c r="G90" s="854">
        <f t="shared" si="1"/>
        <v>101000</v>
      </c>
      <c r="H90" s="854">
        <f t="shared" si="1"/>
        <v>1140000</v>
      </c>
      <c r="I90" s="854">
        <f t="shared" si="1"/>
        <v>11000</v>
      </c>
      <c r="J90" s="854">
        <f t="shared" si="1"/>
        <v>0</v>
      </c>
      <c r="K90" s="854">
        <f t="shared" si="1"/>
        <v>2219377</v>
      </c>
      <c r="L90" s="854">
        <f t="shared" si="1"/>
        <v>0</v>
      </c>
      <c r="M90" s="854">
        <f t="shared" si="1"/>
        <v>15000</v>
      </c>
      <c r="N90" s="860"/>
    </row>
    <row r="92" spans="3:11" ht="12.75">
      <c r="C92" s="860"/>
      <c r="K92" s="860"/>
    </row>
  </sheetData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3937007874015748" bottom="0.1968503937007874" header="0.31496062992125984" footer="0"/>
  <pageSetup firstPageNumber="60" useFirstPageNumber="1" horizontalDpi="600" verticalDpi="600" orientation="landscape" paperSize="9" scale="65" r:id="rId1"/>
  <headerFooter alignWithMargins="0">
    <oddFooter>&amp;C&amp;P. oldal</oddFooter>
  </headerFooter>
  <rowBreaks count="2" manualBreakCount="2">
    <brk id="45" max="16383" man="1"/>
    <brk id="8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 topLeftCell="A1">
      <selection activeCell="K21" sqref="K21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523" t="s">
        <v>767</v>
      </c>
      <c r="C3" s="1523"/>
      <c r="D3" s="1523"/>
      <c r="E3" s="1523"/>
      <c r="F3" s="1523"/>
      <c r="G3" s="1523"/>
    </row>
    <row r="4" spans="2:7" ht="18.75" customHeight="1">
      <c r="B4" s="1524" t="s">
        <v>768</v>
      </c>
      <c r="C4" s="1524"/>
      <c r="D4" s="1524"/>
      <c r="E4" s="1524"/>
      <c r="F4" s="1524"/>
      <c r="G4" s="1524"/>
    </row>
    <row r="5" spans="2:6" ht="18.75">
      <c r="B5" s="1525" t="s">
        <v>1112</v>
      </c>
      <c r="C5" s="1525"/>
      <c r="D5" s="1525"/>
      <c r="E5" s="1525"/>
      <c r="F5" s="1525"/>
    </row>
    <row r="6" spans="2:6" ht="18.75">
      <c r="B6" s="901"/>
      <c r="C6" s="901"/>
      <c r="D6" s="901"/>
      <c r="E6" s="901"/>
      <c r="F6" s="901"/>
    </row>
    <row r="7" ht="12.75">
      <c r="G7" s="902" t="s">
        <v>368</v>
      </c>
    </row>
    <row r="8" spans="2:7" ht="132.75" customHeight="1">
      <c r="B8" s="903" t="s">
        <v>769</v>
      </c>
      <c r="C8" s="864" t="s">
        <v>1293</v>
      </c>
      <c r="D8" s="904" t="s">
        <v>754</v>
      </c>
      <c r="E8" s="903" t="s">
        <v>770</v>
      </c>
      <c r="F8" s="903" t="s">
        <v>771</v>
      </c>
      <c r="G8" s="864" t="s">
        <v>772</v>
      </c>
    </row>
    <row r="9" spans="2:7" ht="14.25">
      <c r="B9" s="903" t="s">
        <v>280</v>
      </c>
      <c r="C9" s="866"/>
      <c r="D9" s="905"/>
      <c r="E9" s="903"/>
      <c r="F9" s="903"/>
      <c r="G9" s="864"/>
    </row>
    <row r="10" spans="2:7" ht="23.25" customHeight="1">
      <c r="B10" s="906" t="s">
        <v>1111</v>
      </c>
      <c r="C10" s="907">
        <v>224585</v>
      </c>
      <c r="D10" s="908">
        <v>224585</v>
      </c>
      <c r="E10" s="909"/>
      <c r="F10" s="909"/>
      <c r="G10" s="877">
        <v>224585</v>
      </c>
    </row>
    <row r="11" spans="2:7" ht="18" customHeight="1">
      <c r="B11" s="909"/>
      <c r="C11" s="909"/>
      <c r="D11" s="909"/>
      <c r="E11" s="909"/>
      <c r="F11" s="909"/>
      <c r="G11" s="909"/>
    </row>
    <row r="12" spans="2:7" ht="23.25" customHeight="1">
      <c r="B12" s="910" t="s">
        <v>151</v>
      </c>
      <c r="C12" s="911">
        <f>SUM(C10:C11)</f>
        <v>224585</v>
      </c>
      <c r="D12" s="911">
        <f>SUM(D10:D11)</f>
        <v>224585</v>
      </c>
      <c r="E12" s="911">
        <f>SUM(E10:E11)</f>
        <v>0</v>
      </c>
      <c r="F12" s="910"/>
      <c r="G12" s="912">
        <f>SUM(G10:G11)</f>
        <v>224585</v>
      </c>
    </row>
    <row r="14" ht="12.75">
      <c r="D14" s="59"/>
    </row>
  </sheetData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90" zoomScaleNormal="90" workbookViewId="0" topLeftCell="A1">
      <selection activeCell="O26" sqref="O26:O27"/>
    </sheetView>
  </sheetViews>
  <sheetFormatPr defaultColWidth="9.125" defaultRowHeight="12.75"/>
  <cols>
    <col min="1" max="1" width="9.125" style="913" customWidth="1"/>
    <col min="2" max="2" width="22.125" style="913" customWidth="1"/>
    <col min="3" max="3" width="9.875" style="913" customWidth="1"/>
    <col min="4" max="4" width="10.00390625" style="913" customWidth="1"/>
    <col min="5" max="5" width="9.25390625" style="913" customWidth="1"/>
    <col min="6" max="7" width="8.875" style="913" customWidth="1"/>
    <col min="8" max="8" width="9.625" style="913" customWidth="1"/>
    <col min="9" max="9" width="9.875" style="913" customWidth="1"/>
    <col min="10" max="11" width="10.00390625" style="913" customWidth="1"/>
    <col min="12" max="12" width="10.125" style="913" customWidth="1"/>
    <col min="13" max="13" width="10.875" style="913" customWidth="1"/>
    <col min="14" max="14" width="9.875" style="913" customWidth="1"/>
    <col min="15" max="15" width="10.125" style="913" customWidth="1"/>
    <col min="16" max="16384" width="9.125" style="913" customWidth="1"/>
  </cols>
  <sheetData>
    <row r="1" spans="1:15" ht="12.75">
      <c r="A1" s="1547" t="s">
        <v>773</v>
      </c>
      <c r="B1" s="1548"/>
      <c r="C1" s="1548"/>
      <c r="D1" s="1548"/>
      <c r="E1" s="1548"/>
      <c r="F1" s="1548"/>
      <c r="G1" s="1548"/>
      <c r="H1" s="1548"/>
      <c r="I1" s="1548"/>
      <c r="J1" s="1548"/>
      <c r="K1" s="1548"/>
      <c r="L1" s="1548"/>
      <c r="M1" s="1548"/>
      <c r="N1" s="1548"/>
      <c r="O1" s="1548"/>
    </row>
    <row r="2" spans="1:15" ht="12.75">
      <c r="A2" s="1549" t="s">
        <v>1123</v>
      </c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</row>
    <row r="3" spans="1:15" ht="13.5" thickBot="1">
      <c r="A3" s="914"/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5" t="s">
        <v>181</v>
      </c>
    </row>
    <row r="4" spans="1:15" ht="15" customHeight="1" thickBot="1">
      <c r="A4" s="1550" t="s">
        <v>162</v>
      </c>
      <c r="B4" s="1551"/>
      <c r="C4" s="916" t="s">
        <v>774</v>
      </c>
      <c r="D4" s="916" t="s">
        <v>775</v>
      </c>
      <c r="E4" s="916" t="s">
        <v>776</v>
      </c>
      <c r="F4" s="916" t="s">
        <v>777</v>
      </c>
      <c r="G4" s="916" t="s">
        <v>778</v>
      </c>
      <c r="H4" s="916" t="s">
        <v>779</v>
      </c>
      <c r="I4" s="916" t="s">
        <v>780</v>
      </c>
      <c r="J4" s="916" t="s">
        <v>781</v>
      </c>
      <c r="K4" s="916" t="s">
        <v>782</v>
      </c>
      <c r="L4" s="916" t="s">
        <v>783</v>
      </c>
      <c r="M4" s="916" t="s">
        <v>784</v>
      </c>
      <c r="N4" s="916" t="s">
        <v>785</v>
      </c>
      <c r="O4" s="916" t="s">
        <v>177</v>
      </c>
    </row>
    <row r="5" spans="1:15" ht="15" customHeight="1" thickBot="1">
      <c r="A5" s="917" t="s">
        <v>176</v>
      </c>
      <c r="B5" s="918"/>
      <c r="C5" s="919"/>
      <c r="D5" s="919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1"/>
    </row>
    <row r="6" spans="1:15" ht="15" customHeight="1">
      <c r="A6" s="1552" t="s">
        <v>786</v>
      </c>
      <c r="B6" s="1553"/>
      <c r="C6" s="1539">
        <v>153677</v>
      </c>
      <c r="D6" s="1539">
        <v>153677</v>
      </c>
      <c r="E6" s="1539">
        <v>138503</v>
      </c>
      <c r="F6" s="1539">
        <v>138503</v>
      </c>
      <c r="G6" s="1539">
        <v>202514</v>
      </c>
      <c r="H6" s="1539">
        <v>144787</v>
      </c>
      <c r="I6" s="1539">
        <v>172360</v>
      </c>
      <c r="J6" s="1539">
        <v>289217</v>
      </c>
      <c r="K6" s="1539">
        <v>159503</v>
      </c>
      <c r="L6" s="1539">
        <v>166691</v>
      </c>
      <c r="M6" s="1539">
        <v>167737</v>
      </c>
      <c r="N6" s="1539">
        <v>160403</v>
      </c>
      <c r="O6" s="1554">
        <f>SUM(C6:N7)</f>
        <v>2047572</v>
      </c>
    </row>
    <row r="7" spans="1:15" ht="13.5" customHeight="1">
      <c r="A7" s="1545"/>
      <c r="B7" s="1546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1"/>
    </row>
    <row r="8" spans="1:15" ht="12" customHeight="1">
      <c r="A8" s="1543" t="s">
        <v>787</v>
      </c>
      <c r="B8" s="1544"/>
      <c r="C8" s="1526">
        <v>92837</v>
      </c>
      <c r="D8" s="1526">
        <v>128272</v>
      </c>
      <c r="E8" s="1526">
        <v>1700893</v>
      </c>
      <c r="F8" s="1526">
        <v>1738689</v>
      </c>
      <c r="G8" s="1526">
        <v>639968</v>
      </c>
      <c r="H8" s="1526">
        <v>178209</v>
      </c>
      <c r="I8" s="1526">
        <v>122349</v>
      </c>
      <c r="J8" s="1526">
        <v>190339</v>
      </c>
      <c r="K8" s="1526">
        <v>913535</v>
      </c>
      <c r="L8" s="1526">
        <v>1525182</v>
      </c>
      <c r="M8" s="1526">
        <v>124154</v>
      </c>
      <c r="N8" s="1526">
        <v>412040</v>
      </c>
      <c r="O8" s="1529">
        <f>SUM(C8:N8)</f>
        <v>7766467</v>
      </c>
    </row>
    <row r="9" spans="1:15" ht="15.75" customHeight="1">
      <c r="A9" s="1545"/>
      <c r="B9" s="1546"/>
      <c r="C9" s="1538"/>
      <c r="D9" s="1538"/>
      <c r="E9" s="1538"/>
      <c r="F9" s="1538"/>
      <c r="G9" s="1538"/>
      <c r="H9" s="1538"/>
      <c r="I9" s="1538"/>
      <c r="J9" s="1538"/>
      <c r="K9" s="1538"/>
      <c r="L9" s="1538"/>
      <c r="M9" s="1538"/>
      <c r="N9" s="1538"/>
      <c r="O9" s="1531"/>
    </row>
    <row r="10" spans="1:15" ht="17.25" customHeight="1">
      <c r="A10" s="1543" t="s">
        <v>788</v>
      </c>
      <c r="B10" s="1533"/>
      <c r="C10" s="1526">
        <v>205672</v>
      </c>
      <c r="D10" s="1526">
        <v>206761</v>
      </c>
      <c r="E10" s="1526">
        <v>217809</v>
      </c>
      <c r="F10" s="1526">
        <v>43499</v>
      </c>
      <c r="G10" s="1526">
        <v>64049</v>
      </c>
      <c r="H10" s="1526">
        <v>179677</v>
      </c>
      <c r="I10" s="1526">
        <v>147208</v>
      </c>
      <c r="J10" s="1526">
        <v>195917</v>
      </c>
      <c r="K10" s="1526">
        <v>279161</v>
      </c>
      <c r="L10" s="1526">
        <v>306082</v>
      </c>
      <c r="M10" s="1526">
        <v>266209</v>
      </c>
      <c r="N10" s="1526">
        <v>315882</v>
      </c>
      <c r="O10" s="1529">
        <f>SUM(C10:N10)</f>
        <v>2427926</v>
      </c>
    </row>
    <row r="11" spans="1:15" ht="22.5" customHeight="1">
      <c r="A11" s="1534"/>
      <c r="B11" s="1535"/>
      <c r="C11" s="1538"/>
      <c r="D11" s="1538"/>
      <c r="E11" s="1538"/>
      <c r="F11" s="1538"/>
      <c r="G11" s="1538"/>
      <c r="H11" s="1538"/>
      <c r="I11" s="1538"/>
      <c r="J11" s="1538"/>
      <c r="K11" s="1538"/>
      <c r="L11" s="1538"/>
      <c r="M11" s="1538"/>
      <c r="N11" s="1538"/>
      <c r="O11" s="1531"/>
    </row>
    <row r="12" spans="1:15" ht="20.25" customHeight="1">
      <c r="A12" s="1543" t="s">
        <v>789</v>
      </c>
      <c r="B12" s="1533"/>
      <c r="C12" s="1526"/>
      <c r="D12" s="1526"/>
      <c r="E12" s="1526"/>
      <c r="F12" s="1526"/>
      <c r="G12" s="1526"/>
      <c r="H12" s="1526"/>
      <c r="I12" s="1526"/>
      <c r="J12" s="1526">
        <v>740000</v>
      </c>
      <c r="K12" s="1526">
        <v>250000</v>
      </c>
      <c r="L12" s="1526">
        <v>150000</v>
      </c>
      <c r="M12" s="1526"/>
      <c r="N12" s="1526"/>
      <c r="O12" s="1529">
        <f>SUM(C12:N12)</f>
        <v>1140000</v>
      </c>
    </row>
    <row r="13" spans="1:15" ht="15" customHeight="1">
      <c r="A13" s="1534"/>
      <c r="B13" s="1535"/>
      <c r="C13" s="1538"/>
      <c r="D13" s="1538"/>
      <c r="E13" s="1538"/>
      <c r="F13" s="1538"/>
      <c r="G13" s="1538"/>
      <c r="H13" s="1538"/>
      <c r="I13" s="1538"/>
      <c r="J13" s="1538"/>
      <c r="K13" s="1538"/>
      <c r="L13" s="1538"/>
      <c r="M13" s="1538"/>
      <c r="N13" s="1538"/>
      <c r="O13" s="1531"/>
    </row>
    <row r="14" spans="1:15" ht="14.25" customHeight="1">
      <c r="A14" s="1532" t="s">
        <v>790</v>
      </c>
      <c r="B14" s="1533"/>
      <c r="C14" s="1526">
        <v>45800</v>
      </c>
      <c r="D14" s="1526">
        <v>45800</v>
      </c>
      <c r="E14" s="1526">
        <v>45800</v>
      </c>
      <c r="F14" s="1526">
        <v>45800</v>
      </c>
      <c r="G14" s="1526">
        <v>144800</v>
      </c>
      <c r="H14" s="1526">
        <v>45800</v>
      </c>
      <c r="I14" s="1526">
        <v>45800</v>
      </c>
      <c r="J14" s="1526">
        <v>45800</v>
      </c>
      <c r="K14" s="1526">
        <v>45800</v>
      </c>
      <c r="L14" s="1526">
        <v>45800</v>
      </c>
      <c r="M14" s="1526">
        <v>45800</v>
      </c>
      <c r="N14" s="1526">
        <v>46200</v>
      </c>
      <c r="O14" s="1529">
        <f>SUM(C14:N14)</f>
        <v>649000</v>
      </c>
    </row>
    <row r="15" spans="1:15" ht="14.25" customHeight="1">
      <c r="A15" s="1534"/>
      <c r="B15" s="1535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1"/>
    </row>
    <row r="16" spans="1:15" ht="12" customHeight="1">
      <c r="A16" s="1532" t="s">
        <v>791</v>
      </c>
      <c r="B16" s="1533"/>
      <c r="C16" s="1526">
        <v>1400</v>
      </c>
      <c r="D16" s="1526">
        <v>1400</v>
      </c>
      <c r="E16" s="1526">
        <v>1400</v>
      </c>
      <c r="F16" s="1526">
        <v>1400</v>
      </c>
      <c r="G16" s="1526">
        <v>1916</v>
      </c>
      <c r="H16" s="1526">
        <v>1916</v>
      </c>
      <c r="I16" s="1526">
        <v>1916</v>
      </c>
      <c r="J16" s="1526">
        <v>3416</v>
      </c>
      <c r="K16" s="1526">
        <v>1916</v>
      </c>
      <c r="L16" s="1526">
        <v>1916</v>
      </c>
      <c r="M16" s="1526">
        <v>1916</v>
      </c>
      <c r="N16" s="1526">
        <v>3988</v>
      </c>
      <c r="O16" s="1529">
        <f>SUM(C16:N16)</f>
        <v>24500</v>
      </c>
    </row>
    <row r="17" spans="1:15" ht="17.25" customHeight="1">
      <c r="A17" s="1534"/>
      <c r="B17" s="1535"/>
      <c r="C17" s="1538"/>
      <c r="D17" s="1538"/>
      <c r="E17" s="1538"/>
      <c r="F17" s="1538"/>
      <c r="G17" s="1538"/>
      <c r="H17" s="1538"/>
      <c r="I17" s="1538"/>
      <c r="J17" s="1538"/>
      <c r="K17" s="1538"/>
      <c r="L17" s="1538"/>
      <c r="M17" s="1538"/>
      <c r="N17" s="1538"/>
      <c r="O17" s="1531"/>
    </row>
    <row r="18" spans="1:15" ht="14.25" customHeight="1">
      <c r="A18" s="1532" t="s">
        <v>792</v>
      </c>
      <c r="B18" s="1533"/>
      <c r="C18" s="1526"/>
      <c r="D18" s="1526">
        <v>63789</v>
      </c>
      <c r="E18" s="1526"/>
      <c r="F18" s="1526"/>
      <c r="G18" s="1526">
        <v>8025189</v>
      </c>
      <c r="H18" s="1526"/>
      <c r="I18" s="1526"/>
      <c r="J18" s="1526">
        <v>400837</v>
      </c>
      <c r="K18" s="1526"/>
      <c r="L18" s="1526"/>
      <c r="M18" s="1526"/>
      <c r="N18" s="1526"/>
      <c r="O18" s="1529">
        <f>SUM(C18:N18)</f>
        <v>8489815</v>
      </c>
    </row>
    <row r="19" spans="1:15" ht="14.25" customHeight="1" thickBot="1">
      <c r="A19" s="1536"/>
      <c r="B19" s="1537"/>
      <c r="C19" s="1527"/>
      <c r="D19" s="1527"/>
      <c r="E19" s="1527"/>
      <c r="F19" s="1527"/>
      <c r="G19" s="1527"/>
      <c r="H19" s="1527"/>
      <c r="I19" s="1527"/>
      <c r="J19" s="1527"/>
      <c r="K19" s="1527"/>
      <c r="L19" s="1527"/>
      <c r="M19" s="1527"/>
      <c r="N19" s="1527"/>
      <c r="O19" s="1530"/>
    </row>
    <row r="20" spans="1:15" ht="18" customHeight="1" thickBot="1">
      <c r="A20" s="922" t="s">
        <v>793</v>
      </c>
      <c r="B20" s="923"/>
      <c r="C20" s="924">
        <f aca="true" t="shared" si="0" ref="C20:O20">SUM(C6:C19)</f>
        <v>499386</v>
      </c>
      <c r="D20" s="924">
        <f t="shared" si="0"/>
        <v>599699</v>
      </c>
      <c r="E20" s="924">
        <f t="shared" si="0"/>
        <v>2104405</v>
      </c>
      <c r="F20" s="924">
        <f t="shared" si="0"/>
        <v>1967891</v>
      </c>
      <c r="G20" s="924">
        <f t="shared" si="0"/>
        <v>9078436</v>
      </c>
      <c r="H20" s="924">
        <f t="shared" si="0"/>
        <v>550389</v>
      </c>
      <c r="I20" s="924">
        <f t="shared" si="0"/>
        <v>489633</v>
      </c>
      <c r="J20" s="924">
        <f t="shared" si="0"/>
        <v>1865526</v>
      </c>
      <c r="K20" s="924">
        <f t="shared" si="0"/>
        <v>1649915</v>
      </c>
      <c r="L20" s="924">
        <f t="shared" si="0"/>
        <v>2195671</v>
      </c>
      <c r="M20" s="924">
        <f t="shared" si="0"/>
        <v>605816</v>
      </c>
      <c r="N20" s="924">
        <f t="shared" si="0"/>
        <v>938513</v>
      </c>
      <c r="O20" s="925">
        <f t="shared" si="0"/>
        <v>22545280</v>
      </c>
    </row>
    <row r="21" spans="1:15" ht="15" customHeight="1" thickBot="1">
      <c r="A21" s="926" t="s">
        <v>300</v>
      </c>
      <c r="B21" s="919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8"/>
    </row>
    <row r="22" spans="1:15" ht="12" customHeight="1">
      <c r="A22" s="1541" t="s">
        <v>794</v>
      </c>
      <c r="B22" s="1542"/>
      <c r="C22" s="1539">
        <v>556301</v>
      </c>
      <c r="D22" s="1539">
        <v>361426</v>
      </c>
      <c r="E22" s="1539">
        <v>451926</v>
      </c>
      <c r="F22" s="1539">
        <v>361426</v>
      </c>
      <c r="G22" s="1539">
        <v>597964</v>
      </c>
      <c r="H22" s="1539">
        <v>388048</v>
      </c>
      <c r="I22" s="1539">
        <v>383716</v>
      </c>
      <c r="J22" s="1539">
        <v>382421</v>
      </c>
      <c r="K22" s="1539">
        <v>417885</v>
      </c>
      <c r="L22" s="1539">
        <v>361426</v>
      </c>
      <c r="M22" s="1539">
        <v>367971</v>
      </c>
      <c r="N22" s="1539">
        <v>518827</v>
      </c>
      <c r="O22" s="1529">
        <f>SUM(C22:N23)</f>
        <v>5149337</v>
      </c>
    </row>
    <row r="23" spans="1:15" ht="12.75" customHeight="1">
      <c r="A23" s="1534"/>
      <c r="B23" s="1535"/>
      <c r="C23" s="1540"/>
      <c r="D23" s="1540"/>
      <c r="E23" s="1540"/>
      <c r="F23" s="1540"/>
      <c r="G23" s="1540"/>
      <c r="H23" s="1540"/>
      <c r="I23" s="1540"/>
      <c r="J23" s="1540"/>
      <c r="K23" s="1540"/>
      <c r="L23" s="1540"/>
      <c r="M23" s="1540"/>
      <c r="N23" s="1540"/>
      <c r="O23" s="1531"/>
    </row>
    <row r="24" spans="1:15" ht="15" customHeight="1">
      <c r="A24" s="1532" t="s">
        <v>795</v>
      </c>
      <c r="B24" s="1533"/>
      <c r="C24" s="1526">
        <v>137483</v>
      </c>
      <c r="D24" s="1526">
        <v>75220</v>
      </c>
      <c r="E24" s="1526">
        <v>75220</v>
      </c>
      <c r="F24" s="1526">
        <v>75220</v>
      </c>
      <c r="G24" s="1526">
        <v>89000</v>
      </c>
      <c r="H24" s="1526">
        <v>83000</v>
      </c>
      <c r="I24" s="1526">
        <v>78637</v>
      </c>
      <c r="J24" s="1526">
        <v>75220</v>
      </c>
      <c r="K24" s="1526">
        <v>84186</v>
      </c>
      <c r="L24" s="1526">
        <v>75724</v>
      </c>
      <c r="M24" s="1526">
        <v>78220</v>
      </c>
      <c r="N24" s="1526">
        <v>96346</v>
      </c>
      <c r="O24" s="1529">
        <f>SUM(C24:N25)</f>
        <v>1023476</v>
      </c>
    </row>
    <row r="25" spans="1:15" ht="14.25" customHeight="1">
      <c r="A25" s="1534"/>
      <c r="B25" s="1535"/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31"/>
    </row>
    <row r="26" spans="1:15" ht="12" customHeight="1">
      <c r="A26" s="1532" t="s">
        <v>796</v>
      </c>
      <c r="B26" s="1533"/>
      <c r="C26" s="1526">
        <v>640000</v>
      </c>
      <c r="D26" s="1526">
        <v>560000</v>
      </c>
      <c r="E26" s="1526">
        <v>640000</v>
      </c>
      <c r="F26" s="1526">
        <v>540000</v>
      </c>
      <c r="G26" s="1526">
        <v>540000</v>
      </c>
      <c r="H26" s="1526">
        <v>615240</v>
      </c>
      <c r="I26" s="1526">
        <v>502148</v>
      </c>
      <c r="J26" s="1526">
        <v>462421</v>
      </c>
      <c r="K26" s="1526">
        <v>572036</v>
      </c>
      <c r="L26" s="1526">
        <v>500000</v>
      </c>
      <c r="M26" s="1526">
        <v>500000</v>
      </c>
      <c r="N26" s="1526">
        <v>489151</v>
      </c>
      <c r="O26" s="1529">
        <f>SUM(C26:N27)</f>
        <v>6560996</v>
      </c>
    </row>
    <row r="27" spans="1:15" ht="15" customHeight="1">
      <c r="A27" s="1534"/>
      <c r="B27" s="1535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31"/>
    </row>
    <row r="28" spans="1:15" ht="12" customHeight="1">
      <c r="A28" s="1532" t="s">
        <v>797</v>
      </c>
      <c r="B28" s="1533"/>
      <c r="C28" s="1526">
        <v>18515</v>
      </c>
      <c r="D28" s="1526">
        <v>18515</v>
      </c>
      <c r="E28" s="1526">
        <v>22865</v>
      </c>
      <c r="F28" s="1526">
        <v>130901</v>
      </c>
      <c r="G28" s="1526">
        <v>15522</v>
      </c>
      <c r="H28" s="1526">
        <v>54000</v>
      </c>
      <c r="I28" s="1526">
        <v>18515</v>
      </c>
      <c r="J28" s="1526">
        <v>18515</v>
      </c>
      <c r="K28" s="1526">
        <v>20000</v>
      </c>
      <c r="L28" s="1526">
        <v>17285</v>
      </c>
      <c r="M28" s="1526">
        <v>20000</v>
      </c>
      <c r="N28" s="1526">
        <v>57760</v>
      </c>
      <c r="O28" s="1529">
        <f>SUM(C28:N29)</f>
        <v>412393</v>
      </c>
    </row>
    <row r="29" spans="1:15" ht="15.75" customHeight="1">
      <c r="A29" s="1534"/>
      <c r="B29" s="1535"/>
      <c r="C29" s="1528"/>
      <c r="D29" s="1528"/>
      <c r="E29" s="1528"/>
      <c r="F29" s="1528"/>
      <c r="G29" s="1528"/>
      <c r="H29" s="1528"/>
      <c r="I29" s="1528"/>
      <c r="J29" s="1528"/>
      <c r="K29" s="1528"/>
      <c r="L29" s="1528"/>
      <c r="M29" s="1528"/>
      <c r="N29" s="1528"/>
      <c r="O29" s="1531"/>
    </row>
    <row r="30" spans="1:15" ht="12" customHeight="1">
      <c r="A30" s="1532" t="s">
        <v>798</v>
      </c>
      <c r="B30" s="1533"/>
      <c r="C30" s="1526">
        <v>140370</v>
      </c>
      <c r="D30" s="1526">
        <v>110005</v>
      </c>
      <c r="E30" s="1526">
        <v>140370</v>
      </c>
      <c r="F30" s="1526">
        <v>241660</v>
      </c>
      <c r="G30" s="1526">
        <v>278967</v>
      </c>
      <c r="H30" s="1526">
        <v>72622</v>
      </c>
      <c r="I30" s="1526">
        <v>78678</v>
      </c>
      <c r="J30" s="1526">
        <v>213160</v>
      </c>
      <c r="K30" s="1526">
        <v>240370</v>
      </c>
      <c r="L30" s="1526">
        <v>360428</v>
      </c>
      <c r="M30" s="1526">
        <v>205670</v>
      </c>
      <c r="N30" s="1526">
        <v>181856</v>
      </c>
      <c r="O30" s="1529">
        <v>2244156</v>
      </c>
    </row>
    <row r="31" spans="1:15" ht="12" customHeight="1">
      <c r="A31" s="1534"/>
      <c r="B31" s="1535"/>
      <c r="C31" s="1538"/>
      <c r="D31" s="1538"/>
      <c r="E31" s="1538"/>
      <c r="F31" s="1538"/>
      <c r="G31" s="1538"/>
      <c r="H31" s="1538"/>
      <c r="I31" s="1538"/>
      <c r="J31" s="1538"/>
      <c r="K31" s="1538"/>
      <c r="L31" s="1538"/>
      <c r="M31" s="1538"/>
      <c r="N31" s="1538"/>
      <c r="O31" s="1531"/>
    </row>
    <row r="32" spans="1:15" ht="12" customHeight="1">
      <c r="A32" s="1532" t="s">
        <v>1008</v>
      </c>
      <c r="B32" s="1533"/>
      <c r="C32" s="1526">
        <v>45000</v>
      </c>
      <c r="D32" s="1526">
        <v>30000</v>
      </c>
      <c r="E32" s="1526">
        <v>223547</v>
      </c>
      <c r="F32" s="1526">
        <v>159126</v>
      </c>
      <c r="G32" s="1526">
        <v>102000</v>
      </c>
      <c r="H32" s="1526">
        <v>138212</v>
      </c>
      <c r="I32" s="1526">
        <v>100000</v>
      </c>
      <c r="J32" s="1526">
        <v>69395</v>
      </c>
      <c r="K32" s="1526">
        <v>78279</v>
      </c>
      <c r="L32" s="1526">
        <v>136984</v>
      </c>
      <c r="M32" s="1526">
        <v>100000</v>
      </c>
      <c r="N32" s="1526">
        <v>155134</v>
      </c>
      <c r="O32" s="1529">
        <f>SUM(C32:N33)</f>
        <v>1337677</v>
      </c>
    </row>
    <row r="33" spans="1:15" ht="14.25" customHeight="1">
      <c r="A33" s="1534"/>
      <c r="B33" s="1535"/>
      <c r="C33" s="1528"/>
      <c r="D33" s="1528"/>
      <c r="E33" s="1528"/>
      <c r="F33" s="1528"/>
      <c r="G33" s="1528"/>
      <c r="H33" s="1528"/>
      <c r="I33" s="1528"/>
      <c r="J33" s="1528"/>
      <c r="K33" s="1528"/>
      <c r="L33" s="1528"/>
      <c r="M33" s="1528"/>
      <c r="N33" s="1528"/>
      <c r="O33" s="1531"/>
    </row>
    <row r="34" spans="1:15" ht="15" customHeight="1">
      <c r="A34" s="1532" t="s">
        <v>1009</v>
      </c>
      <c r="B34" s="1533"/>
      <c r="C34" s="1526">
        <v>170000</v>
      </c>
      <c r="D34" s="1526">
        <v>480000</v>
      </c>
      <c r="E34" s="1526">
        <v>470990</v>
      </c>
      <c r="F34" s="1526">
        <v>823982</v>
      </c>
      <c r="G34" s="1526">
        <v>539700</v>
      </c>
      <c r="H34" s="1526">
        <v>120000</v>
      </c>
      <c r="I34" s="1526">
        <v>110000</v>
      </c>
      <c r="J34" s="1526">
        <v>115000</v>
      </c>
      <c r="K34" s="1526">
        <v>146500</v>
      </c>
      <c r="L34" s="1526">
        <v>470261</v>
      </c>
      <c r="M34" s="1526">
        <v>600000</v>
      </c>
      <c r="N34" s="1526">
        <v>255674</v>
      </c>
      <c r="O34" s="1529">
        <f>SUM(C34:N35)</f>
        <v>4302107</v>
      </c>
    </row>
    <row r="35" spans="1:15" ht="15" customHeight="1">
      <c r="A35" s="1534"/>
      <c r="B35" s="1535"/>
      <c r="C35" s="1528"/>
      <c r="D35" s="1528"/>
      <c r="E35" s="1528"/>
      <c r="F35" s="1528"/>
      <c r="G35" s="1528"/>
      <c r="H35" s="1528"/>
      <c r="I35" s="1528"/>
      <c r="J35" s="1528"/>
      <c r="K35" s="1528"/>
      <c r="L35" s="1528"/>
      <c r="M35" s="1528"/>
      <c r="N35" s="1528"/>
      <c r="O35" s="1531"/>
    </row>
    <row r="36" spans="1:15" ht="15" customHeight="1">
      <c r="A36" s="1532" t="s">
        <v>1010</v>
      </c>
      <c r="B36" s="1533"/>
      <c r="C36" s="1526">
        <v>10000</v>
      </c>
      <c r="D36" s="1526">
        <v>10000</v>
      </c>
      <c r="E36" s="1526">
        <v>13000</v>
      </c>
      <c r="F36" s="1526">
        <v>140743</v>
      </c>
      <c r="G36" s="1526">
        <v>330000</v>
      </c>
      <c r="H36" s="1526">
        <v>95000</v>
      </c>
      <c r="I36" s="1526"/>
      <c r="J36" s="1526"/>
      <c r="K36" s="1526">
        <v>170797</v>
      </c>
      <c r="L36" s="1526">
        <v>149572</v>
      </c>
      <c r="M36" s="1526">
        <v>30000</v>
      </c>
      <c r="N36" s="1526">
        <v>53400</v>
      </c>
      <c r="O36" s="1529">
        <f>SUM(C36:N37)</f>
        <v>1002512</v>
      </c>
    </row>
    <row r="37" spans="1:15" ht="15" customHeight="1">
      <c r="A37" s="1534"/>
      <c r="B37" s="1535"/>
      <c r="C37" s="1528"/>
      <c r="D37" s="1528"/>
      <c r="E37" s="1528"/>
      <c r="F37" s="1528"/>
      <c r="G37" s="1528"/>
      <c r="H37" s="1528"/>
      <c r="I37" s="1528"/>
      <c r="J37" s="1528"/>
      <c r="K37" s="1528"/>
      <c r="L37" s="1528"/>
      <c r="M37" s="1528"/>
      <c r="N37" s="1528"/>
      <c r="O37" s="1531"/>
    </row>
    <row r="38" spans="1:15" ht="14.25" customHeight="1">
      <c r="A38" s="1532" t="s">
        <v>1011</v>
      </c>
      <c r="B38" s="1533"/>
      <c r="C38" s="1526"/>
      <c r="D38" s="1526">
        <v>63789</v>
      </c>
      <c r="E38" s="1526">
        <v>12000</v>
      </c>
      <c r="F38" s="1526"/>
      <c r="G38" s="1526"/>
      <c r="H38" s="1526">
        <v>12000</v>
      </c>
      <c r="I38" s="1526"/>
      <c r="J38" s="1526">
        <v>400837</v>
      </c>
      <c r="K38" s="1526">
        <v>12000</v>
      </c>
      <c r="L38" s="1526"/>
      <c r="M38" s="1526"/>
      <c r="N38" s="1526">
        <v>12000</v>
      </c>
      <c r="O38" s="1529">
        <f>SUM(C38:N39)</f>
        <v>512626</v>
      </c>
    </row>
    <row r="39" spans="1:15" ht="27.75" customHeight="1" thickBot="1">
      <c r="A39" s="1536"/>
      <c r="B39" s="153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7"/>
      <c r="O39" s="1530"/>
    </row>
    <row r="40" spans="1:15" ht="18" customHeight="1" thickBot="1">
      <c r="A40" s="929" t="s">
        <v>1012</v>
      </c>
      <c r="B40" s="930"/>
      <c r="C40" s="924">
        <f aca="true" t="shared" si="1" ref="C40:O40">SUM(C22:C39)</f>
        <v>1717669</v>
      </c>
      <c r="D40" s="924">
        <f t="shared" si="1"/>
        <v>1708955</v>
      </c>
      <c r="E40" s="924">
        <f t="shared" si="1"/>
        <v>2049918</v>
      </c>
      <c r="F40" s="924">
        <f t="shared" si="1"/>
        <v>2473058</v>
      </c>
      <c r="G40" s="924">
        <f t="shared" si="1"/>
        <v>2493153</v>
      </c>
      <c r="H40" s="924">
        <f t="shared" si="1"/>
        <v>1578122</v>
      </c>
      <c r="I40" s="924">
        <f t="shared" si="1"/>
        <v>1271694</v>
      </c>
      <c r="J40" s="924">
        <f t="shared" si="1"/>
        <v>1736969</v>
      </c>
      <c r="K40" s="924">
        <f t="shared" si="1"/>
        <v>1742053</v>
      </c>
      <c r="L40" s="924">
        <f t="shared" si="1"/>
        <v>2071680</v>
      </c>
      <c r="M40" s="924">
        <f t="shared" si="1"/>
        <v>1901861</v>
      </c>
      <c r="N40" s="924">
        <f t="shared" si="1"/>
        <v>1820148</v>
      </c>
      <c r="O40" s="925">
        <f t="shared" si="1"/>
        <v>22545280</v>
      </c>
    </row>
    <row r="41" spans="1:15" ht="12.75">
      <c r="A41" s="931"/>
      <c r="B41" s="931"/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931"/>
      <c r="O41" s="931"/>
    </row>
  </sheetData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O6:O7"/>
    <mergeCell ref="I6:I7"/>
    <mergeCell ref="J6:J7"/>
    <mergeCell ref="K6:K7"/>
    <mergeCell ref="L6:L7"/>
    <mergeCell ref="M6:M7"/>
    <mergeCell ref="N6:N7"/>
    <mergeCell ref="N8:N9"/>
    <mergeCell ref="O8:O9"/>
    <mergeCell ref="A10:B11"/>
    <mergeCell ref="C10:C11"/>
    <mergeCell ref="D10:D11"/>
    <mergeCell ref="E10:E11"/>
    <mergeCell ref="F10:F11"/>
    <mergeCell ref="M10:M11"/>
    <mergeCell ref="N10:N11"/>
    <mergeCell ref="O10:O11"/>
    <mergeCell ref="I10:I11"/>
    <mergeCell ref="J10:J11"/>
    <mergeCell ref="K10:K11"/>
    <mergeCell ref="L10:L11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E12:E13"/>
    <mergeCell ref="F12:F13"/>
    <mergeCell ref="G12:G13"/>
    <mergeCell ref="H12:H13"/>
    <mergeCell ref="G10:G11"/>
    <mergeCell ref="H10:H11"/>
    <mergeCell ref="K8:K9"/>
    <mergeCell ref="L8:L9"/>
    <mergeCell ref="M8:M9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K14:K15"/>
    <mergeCell ref="L14:L15"/>
    <mergeCell ref="M14:M15"/>
    <mergeCell ref="N14:N15"/>
    <mergeCell ref="O14:O15"/>
    <mergeCell ref="A12:B13"/>
    <mergeCell ref="C12:C13"/>
    <mergeCell ref="D12:D13"/>
    <mergeCell ref="A16:B17"/>
    <mergeCell ref="C16:C17"/>
    <mergeCell ref="D16:D17"/>
    <mergeCell ref="E16:E17"/>
    <mergeCell ref="F16:F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O18:O19"/>
    <mergeCell ref="I18:I19"/>
    <mergeCell ref="J18:J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18:K19"/>
    <mergeCell ref="L18:L19"/>
    <mergeCell ref="M18:M19"/>
    <mergeCell ref="N18:N19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O26:O27"/>
    <mergeCell ref="I26:I27"/>
    <mergeCell ref="J26:J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O32:O33"/>
    <mergeCell ref="I32:I33"/>
    <mergeCell ref="J32:J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2:K33"/>
    <mergeCell ref="L32:L33"/>
    <mergeCell ref="M32:M33"/>
    <mergeCell ref="N32:N33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I36:I37"/>
    <mergeCell ref="J36:J37"/>
    <mergeCell ref="K36:K37"/>
    <mergeCell ref="L36:L37"/>
  </mergeCells>
  <printOptions horizontalCentered="1" verticalCentered="1"/>
  <pageMargins left="0" right="0" top="0" bottom="0.3937007874015748" header="0" footer="0.1968503937007874"/>
  <pageSetup firstPageNumber="6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"/>
  <sheetViews>
    <sheetView showZeros="0" view="pageBreakPreview" zoomScaleSheetLayoutView="100" workbookViewId="0" topLeftCell="A217">
      <selection activeCell="B269" sqref="B269"/>
    </sheetView>
  </sheetViews>
  <sheetFormatPr defaultColWidth="9.125" defaultRowHeight="12.75"/>
  <cols>
    <col min="1" max="1" width="8.375" style="146" customWidth="1"/>
    <col min="2" max="2" width="72.125" style="103" customWidth="1"/>
    <col min="3" max="7" width="12.125" style="103" customWidth="1"/>
    <col min="8" max="8" width="8.625" style="103" customWidth="1"/>
    <col min="9" max="9" width="10.375" style="103" customWidth="1"/>
    <col min="10" max="16384" width="9.125" style="103" customWidth="1"/>
  </cols>
  <sheetData>
    <row r="1" spans="1:8" ht="12.75">
      <c r="A1" s="1306" t="s">
        <v>180</v>
      </c>
      <c r="B1" s="1306"/>
      <c r="C1" s="1307"/>
      <c r="D1" s="1307"/>
      <c r="E1" s="1307"/>
      <c r="F1" s="1307"/>
      <c r="G1" s="1307"/>
      <c r="H1" s="1308"/>
    </row>
    <row r="2" spans="1:8" ht="12.75">
      <c r="A2" s="1306" t="s">
        <v>1060</v>
      </c>
      <c r="B2" s="1306"/>
      <c r="C2" s="1307"/>
      <c r="D2" s="1307"/>
      <c r="E2" s="1307"/>
      <c r="F2" s="1307"/>
      <c r="G2" s="1307"/>
      <c r="H2" s="1308"/>
    </row>
    <row r="3" spans="1:2" ht="12.75">
      <c r="A3" s="101"/>
      <c r="B3" s="102"/>
    </row>
    <row r="4" spans="1:8" ht="11.25" customHeight="1">
      <c r="A4" s="101"/>
      <c r="B4" s="101"/>
      <c r="C4" s="104"/>
      <c r="D4" s="104"/>
      <c r="E4" s="104"/>
      <c r="F4" s="104"/>
      <c r="G4" s="104"/>
      <c r="H4" s="599" t="s">
        <v>181</v>
      </c>
    </row>
    <row r="5" spans="1:8" s="105" customFormat="1" ht="19.5" customHeight="1">
      <c r="A5" s="1313" t="s">
        <v>189</v>
      </c>
      <c r="B5" s="1311" t="s">
        <v>176</v>
      </c>
      <c r="C5" s="1300" t="s">
        <v>1193</v>
      </c>
      <c r="D5" s="1300" t="s">
        <v>1226</v>
      </c>
      <c r="E5" s="1300" t="s">
        <v>1264</v>
      </c>
      <c r="F5" s="1300" t="s">
        <v>1273</v>
      </c>
      <c r="G5" s="1300" t="s">
        <v>1277</v>
      </c>
      <c r="H5" s="1309" t="s">
        <v>1278</v>
      </c>
    </row>
    <row r="6" spans="1:8" s="105" customFormat="1" ht="17.25" customHeight="1">
      <c r="A6" s="1312"/>
      <c r="B6" s="1312"/>
      <c r="C6" s="1314"/>
      <c r="D6" s="1314"/>
      <c r="E6" s="1314"/>
      <c r="F6" s="1314"/>
      <c r="G6" s="1314"/>
      <c r="H6" s="1310"/>
    </row>
    <row r="7" spans="1:8" s="105" customFormat="1" ht="11.25" customHeight="1">
      <c r="A7" s="106" t="s">
        <v>163</v>
      </c>
      <c r="B7" s="107" t="s">
        <v>164</v>
      </c>
      <c r="C7" s="211" t="s">
        <v>165</v>
      </c>
      <c r="D7" s="211" t="s">
        <v>166</v>
      </c>
      <c r="E7" s="211" t="s">
        <v>167</v>
      </c>
      <c r="F7" s="211" t="s">
        <v>43</v>
      </c>
      <c r="G7" s="211" t="s">
        <v>369</v>
      </c>
      <c r="H7" s="211" t="s">
        <v>570</v>
      </c>
    </row>
    <row r="8" spans="1:8" s="110" customFormat="1" ht="16.5" customHeight="1">
      <c r="A8" s="108"/>
      <c r="B8" s="237" t="s">
        <v>344</v>
      </c>
      <c r="C8" s="228"/>
      <c r="D8" s="228"/>
      <c r="E8" s="228"/>
      <c r="F8" s="228"/>
      <c r="G8" s="228"/>
      <c r="H8" s="183"/>
    </row>
    <row r="9" spans="1:8" ht="12" customHeight="1">
      <c r="A9" s="111"/>
      <c r="B9" s="112"/>
      <c r="C9" s="182"/>
      <c r="D9" s="182"/>
      <c r="E9" s="182"/>
      <c r="F9" s="182"/>
      <c r="G9" s="182"/>
      <c r="H9" s="112"/>
    </row>
    <row r="10" spans="1:8" ht="12" customHeight="1">
      <c r="A10" s="115">
        <v>1010</v>
      </c>
      <c r="B10" s="125" t="s">
        <v>207</v>
      </c>
      <c r="C10" s="961">
        <f>SUM(C11:C16)</f>
        <v>1811883</v>
      </c>
      <c r="D10" s="961">
        <f>SUM(D11:D16)</f>
        <v>1811883</v>
      </c>
      <c r="E10" s="961">
        <f>SUM(E11:E16)</f>
        <v>1875894</v>
      </c>
      <c r="F10" s="961">
        <f>SUM(F11:F16)</f>
        <v>1900745</v>
      </c>
      <c r="G10" s="961">
        <f>SUM(G11:G16)</f>
        <v>1930545</v>
      </c>
      <c r="H10" s="285">
        <f>SUM(G10/F10)</f>
        <v>1.0156780630752678</v>
      </c>
    </row>
    <row r="11" spans="1:8" ht="12" customHeight="1">
      <c r="A11" s="111">
        <v>1011</v>
      </c>
      <c r="B11" s="112" t="s">
        <v>208</v>
      </c>
      <c r="C11" s="672"/>
      <c r="D11" s="672"/>
      <c r="E11" s="672">
        <v>1616</v>
      </c>
      <c r="F11" s="672">
        <v>2145</v>
      </c>
      <c r="G11" s="672">
        <f>2145+480</f>
        <v>2625</v>
      </c>
      <c r="H11" s="1059">
        <f>SUM(G11/F11)</f>
        <v>1.2237762237762237</v>
      </c>
    </row>
    <row r="12" spans="1:8" ht="12" customHeight="1">
      <c r="A12" s="111">
        <v>1012</v>
      </c>
      <c r="B12" s="112" t="s">
        <v>209</v>
      </c>
      <c r="C12" s="673">
        <v>819197</v>
      </c>
      <c r="D12" s="673">
        <v>819197</v>
      </c>
      <c r="E12" s="673">
        <v>819197</v>
      </c>
      <c r="F12" s="673">
        <v>819197</v>
      </c>
      <c r="G12" s="673">
        <f>819197+68141</f>
        <v>887338</v>
      </c>
      <c r="H12" s="1059">
        <f aca="true" t="shared" si="0" ref="H12:H75">SUM(G12/F12)</f>
        <v>1.083180236255748</v>
      </c>
    </row>
    <row r="13" spans="1:9" ht="12" customHeight="1">
      <c r="A13" s="111">
        <v>1013</v>
      </c>
      <c r="B13" s="112" t="s">
        <v>461</v>
      </c>
      <c r="C13" s="673">
        <v>753187</v>
      </c>
      <c r="D13" s="673">
        <v>753187</v>
      </c>
      <c r="E13" s="673">
        <v>811842</v>
      </c>
      <c r="F13" s="673">
        <v>834671</v>
      </c>
      <c r="G13" s="673">
        <f>834671-52371</f>
        <v>782300</v>
      </c>
      <c r="H13" s="1059">
        <f t="shared" si="0"/>
        <v>0.9372555174433999</v>
      </c>
      <c r="I13" s="297"/>
    </row>
    <row r="14" spans="1:9" ht="12" customHeight="1">
      <c r="A14" s="111">
        <v>1014</v>
      </c>
      <c r="B14" s="112" t="s">
        <v>210</v>
      </c>
      <c r="C14" s="672">
        <v>239499</v>
      </c>
      <c r="D14" s="672">
        <v>239499</v>
      </c>
      <c r="E14" s="672">
        <v>243239</v>
      </c>
      <c r="F14" s="672">
        <v>244732</v>
      </c>
      <c r="G14" s="672">
        <f>244732+6283</f>
        <v>251015</v>
      </c>
      <c r="H14" s="1059">
        <f t="shared" si="0"/>
        <v>1.0256729810568295</v>
      </c>
      <c r="I14" s="297"/>
    </row>
    <row r="15" spans="1:9" ht="12" customHeight="1">
      <c r="A15" s="111">
        <v>1015</v>
      </c>
      <c r="B15" s="112" t="s">
        <v>2</v>
      </c>
      <c r="C15" s="672"/>
      <c r="D15" s="672"/>
      <c r="E15" s="672"/>
      <c r="F15" s="672"/>
      <c r="G15" s="672">
        <v>570</v>
      </c>
      <c r="H15" s="1059"/>
      <c r="I15" s="601"/>
    </row>
    <row r="16" spans="1:9" ht="12" customHeight="1">
      <c r="A16" s="111">
        <v>1016</v>
      </c>
      <c r="B16" s="112" t="s">
        <v>3</v>
      </c>
      <c r="C16" s="619"/>
      <c r="D16" s="619"/>
      <c r="E16" s="619"/>
      <c r="F16" s="619"/>
      <c r="G16" s="619">
        <v>6697</v>
      </c>
      <c r="H16" s="1059"/>
      <c r="I16" s="297"/>
    </row>
    <row r="17" spans="1:9" ht="12" customHeight="1">
      <c r="A17" s="115">
        <v>1020</v>
      </c>
      <c r="B17" s="125" t="s">
        <v>211</v>
      </c>
      <c r="C17" s="619"/>
      <c r="D17" s="619"/>
      <c r="E17" s="619"/>
      <c r="F17" s="619"/>
      <c r="G17" s="619"/>
      <c r="H17" s="1059"/>
      <c r="I17" s="297"/>
    </row>
    <row r="18" spans="1:9" ht="12" customHeight="1" thickBot="1">
      <c r="A18" s="141">
        <v>1030</v>
      </c>
      <c r="B18" s="185" t="s">
        <v>429</v>
      </c>
      <c r="C18" s="621"/>
      <c r="D18" s="621"/>
      <c r="E18" s="621"/>
      <c r="F18" s="621"/>
      <c r="G18" s="621">
        <v>70425</v>
      </c>
      <c r="H18" s="1253"/>
      <c r="I18" s="297"/>
    </row>
    <row r="19" spans="1:9" ht="16.5" customHeight="1" thickBot="1">
      <c r="A19" s="139"/>
      <c r="B19" s="229" t="s">
        <v>430</v>
      </c>
      <c r="C19" s="622">
        <f>SUM(C10+C18+C17)</f>
        <v>1811883</v>
      </c>
      <c r="D19" s="622">
        <f>SUM(D10+D18+D17)</f>
        <v>1811883</v>
      </c>
      <c r="E19" s="622">
        <f>SUM(E10+E18+E17)</f>
        <v>1875894</v>
      </c>
      <c r="F19" s="622">
        <f>SUM(F10+F18+F17)</f>
        <v>1900745</v>
      </c>
      <c r="G19" s="622">
        <f>SUM(G10+G18+G17)</f>
        <v>2000970</v>
      </c>
      <c r="H19" s="1254">
        <f t="shared" si="0"/>
        <v>1.0527293245543194</v>
      </c>
      <c r="I19" s="297"/>
    </row>
    <row r="20" spans="1:8" ht="12" customHeight="1">
      <c r="A20" s="134"/>
      <c r="B20" s="148"/>
      <c r="C20" s="623"/>
      <c r="D20" s="623"/>
      <c r="E20" s="623"/>
      <c r="F20" s="623"/>
      <c r="G20" s="623"/>
      <c r="H20" s="1061"/>
    </row>
    <row r="21" spans="1:8" ht="12" customHeight="1">
      <c r="A21" s="113">
        <v>1040</v>
      </c>
      <c r="B21" s="114" t="s">
        <v>214</v>
      </c>
      <c r="C21" s="624">
        <f>SUM(C22:C23)</f>
        <v>3805000</v>
      </c>
      <c r="D21" s="624">
        <f>SUM(D22:D23)</f>
        <v>3805000</v>
      </c>
      <c r="E21" s="624">
        <f>SUM(E22:E23)</f>
        <v>3394000</v>
      </c>
      <c r="F21" s="624">
        <f>SUM(F22:F23)</f>
        <v>3394000</v>
      </c>
      <c r="G21" s="624">
        <f>SUM(G22:G23)</f>
        <v>3394000</v>
      </c>
      <c r="H21" s="285">
        <f t="shared" si="0"/>
        <v>1</v>
      </c>
    </row>
    <row r="22" spans="1:9" ht="12" customHeight="1">
      <c r="A22" s="122">
        <v>1041</v>
      </c>
      <c r="B22" s="120" t="s">
        <v>31</v>
      </c>
      <c r="C22" s="962">
        <v>3330000</v>
      </c>
      <c r="D22" s="962">
        <v>3330000</v>
      </c>
      <c r="E22" s="962">
        <v>2959000</v>
      </c>
      <c r="F22" s="962">
        <v>2959000</v>
      </c>
      <c r="G22" s="962">
        <v>2959000</v>
      </c>
      <c r="H22" s="1059">
        <f t="shared" si="0"/>
        <v>1</v>
      </c>
      <c r="I22" s="146"/>
    </row>
    <row r="23" spans="1:8" ht="12" customHeight="1">
      <c r="A23" s="122">
        <v>1042</v>
      </c>
      <c r="B23" s="120" t="s">
        <v>32</v>
      </c>
      <c r="C23" s="962">
        <v>475000</v>
      </c>
      <c r="D23" s="962">
        <v>475000</v>
      </c>
      <c r="E23" s="962">
        <v>435000</v>
      </c>
      <c r="F23" s="962">
        <v>435000</v>
      </c>
      <c r="G23" s="962">
        <v>435000</v>
      </c>
      <c r="H23" s="1059">
        <f t="shared" si="0"/>
        <v>1</v>
      </c>
    </row>
    <row r="24" spans="1:8" ht="12" customHeight="1">
      <c r="A24" s="117">
        <v>1050</v>
      </c>
      <c r="B24" s="116" t="s">
        <v>215</v>
      </c>
      <c r="C24" s="624">
        <f>SUM(C25:C27)</f>
        <v>5838087</v>
      </c>
      <c r="D24" s="624">
        <f>SUM(D25:D27)</f>
        <v>5838087</v>
      </c>
      <c r="E24" s="624">
        <f>SUM(E25:E27)</f>
        <v>4100087</v>
      </c>
      <c r="F24" s="624">
        <f>SUM(F25:F27)</f>
        <v>4107922</v>
      </c>
      <c r="G24" s="624">
        <f>SUM(G25:G27)</f>
        <v>4107922</v>
      </c>
      <c r="H24" s="285">
        <f t="shared" si="0"/>
        <v>1</v>
      </c>
    </row>
    <row r="25" spans="1:8" ht="12.75" customHeight="1">
      <c r="A25" s="123">
        <v>1051</v>
      </c>
      <c r="B25" s="112" t="s">
        <v>182</v>
      </c>
      <c r="C25" s="962">
        <v>5378087</v>
      </c>
      <c r="D25" s="962">
        <v>5378087</v>
      </c>
      <c r="E25" s="962">
        <v>4050087</v>
      </c>
      <c r="F25" s="962">
        <v>4050087</v>
      </c>
      <c r="G25" s="962">
        <v>4050087</v>
      </c>
      <c r="H25" s="1059">
        <f t="shared" si="0"/>
        <v>1</v>
      </c>
    </row>
    <row r="26" spans="1:8" ht="12.75" customHeight="1">
      <c r="A26" s="123">
        <v>1052</v>
      </c>
      <c r="B26" s="124" t="s">
        <v>431</v>
      </c>
      <c r="C26" s="962">
        <v>210000</v>
      </c>
      <c r="D26" s="962">
        <v>210000</v>
      </c>
      <c r="E26" s="962"/>
      <c r="F26" s="962"/>
      <c r="G26" s="962"/>
      <c r="H26" s="1059"/>
    </row>
    <row r="27" spans="1:8" ht="12.75" customHeight="1">
      <c r="A27" s="123">
        <v>1053</v>
      </c>
      <c r="B27" s="119" t="s">
        <v>178</v>
      </c>
      <c r="C27" s="962">
        <v>250000</v>
      </c>
      <c r="D27" s="962">
        <v>250000</v>
      </c>
      <c r="E27" s="962">
        <v>50000</v>
      </c>
      <c r="F27" s="962">
        <v>57835</v>
      </c>
      <c r="G27" s="962">
        <v>57835</v>
      </c>
      <c r="H27" s="1059">
        <f t="shared" si="0"/>
        <v>1</v>
      </c>
    </row>
    <row r="28" spans="1:8" ht="12" customHeight="1">
      <c r="A28" s="117">
        <v>1070</v>
      </c>
      <c r="B28" s="116" t="s">
        <v>184</v>
      </c>
      <c r="C28" s="691">
        <f>SUM(C29:C37)</f>
        <v>325093</v>
      </c>
      <c r="D28" s="691">
        <f>SUM(D29:D37)</f>
        <v>325093</v>
      </c>
      <c r="E28" s="691">
        <f>SUM(E29:E37)</f>
        <v>234545</v>
      </c>
      <c r="F28" s="691">
        <f>SUM(F29:F37)</f>
        <v>234545</v>
      </c>
      <c r="G28" s="691">
        <f>SUM(G29:G37)</f>
        <v>234545</v>
      </c>
      <c r="H28" s="285">
        <f t="shared" si="0"/>
        <v>1</v>
      </c>
    </row>
    <row r="29" spans="1:8" ht="12" customHeight="1">
      <c r="A29" s="123">
        <v>1071</v>
      </c>
      <c r="B29" s="120" t="s">
        <v>216</v>
      </c>
      <c r="C29" s="962">
        <v>10000</v>
      </c>
      <c r="D29" s="962">
        <v>10000</v>
      </c>
      <c r="E29" s="962">
        <v>10000</v>
      </c>
      <c r="F29" s="962">
        <v>10000</v>
      </c>
      <c r="G29" s="962">
        <v>10000</v>
      </c>
      <c r="H29" s="1059">
        <f t="shared" si="0"/>
        <v>1</v>
      </c>
    </row>
    <row r="30" spans="1:8" ht="12" customHeight="1">
      <c r="A30" s="123">
        <v>1073</v>
      </c>
      <c r="B30" s="112" t="s">
        <v>217</v>
      </c>
      <c r="C30" s="692"/>
      <c r="D30" s="692"/>
      <c r="E30" s="692">
        <v>11452</v>
      </c>
      <c r="F30" s="692">
        <v>11452</v>
      </c>
      <c r="G30" s="692">
        <v>11452</v>
      </c>
      <c r="H30" s="1059">
        <f t="shared" si="0"/>
        <v>1</v>
      </c>
    </row>
    <row r="31" spans="1:9" ht="12" customHeight="1">
      <c r="A31" s="123">
        <v>1074</v>
      </c>
      <c r="B31" s="112" t="s">
        <v>218</v>
      </c>
      <c r="C31" s="692"/>
      <c r="D31" s="692"/>
      <c r="E31" s="692"/>
      <c r="F31" s="692"/>
      <c r="G31" s="692"/>
      <c r="H31" s="1059"/>
      <c r="I31" s="730">
        <v>0</v>
      </c>
    </row>
    <row r="32" spans="1:8" ht="12" customHeight="1">
      <c r="A32" s="123">
        <v>1075</v>
      </c>
      <c r="B32" s="119" t="s">
        <v>432</v>
      </c>
      <c r="C32" s="962">
        <v>15000</v>
      </c>
      <c r="D32" s="962">
        <v>15000</v>
      </c>
      <c r="E32" s="962">
        <v>5000</v>
      </c>
      <c r="F32" s="962">
        <v>5000</v>
      </c>
      <c r="G32" s="962">
        <v>5000</v>
      </c>
      <c r="H32" s="1059">
        <f t="shared" si="0"/>
        <v>1</v>
      </c>
    </row>
    <row r="33" spans="1:9" ht="12" customHeight="1">
      <c r="A33" s="123">
        <v>1076</v>
      </c>
      <c r="B33" s="119" t="s">
        <v>433</v>
      </c>
      <c r="C33" s="962">
        <v>5593</v>
      </c>
      <c r="D33" s="962">
        <v>5593</v>
      </c>
      <c r="E33" s="962">
        <v>5593</v>
      </c>
      <c r="F33" s="962">
        <v>5593</v>
      </c>
      <c r="G33" s="962">
        <v>5593</v>
      </c>
      <c r="H33" s="1059">
        <f t="shared" si="0"/>
        <v>1</v>
      </c>
      <c r="I33" s="103">
        <v>0</v>
      </c>
    </row>
    <row r="34" spans="1:8" ht="12" customHeight="1">
      <c r="A34" s="123">
        <v>1077</v>
      </c>
      <c r="B34" s="124" t="s">
        <v>219</v>
      </c>
      <c r="C34" s="962">
        <v>286500</v>
      </c>
      <c r="D34" s="962">
        <v>286500</v>
      </c>
      <c r="E34" s="962">
        <v>194500</v>
      </c>
      <c r="F34" s="962">
        <v>194500</v>
      </c>
      <c r="G34" s="962">
        <v>194500</v>
      </c>
      <c r="H34" s="1059">
        <f t="shared" si="0"/>
        <v>1</v>
      </c>
    </row>
    <row r="35" spans="1:8" ht="12" customHeight="1">
      <c r="A35" s="123">
        <v>1078</v>
      </c>
      <c r="B35" s="120" t="s">
        <v>220</v>
      </c>
      <c r="C35" s="962">
        <v>5000</v>
      </c>
      <c r="D35" s="962">
        <v>5000</v>
      </c>
      <c r="E35" s="962">
        <v>5000</v>
      </c>
      <c r="F35" s="962">
        <v>5000</v>
      </c>
      <c r="G35" s="962">
        <v>5000</v>
      </c>
      <c r="H35" s="1059">
        <f t="shared" si="0"/>
        <v>1</v>
      </c>
    </row>
    <row r="36" spans="1:8" ht="12" customHeight="1">
      <c r="A36" s="123">
        <v>1079</v>
      </c>
      <c r="B36" s="120" t="s">
        <v>452</v>
      </c>
      <c r="C36" s="962">
        <v>3000</v>
      </c>
      <c r="D36" s="962">
        <v>3000</v>
      </c>
      <c r="E36" s="962">
        <v>3000</v>
      </c>
      <c r="F36" s="962">
        <v>3000</v>
      </c>
      <c r="G36" s="962">
        <v>3000</v>
      </c>
      <c r="H36" s="1059">
        <f t="shared" si="0"/>
        <v>1</v>
      </c>
    </row>
    <row r="37" spans="1:8" ht="13.5" customHeight="1" thickBot="1">
      <c r="A37" s="138">
        <v>1082</v>
      </c>
      <c r="B37" s="284" t="s">
        <v>169</v>
      </c>
      <c r="C37" s="963"/>
      <c r="D37" s="963"/>
      <c r="E37" s="963"/>
      <c r="F37" s="963"/>
      <c r="G37" s="963"/>
      <c r="H37" s="1059"/>
    </row>
    <row r="38" spans="1:8" ht="17.25" customHeight="1" thickBot="1">
      <c r="A38" s="140"/>
      <c r="B38" s="615" t="s">
        <v>221</v>
      </c>
      <c r="C38" s="627">
        <f>SUM(C21+C24+C28)</f>
        <v>9968180</v>
      </c>
      <c r="D38" s="627">
        <f>SUM(D21+D24+D28)</f>
        <v>9968180</v>
      </c>
      <c r="E38" s="627">
        <f>SUM(E21+E24+E28)</f>
        <v>7728632</v>
      </c>
      <c r="F38" s="627">
        <f>SUM(F21+F24+F28)</f>
        <v>7736467</v>
      </c>
      <c r="G38" s="627">
        <f>SUM(G21+G24+G28)</f>
        <v>7736467</v>
      </c>
      <c r="H38" s="1254">
        <f t="shared" si="0"/>
        <v>1</v>
      </c>
    </row>
    <row r="39" spans="1:8" ht="12" customHeight="1">
      <c r="A39" s="123"/>
      <c r="B39" s="207"/>
      <c r="C39" s="623"/>
      <c r="D39" s="623"/>
      <c r="E39" s="623"/>
      <c r="F39" s="623"/>
      <c r="G39" s="623"/>
      <c r="H39" s="1059"/>
    </row>
    <row r="40" spans="1:8" ht="12" customHeight="1">
      <c r="A40" s="117">
        <v>1090</v>
      </c>
      <c r="B40" s="230" t="s">
        <v>222</v>
      </c>
      <c r="C40" s="624">
        <f>SUM(C41:C48)</f>
        <v>1914122</v>
      </c>
      <c r="D40" s="624">
        <f>SUM(D41:D48)</f>
        <v>1914122</v>
      </c>
      <c r="E40" s="624">
        <f>SUM(E41:E48)</f>
        <v>1482122</v>
      </c>
      <c r="F40" s="624">
        <f>SUM(F41:F48)</f>
        <v>1502122</v>
      </c>
      <c r="G40" s="624">
        <f>SUM(G41:G48)</f>
        <v>1502122</v>
      </c>
      <c r="H40" s="285">
        <f t="shared" si="0"/>
        <v>1</v>
      </c>
    </row>
    <row r="41" spans="1:8" ht="12" customHeight="1">
      <c r="A41" s="123">
        <v>1091</v>
      </c>
      <c r="B41" s="191" t="s">
        <v>489</v>
      </c>
      <c r="C41" s="962">
        <v>309843</v>
      </c>
      <c r="D41" s="962">
        <v>309843</v>
      </c>
      <c r="E41" s="962">
        <v>219843</v>
      </c>
      <c r="F41" s="962">
        <v>239843</v>
      </c>
      <c r="G41" s="962">
        <v>239843</v>
      </c>
      <c r="H41" s="1059">
        <f t="shared" si="0"/>
        <v>1</v>
      </c>
    </row>
    <row r="42" spans="1:10" ht="12" customHeight="1">
      <c r="A42" s="123">
        <v>1092</v>
      </c>
      <c r="B42" s="120" t="s">
        <v>170</v>
      </c>
      <c r="C42" s="962">
        <v>954279</v>
      </c>
      <c r="D42" s="962">
        <v>954279</v>
      </c>
      <c r="E42" s="962">
        <v>716279</v>
      </c>
      <c r="F42" s="962">
        <v>716279</v>
      </c>
      <c r="G42" s="962">
        <v>716279</v>
      </c>
      <c r="H42" s="1059">
        <f t="shared" si="0"/>
        <v>1</v>
      </c>
      <c r="J42" s="1099"/>
    </row>
    <row r="43" spans="1:8" ht="12" customHeight="1">
      <c r="A43" s="123">
        <v>1093</v>
      </c>
      <c r="B43" s="120" t="s">
        <v>490</v>
      </c>
      <c r="C43" s="962">
        <v>10000</v>
      </c>
      <c r="D43" s="962">
        <v>10000</v>
      </c>
      <c r="E43" s="962">
        <v>10000</v>
      </c>
      <c r="F43" s="962">
        <v>10000</v>
      </c>
      <c r="G43" s="962">
        <v>10000</v>
      </c>
      <c r="H43" s="1059">
        <f t="shared" si="0"/>
        <v>1</v>
      </c>
    </row>
    <row r="44" spans="1:9" ht="12" customHeight="1">
      <c r="A44" s="123">
        <v>1094</v>
      </c>
      <c r="B44" s="120" t="s">
        <v>491</v>
      </c>
      <c r="C44" s="962">
        <v>12000</v>
      </c>
      <c r="D44" s="962">
        <v>12000</v>
      </c>
      <c r="E44" s="962">
        <v>12000</v>
      </c>
      <c r="F44" s="962">
        <v>12000</v>
      </c>
      <c r="G44" s="962">
        <v>12000</v>
      </c>
      <c r="H44" s="1059">
        <f t="shared" si="0"/>
        <v>1</v>
      </c>
      <c r="I44" s="684"/>
    </row>
    <row r="45" spans="1:8" ht="12" customHeight="1">
      <c r="A45" s="123">
        <v>1095</v>
      </c>
      <c r="B45" s="124" t="s">
        <v>327</v>
      </c>
      <c r="C45" s="962">
        <v>310000</v>
      </c>
      <c r="D45" s="962">
        <v>310000</v>
      </c>
      <c r="E45" s="962">
        <v>265000</v>
      </c>
      <c r="F45" s="962">
        <v>265000</v>
      </c>
      <c r="G45" s="962">
        <v>265000</v>
      </c>
      <c r="H45" s="1059">
        <f t="shared" si="0"/>
        <v>1</v>
      </c>
    </row>
    <row r="46" spans="1:8" ht="12" customHeight="1">
      <c r="A46" s="123">
        <v>1096</v>
      </c>
      <c r="B46" s="124" t="s">
        <v>307</v>
      </c>
      <c r="C46" s="962">
        <v>300000</v>
      </c>
      <c r="D46" s="962">
        <v>300000</v>
      </c>
      <c r="E46" s="962">
        <v>241000</v>
      </c>
      <c r="F46" s="962">
        <v>241000</v>
      </c>
      <c r="G46" s="962">
        <v>241000</v>
      </c>
      <c r="H46" s="1059">
        <f t="shared" si="0"/>
        <v>1</v>
      </c>
    </row>
    <row r="47" spans="1:9" ht="12" customHeight="1">
      <c r="A47" s="123">
        <v>1097</v>
      </c>
      <c r="B47" s="124" t="s">
        <v>0</v>
      </c>
      <c r="C47" s="962">
        <v>3000</v>
      </c>
      <c r="D47" s="962">
        <v>3000</v>
      </c>
      <c r="E47" s="962">
        <v>3000</v>
      </c>
      <c r="F47" s="962">
        <v>3000</v>
      </c>
      <c r="G47" s="962">
        <v>3000</v>
      </c>
      <c r="H47" s="1059">
        <f t="shared" si="0"/>
        <v>1</v>
      </c>
      <c r="I47" s="684"/>
    </row>
    <row r="48" spans="1:9" ht="12" customHeight="1">
      <c r="A48" s="123">
        <v>1098</v>
      </c>
      <c r="B48" s="124" t="s">
        <v>4</v>
      </c>
      <c r="C48" s="962">
        <v>15000</v>
      </c>
      <c r="D48" s="962">
        <v>15000</v>
      </c>
      <c r="E48" s="962">
        <v>15000</v>
      </c>
      <c r="F48" s="962">
        <v>15000</v>
      </c>
      <c r="G48" s="962">
        <v>15000</v>
      </c>
      <c r="H48" s="1059">
        <f t="shared" si="0"/>
        <v>1</v>
      </c>
      <c r="I48" s="684"/>
    </row>
    <row r="49" spans="1:8" ht="12" customHeight="1">
      <c r="A49" s="117">
        <v>1100</v>
      </c>
      <c r="B49" s="230" t="s">
        <v>223</v>
      </c>
      <c r="C49" s="624">
        <f>SUM(C50:C52)</f>
        <v>192500</v>
      </c>
      <c r="D49" s="624">
        <f>SUM(D50:D52)</f>
        <v>192500</v>
      </c>
      <c r="E49" s="624">
        <f>SUM(E50:E52)</f>
        <v>113500</v>
      </c>
      <c r="F49" s="624">
        <f>SUM(F50:F52)</f>
        <v>113500</v>
      </c>
      <c r="G49" s="624">
        <f>SUM(G50:G52)</f>
        <v>113500</v>
      </c>
      <c r="H49" s="285">
        <f t="shared" si="0"/>
        <v>1</v>
      </c>
    </row>
    <row r="50" spans="1:9" ht="12" customHeight="1">
      <c r="A50" s="123">
        <v>1101</v>
      </c>
      <c r="B50" s="124" t="s">
        <v>1</v>
      </c>
      <c r="C50" s="962">
        <v>20000</v>
      </c>
      <c r="D50" s="962">
        <v>20000</v>
      </c>
      <c r="E50" s="962">
        <v>20000</v>
      </c>
      <c r="F50" s="962">
        <v>20000</v>
      </c>
      <c r="G50" s="962">
        <v>20000</v>
      </c>
      <c r="H50" s="1059">
        <f t="shared" si="0"/>
        <v>1</v>
      </c>
      <c r="I50" s="684"/>
    </row>
    <row r="51" spans="1:8" ht="12" customHeight="1">
      <c r="A51" s="123">
        <v>1102</v>
      </c>
      <c r="B51" s="120" t="s">
        <v>224</v>
      </c>
      <c r="C51" s="962">
        <v>108500</v>
      </c>
      <c r="D51" s="962">
        <v>108500</v>
      </c>
      <c r="E51" s="962">
        <v>85500</v>
      </c>
      <c r="F51" s="962">
        <v>85500</v>
      </c>
      <c r="G51" s="962">
        <v>85500</v>
      </c>
      <c r="H51" s="1059">
        <f t="shared" si="0"/>
        <v>1</v>
      </c>
    </row>
    <row r="52" spans="1:8" ht="12" customHeight="1">
      <c r="A52" s="123">
        <v>1103</v>
      </c>
      <c r="B52" s="120" t="s">
        <v>225</v>
      </c>
      <c r="C52" s="962">
        <v>64000</v>
      </c>
      <c r="D52" s="962">
        <v>64000</v>
      </c>
      <c r="E52" s="962">
        <v>8000</v>
      </c>
      <c r="F52" s="962">
        <v>8000</v>
      </c>
      <c r="G52" s="962">
        <v>8000</v>
      </c>
      <c r="H52" s="1059">
        <f t="shared" si="0"/>
        <v>1</v>
      </c>
    </row>
    <row r="53" spans="1:8" ht="12" customHeight="1">
      <c r="A53" s="541">
        <v>1105</v>
      </c>
      <c r="B53" s="540" t="s">
        <v>351</v>
      </c>
      <c r="C53" s="624"/>
      <c r="D53" s="624"/>
      <c r="E53" s="624"/>
      <c r="F53" s="624"/>
      <c r="G53" s="624"/>
      <c r="H53" s="1059"/>
    </row>
    <row r="54" spans="1:8" ht="12" customHeight="1">
      <c r="A54" s="117">
        <v>1110</v>
      </c>
      <c r="B54" s="125" t="s">
        <v>226</v>
      </c>
      <c r="C54" s="625"/>
      <c r="D54" s="625"/>
      <c r="E54" s="625"/>
      <c r="F54" s="625"/>
      <c r="G54" s="625"/>
      <c r="H54" s="1059"/>
    </row>
    <row r="55" spans="1:8" ht="12" customHeight="1">
      <c r="A55" s="117">
        <v>1120</v>
      </c>
      <c r="B55" s="125" t="s">
        <v>227</v>
      </c>
      <c r="C55" s="624">
        <f>SUM(C56:C58)</f>
        <v>562892</v>
      </c>
      <c r="D55" s="624">
        <f>SUM(D56:D58)</f>
        <v>562892</v>
      </c>
      <c r="E55" s="624">
        <f>SUM(E56:E58)</f>
        <v>434892</v>
      </c>
      <c r="F55" s="624">
        <f>SUM(F56:F58)</f>
        <v>440292</v>
      </c>
      <c r="G55" s="624">
        <f>SUM(G56:G58)</f>
        <v>440292</v>
      </c>
      <c r="H55" s="285">
        <f t="shared" si="0"/>
        <v>1</v>
      </c>
    </row>
    <row r="56" spans="1:10" ht="12" customHeight="1">
      <c r="A56" s="123">
        <v>1121</v>
      </c>
      <c r="B56" s="112" t="s">
        <v>303</v>
      </c>
      <c r="C56" s="962">
        <v>93557</v>
      </c>
      <c r="D56" s="962">
        <v>93557</v>
      </c>
      <c r="E56" s="962">
        <v>69557</v>
      </c>
      <c r="F56" s="962">
        <v>74957</v>
      </c>
      <c r="G56" s="962">
        <v>74957</v>
      </c>
      <c r="H56" s="1059">
        <f t="shared" si="0"/>
        <v>1</v>
      </c>
      <c r="J56" s="1099"/>
    </row>
    <row r="57" spans="1:8" ht="12" customHeight="1">
      <c r="A57" s="123">
        <v>1122</v>
      </c>
      <c r="B57" s="112" t="s">
        <v>435</v>
      </c>
      <c r="C57" s="962">
        <v>194400</v>
      </c>
      <c r="D57" s="962">
        <v>194400</v>
      </c>
      <c r="E57" s="962">
        <v>166400</v>
      </c>
      <c r="F57" s="962">
        <v>166400</v>
      </c>
      <c r="G57" s="962">
        <v>166400</v>
      </c>
      <c r="H57" s="1059">
        <f t="shared" si="0"/>
        <v>1</v>
      </c>
    </row>
    <row r="58" spans="1:8" ht="12" customHeight="1">
      <c r="A58" s="123">
        <v>1123</v>
      </c>
      <c r="B58" s="119" t="s">
        <v>317</v>
      </c>
      <c r="C58" s="962">
        <v>274935</v>
      </c>
      <c r="D58" s="962">
        <v>274935</v>
      </c>
      <c r="E58" s="962">
        <v>198935</v>
      </c>
      <c r="F58" s="962">
        <v>198935</v>
      </c>
      <c r="G58" s="962">
        <v>198935</v>
      </c>
      <c r="H58" s="1059">
        <f t="shared" si="0"/>
        <v>1</v>
      </c>
    </row>
    <row r="59" spans="1:8" ht="12" customHeight="1">
      <c r="A59" s="117">
        <v>1130</v>
      </c>
      <c r="B59" s="116" t="s">
        <v>228</v>
      </c>
      <c r="C59" s="624"/>
      <c r="D59" s="624"/>
      <c r="E59" s="624"/>
      <c r="F59" s="624"/>
      <c r="G59" s="624"/>
      <c r="H59" s="1059"/>
    </row>
    <row r="60" spans="1:8" ht="12" customHeight="1">
      <c r="A60" s="117">
        <v>1140</v>
      </c>
      <c r="B60" s="118" t="s">
        <v>456</v>
      </c>
      <c r="C60" s="624">
        <f>SUM(C61)</f>
        <v>6000</v>
      </c>
      <c r="D60" s="624">
        <f>SUM(D61)</f>
        <v>6000</v>
      </c>
      <c r="E60" s="624">
        <f>SUM(E61)</f>
        <v>6000</v>
      </c>
      <c r="F60" s="624">
        <f>SUM(F61)</f>
        <v>6000</v>
      </c>
      <c r="G60" s="624">
        <f>SUM(G61)</f>
        <v>6000</v>
      </c>
      <c r="H60" s="285">
        <f t="shared" si="0"/>
        <v>1</v>
      </c>
    </row>
    <row r="61" spans="1:8" ht="12" customHeight="1">
      <c r="A61" s="123">
        <v>1141</v>
      </c>
      <c r="B61" s="120" t="s">
        <v>97</v>
      </c>
      <c r="C61" s="962">
        <v>6000</v>
      </c>
      <c r="D61" s="962">
        <v>6000</v>
      </c>
      <c r="E61" s="962">
        <v>6000</v>
      </c>
      <c r="F61" s="962">
        <v>6000</v>
      </c>
      <c r="G61" s="962">
        <v>6000</v>
      </c>
      <c r="H61" s="1059">
        <f t="shared" si="0"/>
        <v>1</v>
      </c>
    </row>
    <row r="62" spans="1:8" ht="12" customHeight="1">
      <c r="A62" s="115">
        <v>1150</v>
      </c>
      <c r="B62" s="125" t="s">
        <v>229</v>
      </c>
      <c r="C62" s="964">
        <v>10000</v>
      </c>
      <c r="D62" s="964">
        <v>10000</v>
      </c>
      <c r="E62" s="964">
        <v>22852</v>
      </c>
      <c r="F62" s="964">
        <v>30946</v>
      </c>
      <c r="G62" s="964">
        <v>32337</v>
      </c>
      <c r="H62" s="285">
        <f t="shared" si="0"/>
        <v>1.0449492664641633</v>
      </c>
    </row>
    <row r="63" spans="1:8" ht="12" customHeight="1" thickBot="1">
      <c r="A63" s="139">
        <v>1151</v>
      </c>
      <c r="B63" s="617" t="s">
        <v>434</v>
      </c>
      <c r="C63" s="965">
        <v>19000</v>
      </c>
      <c r="D63" s="965">
        <v>19000</v>
      </c>
      <c r="E63" s="965">
        <v>16000</v>
      </c>
      <c r="F63" s="965">
        <v>16000</v>
      </c>
      <c r="G63" s="965">
        <v>16000</v>
      </c>
      <c r="H63" s="285">
        <f t="shared" si="0"/>
        <v>1</v>
      </c>
    </row>
    <row r="64" spans="1:8" ht="18.75" customHeight="1" thickBot="1">
      <c r="A64" s="140"/>
      <c r="B64" s="239" t="s">
        <v>349</v>
      </c>
      <c r="C64" s="627">
        <f>SUM(C60+C62+C59+C55+C54+C49+C40+C53+C63)</f>
        <v>2704514</v>
      </c>
      <c r="D64" s="627">
        <f>SUM(D60+D62+D59+D55+D54+D49+D40+D53+D63)</f>
        <v>2704514</v>
      </c>
      <c r="E64" s="627">
        <f>SUM(E60+E62+E59+E55+E54+E49+E40+E53+E63)</f>
        <v>2075366</v>
      </c>
      <c r="F64" s="627">
        <f>SUM(F60+F62+F59+F55+F54+F49+F40+F53+F63)</f>
        <v>2108860</v>
      </c>
      <c r="G64" s="627">
        <f>SUM(G60+G62+G59+G55+G54+G49+G40+G53+G63)</f>
        <v>2110251</v>
      </c>
      <c r="H64" s="1255">
        <f t="shared" si="0"/>
        <v>1.000659598076686</v>
      </c>
    </row>
    <row r="65" spans="1:8" ht="12" customHeight="1">
      <c r="A65" s="135"/>
      <c r="B65" s="231"/>
      <c r="C65" s="623"/>
      <c r="D65" s="623"/>
      <c r="E65" s="623"/>
      <c r="F65" s="623"/>
      <c r="G65" s="623"/>
      <c r="H65" s="1059"/>
    </row>
    <row r="66" spans="1:8" ht="15" customHeight="1">
      <c r="A66" s="122">
        <v>1160</v>
      </c>
      <c r="B66" s="120" t="s">
        <v>230</v>
      </c>
      <c r="C66" s="625"/>
      <c r="D66" s="625"/>
      <c r="E66" s="625"/>
      <c r="F66" s="625">
        <v>1670</v>
      </c>
      <c r="G66" s="625">
        <v>1670</v>
      </c>
      <c r="H66" s="1059">
        <f t="shared" si="0"/>
        <v>1</v>
      </c>
    </row>
    <row r="67" spans="1:8" ht="15" customHeight="1" thickBot="1">
      <c r="A67" s="138">
        <v>1161</v>
      </c>
      <c r="B67" s="145" t="s">
        <v>1257</v>
      </c>
      <c r="C67" s="626"/>
      <c r="D67" s="626"/>
      <c r="E67" s="626">
        <v>11000</v>
      </c>
      <c r="F67" s="626">
        <v>11000</v>
      </c>
      <c r="G67" s="626">
        <v>11000</v>
      </c>
      <c r="H67" s="1253">
        <f t="shared" si="0"/>
        <v>1</v>
      </c>
    </row>
    <row r="68" spans="1:8" ht="18" customHeight="1" thickBot="1">
      <c r="A68" s="140"/>
      <c r="B68" s="229" t="s">
        <v>231</v>
      </c>
      <c r="C68" s="632"/>
      <c r="D68" s="632"/>
      <c r="E68" s="632">
        <f>SUM(E67)</f>
        <v>11000</v>
      </c>
      <c r="F68" s="632">
        <f>SUM(F66:F67)</f>
        <v>12670</v>
      </c>
      <c r="G68" s="632">
        <f>SUM(G66:G67)</f>
        <v>12670</v>
      </c>
      <c r="H68" s="1060">
        <f t="shared" si="0"/>
        <v>1</v>
      </c>
    </row>
    <row r="69" spans="1:8" ht="12" customHeight="1" thickBot="1">
      <c r="A69" s="140"/>
      <c r="B69" s="176"/>
      <c r="C69" s="630"/>
      <c r="D69" s="630"/>
      <c r="E69" s="630"/>
      <c r="F69" s="630"/>
      <c r="G69" s="630"/>
      <c r="H69" s="630"/>
    </row>
    <row r="70" spans="1:8" ht="18.75" customHeight="1" thickBot="1">
      <c r="A70" s="140"/>
      <c r="B70" s="232" t="s">
        <v>67</v>
      </c>
      <c r="C70" s="631">
        <f>SUM(C64+C38+C19+C68)</f>
        <v>14484577</v>
      </c>
      <c r="D70" s="631">
        <f>SUM(D64+D38+D19+D68)</f>
        <v>14484577</v>
      </c>
      <c r="E70" s="631">
        <f>SUM(E64+E38+E19+E68)</f>
        <v>11690892</v>
      </c>
      <c r="F70" s="631">
        <f>SUM(F64+F38+F19+F68)</f>
        <v>11758742</v>
      </c>
      <c r="G70" s="631">
        <f>SUM(G64+G38+G19+G68)</f>
        <v>11860358</v>
      </c>
      <c r="H70" s="1256">
        <f>SUM(G70/F70)</f>
        <v>1.0086417407576422</v>
      </c>
    </row>
    <row r="71" spans="1:8" ht="12" customHeight="1">
      <c r="A71" s="123"/>
      <c r="B71" s="210"/>
      <c r="C71" s="623"/>
      <c r="D71" s="623"/>
      <c r="E71" s="623"/>
      <c r="F71" s="623"/>
      <c r="G71" s="623"/>
      <c r="H71" s="1059"/>
    </row>
    <row r="72" spans="1:8" ht="12" customHeight="1">
      <c r="A72" s="115">
        <v>1165</v>
      </c>
      <c r="B72" s="125" t="s">
        <v>232</v>
      </c>
      <c r="C72" s="624">
        <v>400000</v>
      </c>
      <c r="D72" s="624">
        <v>400000</v>
      </c>
      <c r="E72" s="624">
        <v>0</v>
      </c>
      <c r="F72" s="624">
        <v>0</v>
      </c>
      <c r="G72" s="624">
        <v>740000</v>
      </c>
      <c r="H72" s="1059"/>
    </row>
    <row r="73" spans="1:8" ht="12" customHeight="1">
      <c r="A73" s="115">
        <v>1170</v>
      </c>
      <c r="B73" s="114" t="s">
        <v>233</v>
      </c>
      <c r="C73" s="624"/>
      <c r="D73" s="624"/>
      <c r="E73" s="624"/>
      <c r="F73" s="624"/>
      <c r="G73" s="624"/>
      <c r="H73" s="1059"/>
    </row>
    <row r="74" spans="1:8" ht="12" customHeight="1">
      <c r="A74" s="115">
        <v>1180</v>
      </c>
      <c r="B74" s="131" t="s">
        <v>404</v>
      </c>
      <c r="C74" s="964">
        <f>SUM(C75:C76)</f>
        <v>400000</v>
      </c>
      <c r="D74" s="964">
        <f>SUM(D75:D76)</f>
        <v>400000</v>
      </c>
      <c r="E74" s="964">
        <f>SUM(E75:E76)</f>
        <v>400000</v>
      </c>
      <c r="F74" s="964">
        <f>SUM(F75:F76)</f>
        <v>400000</v>
      </c>
      <c r="G74" s="964">
        <f>SUM(G75:G76)</f>
        <v>400000</v>
      </c>
      <c r="H74" s="285">
        <f t="shared" si="0"/>
        <v>1</v>
      </c>
    </row>
    <row r="75" spans="1:8" ht="12" customHeight="1">
      <c r="A75" s="122">
        <v>1182</v>
      </c>
      <c r="B75" s="120" t="s">
        <v>492</v>
      </c>
      <c r="C75" s="625">
        <v>250000</v>
      </c>
      <c r="D75" s="625">
        <v>250000</v>
      </c>
      <c r="E75" s="625">
        <v>250000</v>
      </c>
      <c r="F75" s="625">
        <v>250000</v>
      </c>
      <c r="G75" s="625">
        <v>250000</v>
      </c>
      <c r="H75" s="1059">
        <f t="shared" si="0"/>
        <v>1</v>
      </c>
    </row>
    <row r="76" spans="1:8" ht="12" customHeight="1">
      <c r="A76" s="122">
        <v>1183</v>
      </c>
      <c r="B76" s="120" t="s">
        <v>1055</v>
      </c>
      <c r="C76" s="625">
        <v>150000</v>
      </c>
      <c r="D76" s="625">
        <v>150000</v>
      </c>
      <c r="E76" s="625">
        <v>150000</v>
      </c>
      <c r="F76" s="625">
        <v>150000</v>
      </c>
      <c r="G76" s="625">
        <v>150000</v>
      </c>
      <c r="H76" s="1059">
        <f aca="true" t="shared" si="1" ref="H76:H140">SUM(G76/F76)</f>
        <v>1</v>
      </c>
    </row>
    <row r="77" spans="1:8" ht="12" customHeight="1" thickBot="1">
      <c r="A77" s="139">
        <v>1185</v>
      </c>
      <c r="B77" s="286" t="s">
        <v>462</v>
      </c>
      <c r="C77" s="632"/>
      <c r="D77" s="632"/>
      <c r="E77" s="632"/>
      <c r="F77" s="632"/>
      <c r="G77" s="632"/>
      <c r="H77" s="1059"/>
    </row>
    <row r="78" spans="1:8" ht="15" customHeight="1" thickBot="1">
      <c r="A78" s="130"/>
      <c r="B78" s="176" t="s">
        <v>436</v>
      </c>
      <c r="C78" s="632">
        <f>SUM(C73+C74+C72+C77)</f>
        <v>800000</v>
      </c>
      <c r="D78" s="632">
        <f>SUM(D73+D74+D72+D77)</f>
        <v>800000</v>
      </c>
      <c r="E78" s="632">
        <f>SUM(E73+E74+E72+E77)</f>
        <v>400000</v>
      </c>
      <c r="F78" s="632">
        <f>SUM(F73+F74+F72+F77)</f>
        <v>400000</v>
      </c>
      <c r="G78" s="632">
        <f>SUM(G73+G74+G72+G77)</f>
        <v>1140000</v>
      </c>
      <c r="H78" s="1060">
        <f t="shared" si="1"/>
        <v>2.85</v>
      </c>
    </row>
    <row r="79" spans="1:8" ht="12" customHeight="1">
      <c r="A79" s="117"/>
      <c r="B79" s="124"/>
      <c r="C79" s="623"/>
      <c r="D79" s="623"/>
      <c r="E79" s="623"/>
      <c r="F79" s="623"/>
      <c r="G79" s="623"/>
      <c r="H79" s="1059"/>
    </row>
    <row r="80" spans="1:8" ht="12" customHeight="1">
      <c r="A80" s="115">
        <v>1190</v>
      </c>
      <c r="B80" s="118" t="s">
        <v>236</v>
      </c>
      <c r="C80" s="624">
        <f>SUM(C81+C82+C83)</f>
        <v>894000</v>
      </c>
      <c r="D80" s="624">
        <f>SUM(D81+D82+D83)</f>
        <v>894000</v>
      </c>
      <c r="E80" s="624">
        <f>SUM(E81+E82+E83)</f>
        <v>649000</v>
      </c>
      <c r="F80" s="624">
        <f>SUM(F81+F82+F83)</f>
        <v>649000</v>
      </c>
      <c r="G80" s="624">
        <f>SUM(G81+G82+G83)</f>
        <v>649000</v>
      </c>
      <c r="H80" s="285">
        <f t="shared" si="1"/>
        <v>1</v>
      </c>
    </row>
    <row r="81" spans="1:8" ht="12" customHeight="1">
      <c r="A81" s="122">
        <v>1191</v>
      </c>
      <c r="B81" s="112" t="s">
        <v>497</v>
      </c>
      <c r="C81" s="962">
        <v>344000</v>
      </c>
      <c r="D81" s="962">
        <v>344000</v>
      </c>
      <c r="E81" s="962">
        <v>344000</v>
      </c>
      <c r="F81" s="962">
        <v>344000</v>
      </c>
      <c r="G81" s="962">
        <v>344000</v>
      </c>
      <c r="H81" s="1059">
        <f t="shared" si="1"/>
        <v>1</v>
      </c>
    </row>
    <row r="82" spans="1:8" ht="12" customHeight="1">
      <c r="A82" s="122">
        <v>1194</v>
      </c>
      <c r="B82" s="112" t="s">
        <v>183</v>
      </c>
      <c r="C82" s="962">
        <v>150000</v>
      </c>
      <c r="D82" s="962">
        <v>150000</v>
      </c>
      <c r="E82" s="962">
        <v>50000</v>
      </c>
      <c r="F82" s="962">
        <v>50000</v>
      </c>
      <c r="G82" s="962">
        <v>50000</v>
      </c>
      <c r="H82" s="1059">
        <f t="shared" si="1"/>
        <v>1</v>
      </c>
    </row>
    <row r="83" spans="1:8" ht="12" customHeight="1" thickBot="1">
      <c r="A83" s="122">
        <v>1195</v>
      </c>
      <c r="B83" s="112" t="s">
        <v>286</v>
      </c>
      <c r="C83" s="1083">
        <v>400000</v>
      </c>
      <c r="D83" s="1083">
        <v>400000</v>
      </c>
      <c r="E83" s="1083">
        <v>255000</v>
      </c>
      <c r="F83" s="1083">
        <v>255000</v>
      </c>
      <c r="G83" s="1083">
        <v>255000</v>
      </c>
      <c r="H83" s="1059">
        <f t="shared" si="1"/>
        <v>1</v>
      </c>
    </row>
    <row r="84" spans="1:8" ht="15.75" customHeight="1" thickBot="1">
      <c r="A84" s="130"/>
      <c r="B84" s="239" t="s">
        <v>237</v>
      </c>
      <c r="C84" s="629">
        <f>SUM(C80)</f>
        <v>894000</v>
      </c>
      <c r="D84" s="629">
        <f>SUM(D80)</f>
        <v>894000</v>
      </c>
      <c r="E84" s="629">
        <f>SUM(E80)</f>
        <v>649000</v>
      </c>
      <c r="F84" s="629">
        <f>SUM(F80)</f>
        <v>649000</v>
      </c>
      <c r="G84" s="629">
        <f>SUM(G80)</f>
        <v>649000</v>
      </c>
      <c r="H84" s="1060">
        <f t="shared" si="1"/>
        <v>1</v>
      </c>
    </row>
    <row r="85" spans="1:8" ht="12" customHeight="1">
      <c r="A85" s="115">
        <v>1200</v>
      </c>
      <c r="B85" s="125" t="s">
        <v>463</v>
      </c>
      <c r="C85" s="648">
        <v>15000</v>
      </c>
      <c r="D85" s="648">
        <v>15000</v>
      </c>
      <c r="E85" s="648">
        <v>15000</v>
      </c>
      <c r="F85" s="648">
        <v>15000</v>
      </c>
      <c r="G85" s="648">
        <v>15000</v>
      </c>
      <c r="H85" s="1257">
        <f t="shared" si="1"/>
        <v>1</v>
      </c>
    </row>
    <row r="86" spans="1:8" ht="12" customHeight="1">
      <c r="A86" s="122">
        <v>1201</v>
      </c>
      <c r="B86" s="112" t="s">
        <v>322</v>
      </c>
      <c r="C86" s="625"/>
      <c r="D86" s="625"/>
      <c r="E86" s="625"/>
      <c r="F86" s="625"/>
      <c r="G86" s="625"/>
      <c r="H86" s="1061"/>
    </row>
    <row r="87" spans="1:8" ht="12" customHeight="1">
      <c r="A87" s="122">
        <v>1202</v>
      </c>
      <c r="B87" s="112" t="s">
        <v>323</v>
      </c>
      <c r="C87" s="625">
        <v>15000</v>
      </c>
      <c r="D87" s="625">
        <v>15000</v>
      </c>
      <c r="E87" s="625">
        <v>15000</v>
      </c>
      <c r="F87" s="625">
        <v>15000</v>
      </c>
      <c r="G87" s="625">
        <v>15000</v>
      </c>
      <c r="H87" s="1059">
        <f t="shared" si="1"/>
        <v>1</v>
      </c>
    </row>
    <row r="88" spans="1:8" ht="12" customHeight="1">
      <c r="A88" s="115">
        <v>1210</v>
      </c>
      <c r="B88" s="125" t="s">
        <v>241</v>
      </c>
      <c r="C88" s="624"/>
      <c r="D88" s="624"/>
      <c r="E88" s="624"/>
      <c r="F88" s="624"/>
      <c r="G88" s="624"/>
      <c r="H88" s="1059"/>
    </row>
    <row r="89" spans="1:8" ht="12" customHeight="1" thickBot="1">
      <c r="A89" s="691">
        <v>1211</v>
      </c>
      <c r="B89" s="540" t="s">
        <v>377</v>
      </c>
      <c r="C89" s="724"/>
      <c r="D89" s="724"/>
      <c r="E89" s="724"/>
      <c r="F89" s="724"/>
      <c r="G89" s="724"/>
      <c r="H89" s="1253"/>
    </row>
    <row r="90" spans="1:8" ht="15.75" customHeight="1" thickBot="1">
      <c r="A90" s="130"/>
      <c r="B90" s="176" t="s">
        <v>242</v>
      </c>
      <c r="C90" s="629">
        <f>SUM(C85+C88+C89)</f>
        <v>15000</v>
      </c>
      <c r="D90" s="629">
        <f>SUM(D85+D88+D89)</f>
        <v>15000</v>
      </c>
      <c r="E90" s="629">
        <f>SUM(E85+E88+E89)</f>
        <v>15000</v>
      </c>
      <c r="F90" s="629">
        <f>SUM(F85+F88+F89)</f>
        <v>15000</v>
      </c>
      <c r="G90" s="629">
        <f>SUM(G85+G88+G89)</f>
        <v>15000</v>
      </c>
      <c r="H90" s="1060">
        <f t="shared" si="1"/>
        <v>1</v>
      </c>
    </row>
    <row r="91" spans="1:8" ht="12" customHeight="1" thickBot="1">
      <c r="A91" s="130"/>
      <c r="B91" s="129"/>
      <c r="C91" s="630"/>
      <c r="D91" s="630"/>
      <c r="E91" s="630"/>
      <c r="F91" s="630"/>
      <c r="G91" s="630"/>
      <c r="H91" s="1258"/>
    </row>
    <row r="92" spans="1:8" ht="24" customHeight="1" thickBot="1">
      <c r="A92" s="130"/>
      <c r="B92" s="235" t="s">
        <v>68</v>
      </c>
      <c r="C92" s="633">
        <f>SUM(C78+C84+C90)</f>
        <v>1709000</v>
      </c>
      <c r="D92" s="633">
        <f>SUM(D78+D84+D90)</f>
        <v>1709000</v>
      </c>
      <c r="E92" s="633">
        <f>SUM(E78+E84+E90)</f>
        <v>1064000</v>
      </c>
      <c r="F92" s="633">
        <f>SUM(F78+F84+F90)</f>
        <v>1064000</v>
      </c>
      <c r="G92" s="633">
        <f>SUM(G78+G84+G90)</f>
        <v>1804000</v>
      </c>
      <c r="H92" s="1207">
        <f t="shared" si="1"/>
        <v>1.6954887218045114</v>
      </c>
    </row>
    <row r="93" spans="1:8" ht="12.75" customHeight="1">
      <c r="A93" s="137"/>
      <c r="B93" s="233"/>
      <c r="C93" s="623"/>
      <c r="D93" s="623"/>
      <c r="E93" s="623"/>
      <c r="F93" s="623"/>
      <c r="G93" s="623"/>
      <c r="H93" s="1061"/>
    </row>
    <row r="94" spans="1:8" ht="12" customHeight="1">
      <c r="A94" s="122">
        <v>1215</v>
      </c>
      <c r="B94" s="120" t="s">
        <v>439</v>
      </c>
      <c r="C94" s="625">
        <v>63789</v>
      </c>
      <c r="D94" s="625">
        <v>63789</v>
      </c>
      <c r="E94" s="625">
        <v>3838695</v>
      </c>
      <c r="F94" s="625">
        <v>3838695</v>
      </c>
      <c r="G94" s="625">
        <v>3838695</v>
      </c>
      <c r="H94" s="1059">
        <f t="shared" si="1"/>
        <v>1</v>
      </c>
    </row>
    <row r="95" spans="1:8" ht="12" customHeight="1">
      <c r="A95" s="715">
        <v>1216</v>
      </c>
      <c r="B95" s="132" t="s">
        <v>421</v>
      </c>
      <c r="C95" s="1264"/>
      <c r="D95" s="1264"/>
      <c r="E95" s="1264"/>
      <c r="F95" s="1264"/>
      <c r="G95" s="1264"/>
      <c r="H95" s="1253"/>
    </row>
    <row r="96" spans="1:9" ht="12" customHeight="1" thickBot="1">
      <c r="A96" s="127">
        <v>1218</v>
      </c>
      <c r="B96" s="128" t="s">
        <v>1290</v>
      </c>
      <c r="C96" s="628"/>
      <c r="D96" s="628"/>
      <c r="E96" s="628"/>
      <c r="F96" s="628"/>
      <c r="G96" s="1277">
        <v>400837</v>
      </c>
      <c r="H96" s="1278"/>
      <c r="I96" s="297"/>
    </row>
    <row r="97" spans="1:8" ht="21.75" customHeight="1" thickBot="1">
      <c r="A97" s="139"/>
      <c r="B97" s="229" t="s">
        <v>45</v>
      </c>
      <c r="C97" s="632">
        <f>SUM(C94:C95)</f>
        <v>63789</v>
      </c>
      <c r="D97" s="632">
        <f>SUM(D94:D95)</f>
        <v>63789</v>
      </c>
      <c r="E97" s="632">
        <f>SUM(E94:E95)</f>
        <v>3838695</v>
      </c>
      <c r="F97" s="632">
        <f>SUM(F94:F95)</f>
        <v>3838695</v>
      </c>
      <c r="G97" s="632">
        <f>SUM(G94:G95)+G96</f>
        <v>4239532</v>
      </c>
      <c r="H97" s="1265">
        <f t="shared" si="1"/>
        <v>1.104420121942483</v>
      </c>
    </row>
    <row r="98" spans="1:8" ht="12" customHeight="1">
      <c r="A98" s="137"/>
      <c r="B98" s="184"/>
      <c r="C98" s="623"/>
      <c r="D98" s="623"/>
      <c r="E98" s="623"/>
      <c r="F98" s="623"/>
      <c r="G98" s="623"/>
      <c r="H98" s="1061"/>
    </row>
    <row r="99" spans="1:8" ht="12" customHeight="1" thickBot="1">
      <c r="A99" s="122">
        <v>1221</v>
      </c>
      <c r="B99" s="128" t="s">
        <v>439</v>
      </c>
      <c r="C99" s="628">
        <v>2037061</v>
      </c>
      <c r="D99" s="628">
        <v>2037061</v>
      </c>
      <c r="E99" s="628">
        <v>3834604</v>
      </c>
      <c r="F99" s="628">
        <v>3834604</v>
      </c>
      <c r="G99" s="628">
        <v>3834604</v>
      </c>
      <c r="H99" s="1253">
        <f t="shared" si="1"/>
        <v>1</v>
      </c>
    </row>
    <row r="100" spans="1:8" ht="18" customHeight="1" thickBot="1">
      <c r="A100" s="130"/>
      <c r="B100" s="175" t="s">
        <v>243</v>
      </c>
      <c r="C100" s="632">
        <f>SUM(C99:C99)</f>
        <v>2037061</v>
      </c>
      <c r="D100" s="632">
        <f>SUM(D99:D99)</f>
        <v>2037061</v>
      </c>
      <c r="E100" s="632">
        <f>SUM(E99:E99)</f>
        <v>3834604</v>
      </c>
      <c r="F100" s="632">
        <f>SUM(F99:F99)</f>
        <v>3834604</v>
      </c>
      <c r="G100" s="632">
        <f>SUM(G99:G99)</f>
        <v>3834604</v>
      </c>
      <c r="H100" s="1102">
        <f t="shared" si="1"/>
        <v>1</v>
      </c>
    </row>
    <row r="101" spans="1:8" ht="12" customHeight="1" thickBot="1">
      <c r="A101" s="130"/>
      <c r="B101" s="148"/>
      <c r="C101" s="630"/>
      <c r="D101" s="630"/>
      <c r="E101" s="630"/>
      <c r="F101" s="630"/>
      <c r="G101" s="630"/>
      <c r="H101" s="1102"/>
    </row>
    <row r="102" spans="1:8" ht="16.5" customHeight="1" thickBot="1">
      <c r="A102" s="130"/>
      <c r="B102" s="234" t="s">
        <v>345</v>
      </c>
      <c r="C102" s="633">
        <f>SUM(C100+C92+C70+C97)</f>
        <v>18294427</v>
      </c>
      <c r="D102" s="633">
        <f>SUM(D100+D92+D70+D97)</f>
        <v>18294427</v>
      </c>
      <c r="E102" s="633">
        <f>SUM(E100+E92+E70+E97)</f>
        <v>20428191</v>
      </c>
      <c r="F102" s="633">
        <f>SUM(F100+F92+F70+F97)</f>
        <v>20496041</v>
      </c>
      <c r="G102" s="633">
        <f>SUM(G100+G92+G70+G97)</f>
        <v>21738494</v>
      </c>
      <c r="H102" s="1060">
        <f t="shared" si="1"/>
        <v>1.060619170307085</v>
      </c>
    </row>
    <row r="103" spans="1:8" ht="12" customHeight="1">
      <c r="A103" s="137"/>
      <c r="B103" s="148"/>
      <c r="C103" s="634"/>
      <c r="D103" s="634"/>
      <c r="E103" s="634"/>
      <c r="F103" s="634"/>
      <c r="G103" s="634"/>
      <c r="H103" s="1061"/>
    </row>
    <row r="104" spans="1:8" ht="15.75" customHeight="1">
      <c r="A104" s="115"/>
      <c r="B104" s="238" t="s">
        <v>304</v>
      </c>
      <c r="C104" s="635"/>
      <c r="D104" s="635"/>
      <c r="E104" s="635"/>
      <c r="F104" s="635"/>
      <c r="G104" s="635"/>
      <c r="H104" s="1059"/>
    </row>
    <row r="105" spans="1:8" ht="12" customHeight="1">
      <c r="A105" s="115"/>
      <c r="B105" s="236"/>
      <c r="C105" s="636"/>
      <c r="D105" s="636"/>
      <c r="E105" s="636"/>
      <c r="F105" s="636"/>
      <c r="G105" s="636"/>
      <c r="H105" s="1059"/>
    </row>
    <row r="106" spans="1:8" ht="12" customHeight="1">
      <c r="A106" s="122">
        <v>1230</v>
      </c>
      <c r="B106" s="120" t="s">
        <v>211</v>
      </c>
      <c r="C106" s="635"/>
      <c r="D106" s="635"/>
      <c r="E106" s="635"/>
      <c r="F106" s="635"/>
      <c r="G106" s="635"/>
      <c r="H106" s="1059"/>
    </row>
    <row r="107" spans="1:8" ht="12" customHeight="1" thickBot="1">
      <c r="A107" s="127">
        <v>1231</v>
      </c>
      <c r="B107" s="128" t="s">
        <v>429</v>
      </c>
      <c r="C107" s="621"/>
      <c r="D107" s="621"/>
      <c r="E107" s="621"/>
      <c r="F107" s="621"/>
      <c r="G107" s="621"/>
      <c r="H107" s="1253"/>
    </row>
    <row r="108" spans="1:8" ht="12" customHeight="1" thickBot="1">
      <c r="A108" s="130"/>
      <c r="B108" s="129" t="s">
        <v>437</v>
      </c>
      <c r="C108" s="622"/>
      <c r="D108" s="622"/>
      <c r="E108" s="622"/>
      <c r="F108" s="622"/>
      <c r="G108" s="622"/>
      <c r="H108" s="629"/>
    </row>
    <row r="109" spans="1:8" ht="12" customHeight="1">
      <c r="A109" s="117">
        <v>1240</v>
      </c>
      <c r="B109" s="230" t="s">
        <v>222</v>
      </c>
      <c r="C109" s="637">
        <f>C110+C111</f>
        <v>8000</v>
      </c>
      <c r="D109" s="637">
        <f>D110+D111</f>
        <v>8000</v>
      </c>
      <c r="E109" s="637">
        <f>E110+E111</f>
        <v>8000</v>
      </c>
      <c r="F109" s="637">
        <f>F110+F111</f>
        <v>8000</v>
      </c>
      <c r="G109" s="637">
        <f>G110+G111</f>
        <v>8000</v>
      </c>
      <c r="H109" s="285">
        <f t="shared" si="1"/>
        <v>1</v>
      </c>
    </row>
    <row r="110" spans="1:8" ht="12" customHeight="1">
      <c r="A110" s="122">
        <v>1241</v>
      </c>
      <c r="B110" s="120" t="s">
        <v>95</v>
      </c>
      <c r="C110" s="966">
        <v>8000</v>
      </c>
      <c r="D110" s="966">
        <v>8000</v>
      </c>
      <c r="E110" s="966">
        <v>8000</v>
      </c>
      <c r="F110" s="966">
        <v>8000</v>
      </c>
      <c r="G110" s="966">
        <v>8000</v>
      </c>
      <c r="H110" s="1059">
        <f t="shared" si="1"/>
        <v>1</v>
      </c>
    </row>
    <row r="111" spans="1:8" ht="12" customHeight="1">
      <c r="A111" s="122">
        <v>1242</v>
      </c>
      <c r="B111" s="120" t="s">
        <v>96</v>
      </c>
      <c r="C111" s="619"/>
      <c r="D111" s="619"/>
      <c r="E111" s="619"/>
      <c r="F111" s="619"/>
      <c r="G111" s="619"/>
      <c r="H111" s="1059"/>
    </row>
    <row r="112" spans="1:8" ht="12" customHeight="1">
      <c r="A112" s="122">
        <v>1250</v>
      </c>
      <c r="B112" s="191" t="s">
        <v>223</v>
      </c>
      <c r="C112" s="619">
        <v>15000</v>
      </c>
      <c r="D112" s="619">
        <v>15000</v>
      </c>
      <c r="E112" s="619">
        <v>15000</v>
      </c>
      <c r="F112" s="619">
        <v>15000</v>
      </c>
      <c r="G112" s="619">
        <v>15000</v>
      </c>
      <c r="H112" s="1059">
        <f t="shared" si="1"/>
        <v>1</v>
      </c>
    </row>
    <row r="113" spans="1:8" ht="12" customHeight="1">
      <c r="A113" s="122">
        <v>1255</v>
      </c>
      <c r="B113" s="120" t="s">
        <v>226</v>
      </c>
      <c r="C113" s="619"/>
      <c r="D113" s="619"/>
      <c r="E113" s="619"/>
      <c r="F113" s="619"/>
      <c r="G113" s="619"/>
      <c r="H113" s="1059"/>
    </row>
    <row r="114" spans="1:8" ht="12" customHeight="1">
      <c r="A114" s="122">
        <v>1260</v>
      </c>
      <c r="B114" s="120" t="s">
        <v>227</v>
      </c>
      <c r="C114" s="966">
        <v>6210</v>
      </c>
      <c r="D114" s="966">
        <v>6210</v>
      </c>
      <c r="E114" s="966">
        <v>6210</v>
      </c>
      <c r="F114" s="966">
        <v>6210</v>
      </c>
      <c r="G114" s="966">
        <v>6210</v>
      </c>
      <c r="H114" s="1059">
        <f t="shared" si="1"/>
        <v>1</v>
      </c>
    </row>
    <row r="115" spans="1:8" ht="12" customHeight="1">
      <c r="A115" s="122">
        <v>1261</v>
      </c>
      <c r="B115" s="124" t="s">
        <v>228</v>
      </c>
      <c r="C115" s="619"/>
      <c r="D115" s="619"/>
      <c r="E115" s="619"/>
      <c r="F115" s="619"/>
      <c r="G115" s="619"/>
      <c r="H115" s="1059"/>
    </row>
    <row r="116" spans="1:8" ht="12" customHeight="1">
      <c r="A116" s="122">
        <v>1262</v>
      </c>
      <c r="B116" s="119" t="s">
        <v>456</v>
      </c>
      <c r="C116" s="966">
        <v>10</v>
      </c>
      <c r="D116" s="966">
        <v>10</v>
      </c>
      <c r="E116" s="966">
        <v>10</v>
      </c>
      <c r="F116" s="966">
        <v>10</v>
      </c>
      <c r="G116" s="966">
        <v>10</v>
      </c>
      <c r="H116" s="1059">
        <f t="shared" si="1"/>
        <v>1</v>
      </c>
    </row>
    <row r="117" spans="1:8" ht="12" customHeight="1" thickBot="1">
      <c r="A117" s="127">
        <v>1270</v>
      </c>
      <c r="B117" s="128" t="s">
        <v>229</v>
      </c>
      <c r="C117" s="967">
        <v>1000</v>
      </c>
      <c r="D117" s="967">
        <v>1000</v>
      </c>
      <c r="E117" s="967">
        <v>1000</v>
      </c>
      <c r="F117" s="967">
        <v>1000</v>
      </c>
      <c r="G117" s="967">
        <v>1000</v>
      </c>
      <c r="H117" s="1279">
        <f t="shared" si="1"/>
        <v>1</v>
      </c>
    </row>
    <row r="118" spans="1:8" ht="16.5" customHeight="1" thickBot="1">
      <c r="A118" s="139"/>
      <c r="B118" s="176" t="s">
        <v>349</v>
      </c>
      <c r="C118" s="638">
        <f>SUM(C109+C112+C114+C116+C113+C117)</f>
        <v>30220</v>
      </c>
      <c r="D118" s="638">
        <f>SUM(D109+D112+D114+D116+D113+D117)</f>
        <v>30220</v>
      </c>
      <c r="E118" s="638">
        <f>SUM(E109+E112+E114+E116+E113+E117)</f>
        <v>30220</v>
      </c>
      <c r="F118" s="638">
        <f>SUM(F109+F112+F114+F116+F113+F117)</f>
        <v>30220</v>
      </c>
      <c r="G118" s="638">
        <f>SUM(G109+G112+G114+G116+G113+G117)</f>
        <v>30220</v>
      </c>
      <c r="H118" s="1060">
        <f t="shared" si="1"/>
        <v>1</v>
      </c>
    </row>
    <row r="119" spans="1:8" ht="12" customHeight="1">
      <c r="A119" s="137"/>
      <c r="B119" s="118"/>
      <c r="C119" s="634"/>
      <c r="D119" s="634"/>
      <c r="E119" s="634"/>
      <c r="F119" s="634"/>
      <c r="G119" s="634"/>
      <c r="H119" s="1061"/>
    </row>
    <row r="120" spans="1:8" ht="12" customHeight="1" thickBot="1">
      <c r="A120" s="138">
        <v>1280</v>
      </c>
      <c r="B120" s="145" t="s">
        <v>230</v>
      </c>
      <c r="C120" s="639"/>
      <c r="D120" s="639"/>
      <c r="E120" s="639"/>
      <c r="F120" s="639"/>
      <c r="G120" s="639"/>
      <c r="H120" s="1253"/>
    </row>
    <row r="121" spans="1:8" ht="15.75" customHeight="1" thickBot="1">
      <c r="A121" s="130"/>
      <c r="B121" s="229" t="s">
        <v>231</v>
      </c>
      <c r="C121" s="640"/>
      <c r="D121" s="640"/>
      <c r="E121" s="640"/>
      <c r="F121" s="640"/>
      <c r="G121" s="640"/>
      <c r="H121" s="1102"/>
    </row>
    <row r="122" spans="1:8" ht="15.75" customHeight="1" thickBot="1">
      <c r="A122" s="130"/>
      <c r="B122" s="210"/>
      <c r="C122" s="640"/>
      <c r="D122" s="640"/>
      <c r="E122" s="640"/>
      <c r="F122" s="640"/>
      <c r="G122" s="640"/>
      <c r="H122" s="1102"/>
    </row>
    <row r="123" spans="1:8" ht="15.75" customHeight="1" thickBot="1">
      <c r="A123" s="130"/>
      <c r="B123" s="232" t="s">
        <v>67</v>
      </c>
      <c r="C123" s="641">
        <f>SUM(C118+C121+C108)</f>
        <v>30220</v>
      </c>
      <c r="D123" s="641">
        <f>SUM(D118+D121+D108)</f>
        <v>30220</v>
      </c>
      <c r="E123" s="641">
        <f>SUM(E118+E121+E108)</f>
        <v>30220</v>
      </c>
      <c r="F123" s="641">
        <f>SUM(F118+F121+F108)</f>
        <v>30220</v>
      </c>
      <c r="G123" s="641">
        <f>SUM(G118+G121+G108)</f>
        <v>30220</v>
      </c>
      <c r="H123" s="1060">
        <f t="shared" si="1"/>
        <v>1</v>
      </c>
    </row>
    <row r="124" spans="1:8" ht="13.5" customHeight="1">
      <c r="A124" s="117"/>
      <c r="B124" s="210"/>
      <c r="C124" s="634"/>
      <c r="D124" s="634"/>
      <c r="E124" s="634"/>
      <c r="F124" s="634"/>
      <c r="G124" s="634"/>
      <c r="H124" s="1061"/>
    </row>
    <row r="125" spans="1:8" ht="12" customHeight="1">
      <c r="A125" s="122">
        <v>1285</v>
      </c>
      <c r="B125" s="120" t="s">
        <v>232</v>
      </c>
      <c r="C125" s="635"/>
      <c r="D125" s="635"/>
      <c r="E125" s="635"/>
      <c r="F125" s="635"/>
      <c r="G125" s="635"/>
      <c r="H125" s="1059"/>
    </row>
    <row r="126" spans="1:8" ht="12" customHeight="1" thickBot="1">
      <c r="A126" s="122">
        <v>1286</v>
      </c>
      <c r="B126" s="120" t="s">
        <v>462</v>
      </c>
      <c r="C126" s="642"/>
      <c r="D126" s="642"/>
      <c r="E126" s="642"/>
      <c r="F126" s="642"/>
      <c r="G126" s="642"/>
      <c r="H126" s="1253"/>
    </row>
    <row r="127" spans="1:8" ht="16.5" customHeight="1" thickBot="1">
      <c r="A127" s="130"/>
      <c r="B127" s="176" t="s">
        <v>436</v>
      </c>
      <c r="C127" s="640"/>
      <c r="D127" s="640"/>
      <c r="E127" s="640"/>
      <c r="F127" s="640"/>
      <c r="G127" s="640"/>
      <c r="H127" s="1102"/>
    </row>
    <row r="128" spans="1:8" ht="12.75" customHeight="1">
      <c r="A128" s="137"/>
      <c r="B128" s="231"/>
      <c r="C128" s="634"/>
      <c r="D128" s="634"/>
      <c r="E128" s="634"/>
      <c r="F128" s="634"/>
      <c r="G128" s="634"/>
      <c r="H128" s="1061"/>
    </row>
    <row r="129" spans="1:8" ht="12.75" customHeight="1" thickBot="1">
      <c r="A129" s="127">
        <v>1290</v>
      </c>
      <c r="B129" s="128" t="s">
        <v>244</v>
      </c>
      <c r="C129" s="621"/>
      <c r="D129" s="621"/>
      <c r="E129" s="621"/>
      <c r="F129" s="621"/>
      <c r="G129" s="621"/>
      <c r="H129" s="1253"/>
    </row>
    <row r="130" spans="1:8" ht="16.5" customHeight="1" thickBot="1">
      <c r="A130" s="139"/>
      <c r="B130" s="229" t="s">
        <v>237</v>
      </c>
      <c r="C130" s="644"/>
      <c r="D130" s="644"/>
      <c r="E130" s="644"/>
      <c r="F130" s="644"/>
      <c r="G130" s="644"/>
      <c r="H130" s="1102"/>
    </row>
    <row r="131" spans="1:8" ht="9" customHeight="1">
      <c r="A131" s="137"/>
      <c r="B131" s="231"/>
      <c r="C131" s="643"/>
      <c r="D131" s="643"/>
      <c r="E131" s="643"/>
      <c r="F131" s="643"/>
      <c r="G131" s="643"/>
      <c r="H131" s="1061"/>
    </row>
    <row r="132" spans="1:8" ht="12.95" customHeight="1">
      <c r="A132" s="115"/>
      <c r="B132" s="125" t="s">
        <v>438</v>
      </c>
      <c r="C132" s="635"/>
      <c r="D132" s="635"/>
      <c r="E132" s="635"/>
      <c r="F132" s="635"/>
      <c r="G132" s="635"/>
      <c r="H132" s="1059"/>
    </row>
    <row r="133" spans="1:8" ht="13.5" customHeight="1" thickBot="1">
      <c r="A133" s="127">
        <v>1291</v>
      </c>
      <c r="B133" s="706" t="s">
        <v>65</v>
      </c>
      <c r="C133" s="621">
        <v>8000</v>
      </c>
      <c r="D133" s="621">
        <v>8000</v>
      </c>
      <c r="E133" s="621">
        <v>8000</v>
      </c>
      <c r="F133" s="621">
        <v>8000</v>
      </c>
      <c r="G133" s="621">
        <v>8000</v>
      </c>
      <c r="H133" s="1253">
        <f t="shared" si="1"/>
        <v>1</v>
      </c>
    </row>
    <row r="134" spans="1:8" ht="16.5" customHeight="1" thickBot="1">
      <c r="A134" s="130"/>
      <c r="B134" s="176" t="s">
        <v>242</v>
      </c>
      <c r="C134" s="644">
        <f>SUM(C133)</f>
        <v>8000</v>
      </c>
      <c r="D134" s="644">
        <f>SUM(D133)</f>
        <v>8000</v>
      </c>
      <c r="E134" s="644">
        <f>SUM(E133)</f>
        <v>8000</v>
      </c>
      <c r="F134" s="644">
        <f>SUM(F133)</f>
        <v>8000</v>
      </c>
      <c r="G134" s="644">
        <f>SUM(G133)</f>
        <v>8000</v>
      </c>
      <c r="H134" s="1060">
        <f t="shared" si="1"/>
        <v>1</v>
      </c>
    </row>
    <row r="135" spans="1:8" ht="12.75" customHeight="1">
      <c r="A135" s="137"/>
      <c r="B135" s="231"/>
      <c r="C135" s="645"/>
      <c r="D135" s="645"/>
      <c r="E135" s="645"/>
      <c r="F135" s="645"/>
      <c r="G135" s="645"/>
      <c r="H135" s="1061"/>
    </row>
    <row r="136" spans="1:8" ht="12.75" customHeight="1">
      <c r="A136" s="122">
        <v>1292</v>
      </c>
      <c r="B136" s="120" t="s">
        <v>439</v>
      </c>
      <c r="C136" s="619"/>
      <c r="D136" s="619"/>
      <c r="E136" s="619">
        <v>223421</v>
      </c>
      <c r="F136" s="619">
        <v>223421</v>
      </c>
      <c r="G136" s="619">
        <v>223421</v>
      </c>
      <c r="H136" s="1059">
        <f t="shared" si="1"/>
        <v>1</v>
      </c>
    </row>
    <row r="137" spans="1:8" ht="12.75" customHeight="1" thickBot="1">
      <c r="A137" s="122">
        <v>1293</v>
      </c>
      <c r="B137" s="120" t="s">
        <v>475</v>
      </c>
      <c r="C137" s="701">
        <v>2037464</v>
      </c>
      <c r="D137" s="701">
        <v>2030464</v>
      </c>
      <c r="E137" s="701">
        <v>2032919</v>
      </c>
      <c r="F137" s="701">
        <v>2033069</v>
      </c>
      <c r="G137" s="701">
        <f>2033069+137</f>
        <v>2033206</v>
      </c>
      <c r="H137" s="1253">
        <f t="shared" si="1"/>
        <v>1.0000673858093356</v>
      </c>
    </row>
    <row r="138" spans="1:8" ht="17.25" customHeight="1" thickBot="1">
      <c r="A138" s="130"/>
      <c r="B138" s="176" t="s">
        <v>45</v>
      </c>
      <c r="C138" s="644">
        <f>SUM(C136:C137)</f>
        <v>2037464</v>
      </c>
      <c r="D138" s="644">
        <f>SUM(D136:D137)</f>
        <v>2030464</v>
      </c>
      <c r="E138" s="644">
        <f>SUM(E136:E137)</f>
        <v>2256340</v>
      </c>
      <c r="F138" s="644">
        <f>SUM(F136:F137)</f>
        <v>2256490</v>
      </c>
      <c r="G138" s="644">
        <f>SUM(G136:G137)</f>
        <v>2256627</v>
      </c>
      <c r="H138" s="1060">
        <f t="shared" si="1"/>
        <v>1.0000607137634112</v>
      </c>
    </row>
    <row r="139" spans="1:8" ht="12" customHeight="1">
      <c r="A139" s="137"/>
      <c r="B139" s="197"/>
      <c r="C139" s="645"/>
      <c r="D139" s="645"/>
      <c r="E139" s="645"/>
      <c r="F139" s="645"/>
      <c r="G139" s="645"/>
      <c r="H139" s="1061"/>
    </row>
    <row r="140" spans="1:8" ht="12" customHeight="1" thickBot="1">
      <c r="A140" s="122">
        <v>1294</v>
      </c>
      <c r="B140" s="120" t="s">
        <v>440</v>
      </c>
      <c r="C140" s="701"/>
      <c r="D140" s="701"/>
      <c r="E140" s="701">
        <v>27999</v>
      </c>
      <c r="F140" s="701">
        <v>27999</v>
      </c>
      <c r="G140" s="701">
        <v>27999</v>
      </c>
      <c r="H140" s="1253">
        <f t="shared" si="1"/>
        <v>1</v>
      </c>
    </row>
    <row r="141" spans="1:8" ht="17.25" customHeight="1" thickBot="1">
      <c r="A141" s="130"/>
      <c r="B141" s="239" t="s">
        <v>243</v>
      </c>
      <c r="C141" s="644">
        <f>SUM(C140)</f>
        <v>0</v>
      </c>
      <c r="D141" s="644">
        <f>SUM(D140)</f>
        <v>0</v>
      </c>
      <c r="E141" s="644">
        <f>SUM(E140)</f>
        <v>27999</v>
      </c>
      <c r="F141" s="644">
        <f>SUM(F140)</f>
        <v>27999</v>
      </c>
      <c r="G141" s="644">
        <f>SUM(G140)</f>
        <v>27999</v>
      </c>
      <c r="H141" s="1060">
        <f aca="true" t="shared" si="2" ref="H141:H203">SUM(G141/F141)</f>
        <v>1</v>
      </c>
    </row>
    <row r="142" spans="1:8" ht="12" customHeight="1" thickBot="1">
      <c r="A142" s="130"/>
      <c r="B142" s="121"/>
      <c r="C142" s="647"/>
      <c r="D142" s="647"/>
      <c r="E142" s="647"/>
      <c r="F142" s="647"/>
      <c r="G142" s="647"/>
      <c r="H142" s="1258"/>
    </row>
    <row r="143" spans="1:8" ht="18" customHeight="1" thickBot="1">
      <c r="A143" s="130"/>
      <c r="B143" s="234" t="s">
        <v>346</v>
      </c>
      <c r="C143" s="638">
        <f>SUM(C141+C138+C123+C130+C134)</f>
        <v>2075684</v>
      </c>
      <c r="D143" s="638">
        <f>SUM(D141+D138+D123+D130+D134)</f>
        <v>2068684</v>
      </c>
      <c r="E143" s="638">
        <f>SUM(E141+E138+E123+E130+E134)</f>
        <v>2322559</v>
      </c>
      <c r="F143" s="638">
        <f>SUM(F141+F138+F123+F130+F134)</f>
        <v>2322709</v>
      </c>
      <c r="G143" s="638">
        <f>SUM(G141+G138+G123+G130+G134)</f>
        <v>2322846</v>
      </c>
      <c r="H143" s="1060">
        <f t="shared" si="2"/>
        <v>1.0000589828514894</v>
      </c>
    </row>
    <row r="144" spans="1:8" s="105" customFormat="1" ht="12.75">
      <c r="A144" s="135"/>
      <c r="B144" s="136"/>
      <c r="C144" s="648"/>
      <c r="D144" s="648"/>
      <c r="E144" s="648"/>
      <c r="F144" s="648"/>
      <c r="G144" s="648"/>
      <c r="H144" s="1061"/>
    </row>
    <row r="145" spans="1:9" s="105" customFormat="1" ht="15">
      <c r="A145" s="123"/>
      <c r="B145" s="214" t="s">
        <v>312</v>
      </c>
      <c r="C145" s="649"/>
      <c r="D145" s="649"/>
      <c r="E145" s="649"/>
      <c r="F145" s="649"/>
      <c r="G145" s="649"/>
      <c r="H145" s="1059"/>
      <c r="I145" s="298"/>
    </row>
    <row r="146" spans="1:8" s="105" customFormat="1" ht="15">
      <c r="A146" s="123"/>
      <c r="B146" s="214"/>
      <c r="C146" s="649"/>
      <c r="D146" s="649"/>
      <c r="E146" s="649"/>
      <c r="F146" s="649"/>
      <c r="G146" s="649"/>
      <c r="H146" s="1059"/>
    </row>
    <row r="147" spans="1:8" s="105" customFormat="1" ht="12.75">
      <c r="A147" s="122">
        <v>1301</v>
      </c>
      <c r="B147" s="120" t="s">
        <v>211</v>
      </c>
      <c r="C147" s="650"/>
      <c r="D147" s="650"/>
      <c r="E147" s="650"/>
      <c r="F147" s="650"/>
      <c r="G147" s="650"/>
      <c r="H147" s="1059"/>
    </row>
    <row r="148" spans="1:8" s="105" customFormat="1" ht="12.75" thickBot="1">
      <c r="A148" s="127">
        <v>1302</v>
      </c>
      <c r="B148" s="128" t="s">
        <v>429</v>
      </c>
      <c r="C148" s="651"/>
      <c r="D148" s="651"/>
      <c r="E148" s="651"/>
      <c r="F148" s="651"/>
      <c r="G148" s="651"/>
      <c r="H148" s="1279"/>
    </row>
    <row r="149" spans="1:8" s="105" customFormat="1" ht="12.75" thickBot="1">
      <c r="A149" s="130"/>
      <c r="B149" s="129" t="s">
        <v>437</v>
      </c>
      <c r="C149" s="644"/>
      <c r="D149" s="644"/>
      <c r="E149" s="644"/>
      <c r="F149" s="644"/>
      <c r="G149" s="644"/>
      <c r="H149" s="1102"/>
    </row>
    <row r="150" spans="1:8" s="105" customFormat="1" ht="12.75">
      <c r="A150" s="117"/>
      <c r="B150" s="116"/>
      <c r="C150" s="648"/>
      <c r="D150" s="648"/>
      <c r="E150" s="648"/>
      <c r="F150" s="648"/>
      <c r="G150" s="648"/>
      <c r="H150" s="1061"/>
    </row>
    <row r="151" spans="1:8" s="105" customFormat="1" ht="12.75">
      <c r="A151" s="115"/>
      <c r="B151" s="584" t="s">
        <v>184</v>
      </c>
      <c r="C151" s="624"/>
      <c r="D151" s="624"/>
      <c r="E151" s="624"/>
      <c r="F151" s="624"/>
      <c r="G151" s="624"/>
      <c r="H151" s="1059"/>
    </row>
    <row r="152" spans="1:8" s="105" customFormat="1" ht="12.75">
      <c r="A152" s="122">
        <v>1305</v>
      </c>
      <c r="B152" s="191" t="s">
        <v>9</v>
      </c>
      <c r="C152" s="1085">
        <v>20000</v>
      </c>
      <c r="D152" s="1085">
        <v>20000</v>
      </c>
      <c r="E152" s="1085">
        <v>15000</v>
      </c>
      <c r="F152" s="1085">
        <v>15000</v>
      </c>
      <c r="G152" s="1085">
        <v>15000</v>
      </c>
      <c r="H152" s="1059">
        <f t="shared" si="2"/>
        <v>1</v>
      </c>
    </row>
    <row r="153" spans="1:8" s="105" customFormat="1" ht="12.75" thickBot="1">
      <c r="A153" s="138">
        <v>1306</v>
      </c>
      <c r="B153" s="284" t="s">
        <v>1058</v>
      </c>
      <c r="C153" s="1084">
        <v>30000</v>
      </c>
      <c r="D153" s="1084">
        <v>30000</v>
      </c>
      <c r="E153" s="1084">
        <v>15000</v>
      </c>
      <c r="F153" s="1084">
        <v>15000</v>
      </c>
      <c r="G153" s="1084">
        <v>15000</v>
      </c>
      <c r="H153" s="1279">
        <f t="shared" si="2"/>
        <v>1</v>
      </c>
    </row>
    <row r="154" spans="1:8" s="105" customFormat="1" ht="15.75" thickBot="1">
      <c r="A154" s="138"/>
      <c r="B154" s="585" t="s">
        <v>221</v>
      </c>
      <c r="C154" s="652">
        <f>SUM(C152:C153)</f>
        <v>50000</v>
      </c>
      <c r="D154" s="652">
        <f>SUM(D152:D153)</f>
        <v>50000</v>
      </c>
      <c r="E154" s="652">
        <f>SUM(E152:E153)</f>
        <v>30000</v>
      </c>
      <c r="F154" s="652">
        <f>SUM(F152:F153)</f>
        <v>30000</v>
      </c>
      <c r="G154" s="652">
        <f>SUM(G152:G153)</f>
        <v>30000</v>
      </c>
      <c r="H154" s="1060">
        <f t="shared" si="2"/>
        <v>1</v>
      </c>
    </row>
    <row r="155" spans="1:8" s="105" customFormat="1" ht="12.75">
      <c r="A155" s="117"/>
      <c r="B155" s="116"/>
      <c r="C155" s="648"/>
      <c r="D155" s="648"/>
      <c r="E155" s="648"/>
      <c r="F155" s="648"/>
      <c r="G155" s="648"/>
      <c r="H155" s="1061"/>
    </row>
    <row r="156" spans="1:8" s="105" customFormat="1" ht="12.75">
      <c r="A156" s="115">
        <v>1310</v>
      </c>
      <c r="B156" s="230" t="s">
        <v>222</v>
      </c>
      <c r="C156" s="624"/>
      <c r="D156" s="624"/>
      <c r="E156" s="624"/>
      <c r="F156" s="624"/>
      <c r="G156" s="624"/>
      <c r="H156" s="1059"/>
    </row>
    <row r="157" spans="1:8" s="105" customFormat="1" ht="12.75">
      <c r="A157" s="122">
        <v>1311</v>
      </c>
      <c r="B157" s="120" t="s">
        <v>95</v>
      </c>
      <c r="C157" s="653"/>
      <c r="D157" s="653"/>
      <c r="E157" s="653"/>
      <c r="F157" s="653"/>
      <c r="G157" s="653"/>
      <c r="H157" s="1059"/>
    </row>
    <row r="158" spans="1:8" s="105" customFormat="1" ht="12.75">
      <c r="A158" s="122">
        <v>1312</v>
      </c>
      <c r="B158" s="120" t="s">
        <v>96</v>
      </c>
      <c r="C158" s="653"/>
      <c r="D158" s="653"/>
      <c r="E158" s="653"/>
      <c r="F158" s="653"/>
      <c r="G158" s="653"/>
      <c r="H158" s="1059"/>
    </row>
    <row r="159" spans="1:8" s="105" customFormat="1" ht="12.75">
      <c r="A159" s="122">
        <v>1320</v>
      </c>
      <c r="B159" s="191" t="s">
        <v>223</v>
      </c>
      <c r="C159" s="650"/>
      <c r="D159" s="650"/>
      <c r="E159" s="650"/>
      <c r="F159" s="650"/>
      <c r="G159" s="650"/>
      <c r="H159" s="1059"/>
    </row>
    <row r="160" spans="1:8" s="105" customFormat="1" ht="12.75">
      <c r="A160" s="122">
        <v>1321</v>
      </c>
      <c r="B160" s="120" t="s">
        <v>226</v>
      </c>
      <c r="C160" s="650"/>
      <c r="D160" s="650"/>
      <c r="E160" s="650"/>
      <c r="F160" s="650"/>
      <c r="G160" s="650"/>
      <c r="H160" s="1059"/>
    </row>
    <row r="161" spans="1:8" s="105" customFormat="1" ht="12.75">
      <c r="A161" s="122">
        <v>1322</v>
      </c>
      <c r="B161" s="120" t="s">
        <v>227</v>
      </c>
      <c r="C161" s="650"/>
      <c r="D161" s="650"/>
      <c r="E161" s="650"/>
      <c r="F161" s="650"/>
      <c r="G161" s="650"/>
      <c r="H161" s="1059"/>
    </row>
    <row r="162" spans="1:8" s="105" customFormat="1" ht="12.75">
      <c r="A162" s="122">
        <v>1323</v>
      </c>
      <c r="B162" s="124" t="s">
        <v>228</v>
      </c>
      <c r="C162" s="650"/>
      <c r="D162" s="650"/>
      <c r="E162" s="650"/>
      <c r="F162" s="650"/>
      <c r="G162" s="650"/>
      <c r="H162" s="1059"/>
    </row>
    <row r="163" spans="1:8" s="105" customFormat="1" ht="12.75">
      <c r="A163" s="122">
        <v>1324</v>
      </c>
      <c r="B163" s="119" t="s">
        <v>456</v>
      </c>
      <c r="C163" s="650"/>
      <c r="D163" s="650"/>
      <c r="E163" s="650"/>
      <c r="F163" s="650"/>
      <c r="G163" s="650"/>
      <c r="H163" s="1059"/>
    </row>
    <row r="164" spans="1:8" s="105" customFormat="1" ht="12.75" thickBot="1">
      <c r="A164" s="127">
        <v>1325</v>
      </c>
      <c r="B164" s="128" t="s">
        <v>229</v>
      </c>
      <c r="C164" s="654"/>
      <c r="D164" s="654"/>
      <c r="E164" s="654"/>
      <c r="F164" s="654"/>
      <c r="G164" s="654"/>
      <c r="H164" s="1279"/>
    </row>
    <row r="165" spans="1:8" s="105" customFormat="1" ht="15.75" thickBot="1">
      <c r="A165" s="139"/>
      <c r="B165" s="176" t="s">
        <v>349</v>
      </c>
      <c r="C165" s="644"/>
      <c r="D165" s="644"/>
      <c r="E165" s="644"/>
      <c r="F165" s="644"/>
      <c r="G165" s="644"/>
      <c r="H165" s="1102"/>
    </row>
    <row r="166" spans="1:8" s="105" customFormat="1" ht="12.75">
      <c r="A166" s="137"/>
      <c r="B166" s="118"/>
      <c r="C166" s="634"/>
      <c r="D166" s="634"/>
      <c r="E166" s="634"/>
      <c r="F166" s="634"/>
      <c r="G166" s="634"/>
      <c r="H166" s="1061"/>
    </row>
    <row r="167" spans="1:8" s="105" customFormat="1" ht="12.75" thickBot="1">
      <c r="A167" s="138">
        <v>1330</v>
      </c>
      <c r="B167" s="145" t="s">
        <v>230</v>
      </c>
      <c r="C167" s="639"/>
      <c r="D167" s="639"/>
      <c r="E167" s="639"/>
      <c r="F167" s="639"/>
      <c r="G167" s="639"/>
      <c r="H167" s="1279"/>
    </row>
    <row r="168" spans="1:8" s="105" customFormat="1" ht="15.75" thickBot="1">
      <c r="A168" s="130"/>
      <c r="B168" s="229" t="s">
        <v>231</v>
      </c>
      <c r="C168" s="640"/>
      <c r="D168" s="640"/>
      <c r="E168" s="640"/>
      <c r="F168" s="640"/>
      <c r="G168" s="640"/>
      <c r="H168" s="1102"/>
    </row>
    <row r="169" spans="1:8" s="105" customFormat="1" ht="15.75" thickBot="1">
      <c r="A169" s="130"/>
      <c r="B169" s="210"/>
      <c r="C169" s="655"/>
      <c r="D169" s="655"/>
      <c r="E169" s="655"/>
      <c r="F169" s="655"/>
      <c r="G169" s="655"/>
      <c r="H169" s="1102"/>
    </row>
    <row r="170" spans="1:8" s="105" customFormat="1" ht="16.5" thickBot="1">
      <c r="A170" s="130"/>
      <c r="B170" s="232" t="s">
        <v>67</v>
      </c>
      <c r="C170" s="641">
        <f>SUM(C154+C165)</f>
        <v>50000</v>
      </c>
      <c r="D170" s="641">
        <f>SUM(D154+D165)</f>
        <v>50000</v>
      </c>
      <c r="E170" s="641">
        <f>SUM(E154+E165)</f>
        <v>30000</v>
      </c>
      <c r="F170" s="641">
        <f>SUM(F154+F165)</f>
        <v>30000</v>
      </c>
      <c r="G170" s="641">
        <f>SUM(G154+G165)</f>
        <v>30000</v>
      </c>
      <c r="H170" s="1060">
        <f t="shared" si="2"/>
        <v>1</v>
      </c>
    </row>
    <row r="171" spans="1:8" s="105" customFormat="1" ht="15">
      <c r="A171" s="117"/>
      <c r="B171" s="210"/>
      <c r="C171" s="634"/>
      <c r="D171" s="634"/>
      <c r="E171" s="634"/>
      <c r="F171" s="634"/>
      <c r="G171" s="634"/>
      <c r="H171" s="1061"/>
    </row>
    <row r="172" spans="1:8" s="105" customFormat="1" ht="12.75">
      <c r="A172" s="122">
        <v>1335</v>
      </c>
      <c r="B172" s="120" t="s">
        <v>232</v>
      </c>
      <c r="C172" s="635"/>
      <c r="D172" s="635"/>
      <c r="E172" s="635"/>
      <c r="F172" s="635"/>
      <c r="G172" s="635"/>
      <c r="H172" s="1059"/>
    </row>
    <row r="173" spans="1:8" s="105" customFormat="1" ht="12.75" thickBot="1">
      <c r="A173" s="122">
        <v>1336</v>
      </c>
      <c r="B173" s="120" t="s">
        <v>464</v>
      </c>
      <c r="C173" s="642"/>
      <c r="D173" s="642"/>
      <c r="E173" s="642"/>
      <c r="F173" s="642"/>
      <c r="G173" s="642"/>
      <c r="H173" s="1279"/>
    </row>
    <row r="174" spans="1:8" s="105" customFormat="1" ht="15.75" thickBot="1">
      <c r="A174" s="130"/>
      <c r="B174" s="176" t="s">
        <v>436</v>
      </c>
      <c r="C174" s="640"/>
      <c r="D174" s="640"/>
      <c r="E174" s="640"/>
      <c r="F174" s="640"/>
      <c r="G174" s="640"/>
      <c r="H174" s="1102"/>
    </row>
    <row r="175" spans="1:8" s="105" customFormat="1" ht="12.75" thickBot="1">
      <c r="A175" s="140">
        <v>1340</v>
      </c>
      <c r="B175" s="247" t="s">
        <v>244</v>
      </c>
      <c r="C175" s="640"/>
      <c r="D175" s="640"/>
      <c r="E175" s="640"/>
      <c r="F175" s="640"/>
      <c r="G175" s="640"/>
      <c r="H175" s="1102"/>
    </row>
    <row r="176" spans="1:8" s="105" customFormat="1" ht="15.75" thickBot="1">
      <c r="A176" s="139"/>
      <c r="B176" s="229" t="s">
        <v>237</v>
      </c>
      <c r="C176" s="655"/>
      <c r="D176" s="655"/>
      <c r="E176" s="655"/>
      <c r="F176" s="655"/>
      <c r="G176" s="655"/>
      <c r="H176" s="1102"/>
    </row>
    <row r="177" spans="1:8" s="105" customFormat="1" ht="12.75">
      <c r="A177" s="715"/>
      <c r="B177" s="126"/>
      <c r="C177" s="636"/>
      <c r="D177" s="636"/>
      <c r="E177" s="636"/>
      <c r="F177" s="636"/>
      <c r="G177" s="636"/>
      <c r="H177" s="1061"/>
    </row>
    <row r="178" spans="1:8" s="105" customFormat="1" ht="12.75" thickBot="1">
      <c r="A178" s="127">
        <v>1345</v>
      </c>
      <c r="B178" s="128" t="s">
        <v>241</v>
      </c>
      <c r="C178" s="639"/>
      <c r="D178" s="639"/>
      <c r="E178" s="639"/>
      <c r="F178" s="639"/>
      <c r="G178" s="639"/>
      <c r="H178" s="1279"/>
    </row>
    <row r="179" spans="1:8" s="105" customFormat="1" ht="15.75" thickBot="1">
      <c r="A179" s="139"/>
      <c r="B179" s="229" t="s">
        <v>242</v>
      </c>
      <c r="C179" s="655"/>
      <c r="D179" s="655"/>
      <c r="E179" s="655"/>
      <c r="F179" s="655"/>
      <c r="G179" s="655"/>
      <c r="H179" s="1102"/>
    </row>
    <row r="180" spans="1:8" s="105" customFormat="1" ht="15">
      <c r="A180" s="137"/>
      <c r="B180" s="231"/>
      <c r="C180" s="645"/>
      <c r="D180" s="645"/>
      <c r="E180" s="645"/>
      <c r="F180" s="645"/>
      <c r="G180" s="645"/>
      <c r="H180" s="1061"/>
    </row>
    <row r="181" spans="1:8" s="105" customFormat="1" ht="12.75">
      <c r="A181" s="122">
        <v>1350</v>
      </c>
      <c r="B181" s="120" t="s">
        <v>439</v>
      </c>
      <c r="C181" s="619"/>
      <c r="D181" s="619"/>
      <c r="E181" s="619">
        <v>91551</v>
      </c>
      <c r="F181" s="619">
        <v>91551</v>
      </c>
      <c r="G181" s="619">
        <v>91551</v>
      </c>
      <c r="H181" s="1059">
        <f t="shared" si="2"/>
        <v>1</v>
      </c>
    </row>
    <row r="182" spans="1:8" s="105" customFormat="1" ht="12.75">
      <c r="A182" s="122">
        <v>1351</v>
      </c>
      <c r="B182" s="120" t="s">
        <v>475</v>
      </c>
      <c r="C182" s="619">
        <v>694664</v>
      </c>
      <c r="D182" s="619">
        <v>694664</v>
      </c>
      <c r="E182" s="619">
        <v>714664</v>
      </c>
      <c r="F182" s="619">
        <v>714664</v>
      </c>
      <c r="G182" s="619">
        <v>714664</v>
      </c>
      <c r="H182" s="1059">
        <f t="shared" si="2"/>
        <v>1</v>
      </c>
    </row>
    <row r="183" spans="1:8" s="105" customFormat="1" ht="12.75" thickBot="1">
      <c r="A183" s="138">
        <v>1352</v>
      </c>
      <c r="B183" s="126" t="s">
        <v>453</v>
      </c>
      <c r="C183" s="646"/>
      <c r="D183" s="646"/>
      <c r="E183" s="646"/>
      <c r="F183" s="646"/>
      <c r="G183" s="646"/>
      <c r="H183" s="1279"/>
    </row>
    <row r="184" spans="1:8" s="105" customFormat="1" ht="15.75" thickBot="1">
      <c r="A184" s="130"/>
      <c r="B184" s="176" t="s">
        <v>45</v>
      </c>
      <c r="C184" s="644">
        <f>SUM(C181:C183)</f>
        <v>694664</v>
      </c>
      <c r="D184" s="644">
        <f>SUM(D181:D183)</f>
        <v>694664</v>
      </c>
      <c r="E184" s="644">
        <f>SUM(E181:E183)</f>
        <v>806215</v>
      </c>
      <c r="F184" s="644">
        <f>SUM(F181:F183)</f>
        <v>806215</v>
      </c>
      <c r="G184" s="644">
        <f>SUM(G181:G183)</f>
        <v>806215</v>
      </c>
      <c r="H184" s="1060">
        <f t="shared" si="2"/>
        <v>1</v>
      </c>
    </row>
    <row r="185" spans="1:8" s="105" customFormat="1" ht="12.75">
      <c r="A185" s="137"/>
      <c r="B185" s="197"/>
      <c r="C185" s="645"/>
      <c r="D185" s="645"/>
      <c r="E185" s="645"/>
      <c r="F185" s="645"/>
      <c r="G185" s="645"/>
      <c r="H185" s="1061"/>
    </row>
    <row r="186" spans="1:8" s="105" customFormat="1" ht="12.75" thickBot="1">
      <c r="A186" s="122">
        <v>1355</v>
      </c>
      <c r="B186" s="120" t="s">
        <v>440</v>
      </c>
      <c r="C186" s="701"/>
      <c r="D186" s="701"/>
      <c r="E186" s="701">
        <v>10557</v>
      </c>
      <c r="F186" s="701">
        <v>10557</v>
      </c>
      <c r="G186" s="701">
        <v>10557</v>
      </c>
      <c r="H186" s="1279">
        <f t="shared" si="2"/>
        <v>1</v>
      </c>
    </row>
    <row r="187" spans="1:8" s="105" customFormat="1" ht="15.75" thickBot="1">
      <c r="A187" s="130"/>
      <c r="B187" s="239" t="s">
        <v>243</v>
      </c>
      <c r="C187" s="644"/>
      <c r="D187" s="644"/>
      <c r="E187" s="644">
        <f>SUM(E186)</f>
        <v>10557</v>
      </c>
      <c r="F187" s="644">
        <f>SUM(F186)</f>
        <v>10557</v>
      </c>
      <c r="G187" s="644">
        <f>SUM(G186)</f>
        <v>10557</v>
      </c>
      <c r="H187" s="1060">
        <f t="shared" si="2"/>
        <v>1</v>
      </c>
    </row>
    <row r="188" spans="1:8" s="105" customFormat="1" ht="12.75" thickBot="1">
      <c r="A188" s="130"/>
      <c r="B188" s="121"/>
      <c r="C188" s="647"/>
      <c r="D188" s="647"/>
      <c r="E188" s="647"/>
      <c r="F188" s="647"/>
      <c r="G188" s="647"/>
      <c r="H188" s="1102"/>
    </row>
    <row r="189" spans="1:8" s="105" customFormat="1" ht="16.5" thickBot="1">
      <c r="A189" s="130"/>
      <c r="B189" s="234" t="s">
        <v>69</v>
      </c>
      <c r="C189" s="693">
        <f>SUM(C187+C184+C170)</f>
        <v>744664</v>
      </c>
      <c r="D189" s="693">
        <f>SUM(D187+D184+D170)</f>
        <v>744664</v>
      </c>
      <c r="E189" s="693">
        <f>SUM(E187+E184+E170)</f>
        <v>846772</v>
      </c>
      <c r="F189" s="693">
        <f>SUM(F187+F184+F170)</f>
        <v>846772</v>
      </c>
      <c r="G189" s="693">
        <f>SUM(G187+G184+G170)</f>
        <v>846772</v>
      </c>
      <c r="H189" s="1060">
        <f t="shared" si="2"/>
        <v>1</v>
      </c>
    </row>
    <row r="190" spans="1:8" s="105" customFormat="1" ht="12" customHeight="1">
      <c r="A190" s="137"/>
      <c r="B190" s="240"/>
      <c r="C190" s="649"/>
      <c r="D190" s="649"/>
      <c r="E190" s="649"/>
      <c r="F190" s="649"/>
      <c r="G190" s="649"/>
      <c r="H190" s="1061"/>
    </row>
    <row r="191" spans="1:8" s="105" customFormat="1" ht="15" customHeight="1">
      <c r="A191" s="115"/>
      <c r="B191" s="237" t="s">
        <v>49</v>
      </c>
      <c r="C191" s="618"/>
      <c r="D191" s="618"/>
      <c r="E191" s="618"/>
      <c r="F191" s="618"/>
      <c r="G191" s="618"/>
      <c r="H191" s="1059"/>
    </row>
    <row r="192" spans="1:8" s="105" customFormat="1" ht="12.75" customHeight="1">
      <c r="A192" s="115"/>
      <c r="B192" s="241"/>
      <c r="C192" s="618"/>
      <c r="D192" s="618"/>
      <c r="E192" s="618"/>
      <c r="F192" s="618"/>
      <c r="G192" s="618"/>
      <c r="H192" s="1059"/>
    </row>
    <row r="193" spans="1:8" s="105" customFormat="1" ht="12.75">
      <c r="A193" s="122">
        <v>1400</v>
      </c>
      <c r="B193" s="120" t="s">
        <v>211</v>
      </c>
      <c r="C193" s="635"/>
      <c r="D193" s="635"/>
      <c r="E193" s="635"/>
      <c r="F193" s="635"/>
      <c r="G193" s="635"/>
      <c r="H193" s="1059"/>
    </row>
    <row r="194" spans="1:8" s="105" customFormat="1" ht="12.75" thickBot="1">
      <c r="A194" s="127">
        <v>1401</v>
      </c>
      <c r="B194" s="128" t="s">
        <v>429</v>
      </c>
      <c r="C194" s="628">
        <f>SUM('2.mell'!C585)</f>
        <v>0</v>
      </c>
      <c r="D194" s="628">
        <f>SUM('2.mell'!D585)</f>
        <v>0</v>
      </c>
      <c r="E194" s="628">
        <f>SUM('2.mell'!E585)</f>
        <v>0</v>
      </c>
      <c r="F194" s="628">
        <f>SUM('2.mell'!H585)</f>
        <v>0</v>
      </c>
      <c r="G194" s="628">
        <f>'2.mell'!G586</f>
        <v>46602</v>
      </c>
      <c r="H194" s="1279"/>
    </row>
    <row r="195" spans="1:8" s="105" customFormat="1" ht="12.75" thickBot="1">
      <c r="A195" s="130"/>
      <c r="B195" s="129" t="s">
        <v>437</v>
      </c>
      <c r="C195" s="622">
        <f>SUM(C194)</f>
        <v>0</v>
      </c>
      <c r="D195" s="622">
        <f>SUM(D194)</f>
        <v>0</v>
      </c>
      <c r="E195" s="622">
        <f>SUM(E194)</f>
        <v>0</v>
      </c>
      <c r="F195" s="622">
        <f>SUM(F194)</f>
        <v>0</v>
      </c>
      <c r="G195" s="622">
        <f>SUM(G194)</f>
        <v>46602</v>
      </c>
      <c r="H195" s="1102"/>
    </row>
    <row r="196" spans="1:8" s="105" customFormat="1" ht="12.75">
      <c r="A196" s="135">
        <v>1409</v>
      </c>
      <c r="B196" s="126" t="s">
        <v>417</v>
      </c>
      <c r="C196" s="708">
        <f>SUM('2.mell'!C587)</f>
        <v>0</v>
      </c>
      <c r="D196" s="708">
        <f>SUM('2.mell'!D587)</f>
        <v>0</v>
      </c>
      <c r="E196" s="708">
        <f>SUM('2.mell'!E587)</f>
        <v>0</v>
      </c>
      <c r="F196" s="708">
        <f>SUM('2.mell'!H587)</f>
        <v>0</v>
      </c>
      <c r="G196" s="708">
        <f>SUM('2.mell'!I587)</f>
        <v>0</v>
      </c>
      <c r="H196" s="1061"/>
    </row>
    <row r="197" spans="1:8" s="105" customFormat="1" ht="12.75">
      <c r="A197" s="117">
        <v>1410</v>
      </c>
      <c r="B197" s="230" t="s">
        <v>222</v>
      </c>
      <c r="C197" s="649">
        <f>SUM(C198:C199)</f>
        <v>70950</v>
      </c>
      <c r="D197" s="649">
        <f>SUM(D198:D199)</f>
        <v>70950</v>
      </c>
      <c r="E197" s="649">
        <f>SUM(E198:E199)</f>
        <v>43785</v>
      </c>
      <c r="F197" s="649">
        <f>SUM(F198:F199)</f>
        <v>43785</v>
      </c>
      <c r="G197" s="649">
        <f>SUM(G198:G199)</f>
        <v>40633</v>
      </c>
      <c r="H197" s="1059">
        <f t="shared" si="2"/>
        <v>0.928011876213315</v>
      </c>
    </row>
    <row r="198" spans="1:8" s="105" customFormat="1" ht="12.75">
      <c r="A198" s="122">
        <v>1411</v>
      </c>
      <c r="B198" s="120" t="s">
        <v>95</v>
      </c>
      <c r="C198" s="966">
        <f>SUM('2.mell'!C589)</f>
        <v>29077</v>
      </c>
      <c r="D198" s="966">
        <f>SUM('2.mell'!D589)</f>
        <v>29077</v>
      </c>
      <c r="E198" s="966">
        <f>SUM('2.mell'!E589)</f>
        <v>18841</v>
      </c>
      <c r="F198" s="966">
        <f>SUM('2.mell'!F589)</f>
        <v>18841</v>
      </c>
      <c r="G198" s="966">
        <f>SUM('2.mell'!G589)</f>
        <v>15689</v>
      </c>
      <c r="H198" s="1059">
        <f t="shared" si="2"/>
        <v>0.8327052704208906</v>
      </c>
    </row>
    <row r="199" spans="1:8" s="105" customFormat="1" ht="12.75">
      <c r="A199" s="122">
        <v>1412</v>
      </c>
      <c r="B199" s="120" t="s">
        <v>96</v>
      </c>
      <c r="C199" s="966">
        <f>SUM('2.mell'!C590)</f>
        <v>41873</v>
      </c>
      <c r="D199" s="966">
        <f>SUM('2.mell'!D590)</f>
        <v>41873</v>
      </c>
      <c r="E199" s="966">
        <f>SUM('2.mell'!E590)</f>
        <v>24944</v>
      </c>
      <c r="F199" s="966">
        <f>SUM('2.mell'!F590)</f>
        <v>24944</v>
      </c>
      <c r="G199" s="966">
        <f>SUM('2.mell'!G590)</f>
        <v>24944</v>
      </c>
      <c r="H199" s="1059">
        <f t="shared" si="2"/>
        <v>1</v>
      </c>
    </row>
    <row r="200" spans="1:8" s="105" customFormat="1" ht="12.75">
      <c r="A200" s="122">
        <v>1420</v>
      </c>
      <c r="B200" s="191" t="s">
        <v>223</v>
      </c>
      <c r="C200" s="966">
        <f>SUM('2.mell'!C591)</f>
        <v>8845</v>
      </c>
      <c r="D200" s="966">
        <f>SUM('2.mell'!D591)</f>
        <v>8845</v>
      </c>
      <c r="E200" s="966">
        <f>SUM('2.mell'!E591)</f>
        <v>8845</v>
      </c>
      <c r="F200" s="966">
        <f>SUM('2.mell'!F591)</f>
        <v>8845</v>
      </c>
      <c r="G200" s="966">
        <f>SUM('2.mell'!G591)</f>
        <v>9134</v>
      </c>
      <c r="H200" s="1059">
        <f t="shared" si="2"/>
        <v>1.0326738270209157</v>
      </c>
    </row>
    <row r="201" spans="1:8" s="105" customFormat="1" ht="12.75">
      <c r="A201" s="122">
        <v>1421</v>
      </c>
      <c r="B201" s="120" t="s">
        <v>226</v>
      </c>
      <c r="C201" s="619">
        <f>SUM('2.mell'!C592)</f>
        <v>194715</v>
      </c>
      <c r="D201" s="619">
        <f>SUM('2.mell'!D592)</f>
        <v>194715</v>
      </c>
      <c r="E201" s="619">
        <f>SUM('2.mell'!E592)</f>
        <v>194715</v>
      </c>
      <c r="F201" s="619">
        <f>SUM('2.mell'!F592)</f>
        <v>194715</v>
      </c>
      <c r="G201" s="619">
        <f>SUM('2.mell'!G592)</f>
        <v>158184</v>
      </c>
      <c r="H201" s="1059">
        <f t="shared" si="2"/>
        <v>0.8123873353362607</v>
      </c>
    </row>
    <row r="202" spans="1:8" s="105" customFormat="1" ht="12.75">
      <c r="A202" s="122">
        <v>1422</v>
      </c>
      <c r="B202" s="120" t="s">
        <v>227</v>
      </c>
      <c r="C202" s="966">
        <f>SUM('2.mell'!C593)</f>
        <v>68458</v>
      </c>
      <c r="D202" s="966">
        <f>SUM('2.mell'!D593)</f>
        <v>68458</v>
      </c>
      <c r="E202" s="966">
        <f>SUM('2.mell'!E593)</f>
        <v>61123</v>
      </c>
      <c r="F202" s="966">
        <f>SUM('2.mell'!F593)</f>
        <v>61123</v>
      </c>
      <c r="G202" s="966">
        <f>SUM('2.mell'!G593)</f>
        <v>50651</v>
      </c>
      <c r="H202" s="1059">
        <f t="shared" si="2"/>
        <v>0.8286733308247305</v>
      </c>
    </row>
    <row r="203" spans="1:8" s="105" customFormat="1" ht="12.75">
      <c r="A203" s="122">
        <v>1423</v>
      </c>
      <c r="B203" s="124" t="s">
        <v>228</v>
      </c>
      <c r="C203" s="966">
        <f>SUM('2.mell'!C594)</f>
        <v>4401</v>
      </c>
      <c r="D203" s="966">
        <f>SUM('2.mell'!D594)</f>
        <v>4401</v>
      </c>
      <c r="E203" s="966">
        <f>SUM('2.mell'!E594)</f>
        <v>4401</v>
      </c>
      <c r="F203" s="966">
        <f>SUM('2.mell'!F594)</f>
        <v>4401</v>
      </c>
      <c r="G203" s="966">
        <f>SUM('2.mell'!G594)</f>
        <v>13880</v>
      </c>
      <c r="H203" s="1059">
        <f t="shared" si="2"/>
        <v>3.153828675301068</v>
      </c>
    </row>
    <row r="204" spans="1:8" s="105" customFormat="1" ht="12.75">
      <c r="A204" s="122">
        <v>1424</v>
      </c>
      <c r="B204" s="119" t="s">
        <v>456</v>
      </c>
      <c r="C204" s="619">
        <f>SUM('2.mell'!C595)</f>
        <v>0</v>
      </c>
      <c r="D204" s="619">
        <f>SUM('2.mell'!D595)</f>
        <v>0</v>
      </c>
      <c r="E204" s="619">
        <f>SUM('2.mell'!E595)</f>
        <v>0</v>
      </c>
      <c r="F204" s="619">
        <f>SUM('2.mell'!F595)</f>
        <v>0</v>
      </c>
      <c r="G204" s="966">
        <f>SUM('2.mell'!G595)</f>
        <v>0</v>
      </c>
      <c r="H204" s="1059"/>
    </row>
    <row r="205" spans="1:8" s="105" customFormat="1" ht="12.75" thickBot="1">
      <c r="A205" s="127">
        <v>1425</v>
      </c>
      <c r="B205" s="128" t="s">
        <v>229</v>
      </c>
      <c r="C205" s="619">
        <f>SUM('2.mell'!C596)</f>
        <v>0</v>
      </c>
      <c r="D205" s="619">
        <f>SUM('2.mell'!D596)</f>
        <v>0</v>
      </c>
      <c r="E205" s="619">
        <f>SUM('2.mell'!E596)</f>
        <v>0</v>
      </c>
      <c r="F205" s="619">
        <f>SUM('2.mell'!F596)</f>
        <v>0</v>
      </c>
      <c r="G205" s="966">
        <f>SUM('2.mell'!G596)</f>
        <v>2303</v>
      </c>
      <c r="H205" s="1279"/>
    </row>
    <row r="206" spans="1:8" s="105" customFormat="1" ht="15.75" thickBot="1">
      <c r="A206" s="139"/>
      <c r="B206" s="176" t="s">
        <v>349</v>
      </c>
      <c r="C206" s="644">
        <f>SUM(C197+C200+C202+C201+C205+C203+C196+C204)</f>
        <v>347369</v>
      </c>
      <c r="D206" s="644">
        <f>SUM(D197+D200+D202+D201+D205+D203+D196+D204)</f>
        <v>347369</v>
      </c>
      <c r="E206" s="644">
        <f>SUM(E197+E200+E202+E201+E205+E203+E196+E204)</f>
        <v>312869</v>
      </c>
      <c r="F206" s="644">
        <f>SUM(F197+F200+F202+F201+F205+F203+F196+F204)</f>
        <v>312869</v>
      </c>
      <c r="G206" s="644">
        <f>SUM(G197+G200+G202+G201+G205+G203+G196+G204)</f>
        <v>274785</v>
      </c>
      <c r="H206" s="1060">
        <f aca="true" t="shared" si="3" ref="H206:H268">SUM(G206/F206)</f>
        <v>0.8782749329591618</v>
      </c>
    </row>
    <row r="207" spans="1:8" s="105" customFormat="1" ht="12.75">
      <c r="A207" s="137"/>
      <c r="B207" s="118"/>
      <c r="C207" s="634"/>
      <c r="D207" s="634"/>
      <c r="E207" s="634"/>
      <c r="F207" s="634"/>
      <c r="G207" s="634"/>
      <c r="H207" s="1061"/>
    </row>
    <row r="208" spans="1:8" s="105" customFormat="1" ht="12.75" thickBot="1">
      <c r="A208" s="138">
        <v>1430</v>
      </c>
      <c r="B208" s="145" t="s">
        <v>230</v>
      </c>
      <c r="C208" s="639"/>
      <c r="D208" s="639"/>
      <c r="E208" s="639"/>
      <c r="F208" s="639"/>
      <c r="G208" s="639"/>
      <c r="H208" s="1279"/>
    </row>
    <row r="209" spans="1:8" s="105" customFormat="1" ht="15.75" thickBot="1">
      <c r="A209" s="130"/>
      <c r="B209" s="229" t="s">
        <v>231</v>
      </c>
      <c r="C209" s="640"/>
      <c r="D209" s="640"/>
      <c r="E209" s="640"/>
      <c r="F209" s="640"/>
      <c r="G209" s="640"/>
      <c r="H209" s="1102"/>
    </row>
    <row r="210" spans="1:8" s="105" customFormat="1" ht="12" customHeight="1" thickBot="1">
      <c r="A210" s="130"/>
      <c r="B210" s="210"/>
      <c r="C210" s="640"/>
      <c r="D210" s="640"/>
      <c r="E210" s="640"/>
      <c r="F210" s="640"/>
      <c r="G210" s="640"/>
      <c r="H210" s="1102"/>
    </row>
    <row r="211" spans="1:8" s="105" customFormat="1" ht="16.5" thickBot="1">
      <c r="A211" s="130"/>
      <c r="B211" s="232" t="s">
        <v>67</v>
      </c>
      <c r="C211" s="641">
        <f>SUM(C206+C209+C195)</f>
        <v>347369</v>
      </c>
      <c r="D211" s="641">
        <f>SUM(D206+D209+D195)</f>
        <v>347369</v>
      </c>
      <c r="E211" s="641">
        <f>SUM(E206+E209+E195)</f>
        <v>312869</v>
      </c>
      <c r="F211" s="641">
        <f>SUM(F206+F209+F195)</f>
        <v>312869</v>
      </c>
      <c r="G211" s="641">
        <f>SUM(G206+G209+G195)</f>
        <v>321387</v>
      </c>
      <c r="H211" s="1060">
        <f t="shared" si="3"/>
        <v>1.0272254521860587</v>
      </c>
    </row>
    <row r="212" spans="1:8" s="105" customFormat="1" ht="10.5" customHeight="1">
      <c r="A212" s="117"/>
      <c r="B212" s="695"/>
      <c r="C212" s="634"/>
      <c r="D212" s="634"/>
      <c r="E212" s="634"/>
      <c r="F212" s="634"/>
      <c r="G212" s="634"/>
      <c r="H212" s="1061"/>
    </row>
    <row r="213" spans="1:8" s="105" customFormat="1" ht="12.75">
      <c r="A213" s="122">
        <v>1435</v>
      </c>
      <c r="B213" s="120" t="s">
        <v>232</v>
      </c>
      <c r="C213" s="635"/>
      <c r="D213" s="635"/>
      <c r="E213" s="635"/>
      <c r="F213" s="635"/>
      <c r="G213" s="635"/>
      <c r="H213" s="1059"/>
    </row>
    <row r="214" spans="1:8" s="105" customFormat="1" ht="12.75" thickBot="1">
      <c r="A214" s="122">
        <v>1436</v>
      </c>
      <c r="B214" s="120" t="s">
        <v>441</v>
      </c>
      <c r="C214" s="701">
        <f>SUM('2.mell'!C600)</f>
        <v>0</v>
      </c>
      <c r="D214" s="701">
        <f>SUM('2.mell'!D600)</f>
        <v>0</v>
      </c>
      <c r="E214" s="701">
        <f>SUM('2.mell'!E600)</f>
        <v>0</v>
      </c>
      <c r="F214" s="701">
        <f>SUM('2.mell'!F600)</f>
        <v>0</v>
      </c>
      <c r="G214" s="701">
        <f>SUM('2.mell'!H600)</f>
        <v>0</v>
      </c>
      <c r="H214" s="1279"/>
    </row>
    <row r="215" spans="1:8" s="105" customFormat="1" ht="15.75" thickBot="1">
      <c r="A215" s="130"/>
      <c r="B215" s="176" t="s">
        <v>436</v>
      </c>
      <c r="C215" s="644">
        <f>SUM(C214)</f>
        <v>0</v>
      </c>
      <c r="D215" s="644">
        <f>SUM(D214)</f>
        <v>0</v>
      </c>
      <c r="E215" s="644">
        <f>SUM(E214)</f>
        <v>0</v>
      </c>
      <c r="F215" s="644">
        <f>SUM(F214)</f>
        <v>0</v>
      </c>
      <c r="G215" s="644">
        <f>SUM(G214)</f>
        <v>0</v>
      </c>
      <c r="H215" s="1102"/>
    </row>
    <row r="216" spans="1:8" s="105" customFormat="1" ht="9.95" customHeight="1">
      <c r="A216" s="137"/>
      <c r="B216" s="231"/>
      <c r="C216" s="634"/>
      <c r="D216" s="634"/>
      <c r="E216" s="634"/>
      <c r="F216" s="634"/>
      <c r="G216" s="634"/>
      <c r="H216" s="1061"/>
    </row>
    <row r="217" spans="1:8" s="105" customFormat="1" ht="12.75" thickBot="1">
      <c r="A217" s="127">
        <v>1440</v>
      </c>
      <c r="B217" s="128" t="s">
        <v>244</v>
      </c>
      <c r="C217" s="621">
        <f>SUM('2.mell'!C601)</f>
        <v>0</v>
      </c>
      <c r="D217" s="621">
        <f>SUM('2.mell'!D601)</f>
        <v>0</v>
      </c>
      <c r="E217" s="621">
        <f>SUM('2.mell'!E601)</f>
        <v>0</v>
      </c>
      <c r="F217" s="621">
        <f>SUM('2.mell'!F601)</f>
        <v>0</v>
      </c>
      <c r="G217" s="621">
        <f>SUM('2.mell'!H601)</f>
        <v>0</v>
      </c>
      <c r="H217" s="1279"/>
    </row>
    <row r="218" spans="1:8" s="105" customFormat="1" ht="15.75" thickBot="1">
      <c r="A218" s="139"/>
      <c r="B218" s="229" t="s">
        <v>237</v>
      </c>
      <c r="C218" s="644">
        <f>SUM(C217)</f>
        <v>0</v>
      </c>
      <c r="D218" s="644">
        <f>SUM(D217)</f>
        <v>0</v>
      </c>
      <c r="E218" s="644">
        <f>SUM(E217)</f>
        <v>0</v>
      </c>
      <c r="F218" s="644">
        <f>SUM(F217)</f>
        <v>0</v>
      </c>
      <c r="G218" s="644">
        <f>SUM(G217)</f>
        <v>0</v>
      </c>
      <c r="H218" s="1102"/>
    </row>
    <row r="219" spans="1:8" s="105" customFormat="1" ht="15">
      <c r="A219" s="137"/>
      <c r="B219" s="231"/>
      <c r="C219" s="634"/>
      <c r="D219" s="634"/>
      <c r="E219" s="634"/>
      <c r="F219" s="634"/>
      <c r="G219" s="634"/>
      <c r="H219" s="1061"/>
    </row>
    <row r="220" spans="1:8" s="105" customFormat="1" ht="12.75" thickBot="1">
      <c r="A220" s="212">
        <v>1445</v>
      </c>
      <c r="B220" s="132" t="s">
        <v>241</v>
      </c>
      <c r="C220" s="701">
        <f>SUM('2.mell'!C598)</f>
        <v>0</v>
      </c>
      <c r="D220" s="701">
        <f>SUM('2.mell'!D598)</f>
        <v>0</v>
      </c>
      <c r="E220" s="701">
        <f>SUM('2.mell'!E598)</f>
        <v>0</v>
      </c>
      <c r="F220" s="701">
        <f>SUM('2.mell'!F598)</f>
        <v>0</v>
      </c>
      <c r="G220" s="701">
        <f>'2.mell'!G600</f>
        <v>1500</v>
      </c>
      <c r="H220" s="1279"/>
    </row>
    <row r="221" spans="1:8" s="105" customFormat="1" ht="15.75" thickBot="1">
      <c r="A221" s="130"/>
      <c r="B221" s="176" t="s">
        <v>242</v>
      </c>
      <c r="C221" s="644">
        <f>SUM(C220)</f>
        <v>0</v>
      </c>
      <c r="D221" s="644">
        <f>SUM(D220)</f>
        <v>0</v>
      </c>
      <c r="E221" s="644">
        <f>SUM(E220)</f>
        <v>0</v>
      </c>
      <c r="F221" s="644">
        <f>SUM(F220)</f>
        <v>0</v>
      </c>
      <c r="G221" s="644">
        <f>SUM(G220)</f>
        <v>1500</v>
      </c>
      <c r="H221" s="1102"/>
    </row>
    <row r="222" spans="1:8" s="105" customFormat="1" ht="15">
      <c r="A222" s="137"/>
      <c r="B222" s="231"/>
      <c r="C222" s="645"/>
      <c r="D222" s="645"/>
      <c r="E222" s="645"/>
      <c r="F222" s="645"/>
      <c r="G222" s="645"/>
      <c r="H222" s="1061"/>
    </row>
    <row r="223" spans="1:8" s="105" customFormat="1" ht="12.75">
      <c r="A223" s="122">
        <v>1450</v>
      </c>
      <c r="B223" s="120" t="s">
        <v>439</v>
      </c>
      <c r="C223" s="619"/>
      <c r="D223" s="619"/>
      <c r="E223" s="619">
        <f>SUM('2.mell'!E603)</f>
        <v>42655</v>
      </c>
      <c r="F223" s="619">
        <f>SUM('2.mell'!F603)</f>
        <v>42655</v>
      </c>
      <c r="G223" s="619">
        <f>SUM('2.mell'!G603)</f>
        <v>42655</v>
      </c>
      <c r="H223" s="1059">
        <f t="shared" si="3"/>
        <v>1</v>
      </c>
    </row>
    <row r="224" spans="1:8" s="105" customFormat="1" ht="12.75" thickBot="1">
      <c r="A224" s="138">
        <v>1451</v>
      </c>
      <c r="B224" s="126" t="s">
        <v>475</v>
      </c>
      <c r="C224" s="646">
        <f>SUM('2.mell'!C604+'2.mell'!C605)</f>
        <v>4835575</v>
      </c>
      <c r="D224" s="646">
        <f>SUM('2.mell'!D604+'2.mell'!D605)</f>
        <v>4785575</v>
      </c>
      <c r="E224" s="646">
        <f>SUM('2.mell'!E604+'2.mell'!E605)</f>
        <v>4969403</v>
      </c>
      <c r="F224" s="646">
        <f>SUM('2.mell'!F604+'2.mell'!F605)</f>
        <v>5007308</v>
      </c>
      <c r="G224" s="646">
        <f>SUM('2.mell'!G604+'2.mell'!G605)</f>
        <v>4982161</v>
      </c>
      <c r="H224" s="1279">
        <f t="shared" si="3"/>
        <v>0.9949779402425415</v>
      </c>
    </row>
    <row r="225" spans="1:8" s="105" customFormat="1" ht="15.75" thickBot="1">
      <c r="A225" s="130"/>
      <c r="B225" s="176" t="s">
        <v>45</v>
      </c>
      <c r="C225" s="644">
        <f>SUM(C223:C224)</f>
        <v>4835575</v>
      </c>
      <c r="D225" s="644">
        <f>SUM(D223:D224)</f>
        <v>4785575</v>
      </c>
      <c r="E225" s="644">
        <f>SUM(E223:E224)</f>
        <v>5012058</v>
      </c>
      <c r="F225" s="644">
        <f>SUM(F223:F224)</f>
        <v>5049963</v>
      </c>
      <c r="G225" s="644">
        <f>SUM(G223:G224)</f>
        <v>5024816</v>
      </c>
      <c r="H225" s="1060">
        <f t="shared" si="3"/>
        <v>0.9950203595551096</v>
      </c>
    </row>
    <row r="226" spans="1:8" s="143" customFormat="1" ht="13.5" customHeight="1">
      <c r="A226" s="137"/>
      <c r="B226" s="197"/>
      <c r="C226" s="645"/>
      <c r="D226" s="645"/>
      <c r="E226" s="645"/>
      <c r="F226" s="645"/>
      <c r="G226" s="645"/>
      <c r="H226" s="1061"/>
    </row>
    <row r="227" spans="1:8" s="143" customFormat="1" ht="13.5" thickBot="1">
      <c r="A227" s="122">
        <v>1455</v>
      </c>
      <c r="B227" s="120" t="s">
        <v>440</v>
      </c>
      <c r="C227" s="619">
        <f>SUM('2.mell'!C608)</f>
        <v>0</v>
      </c>
      <c r="D227" s="619">
        <f>SUM('2.mell'!D608)</f>
        <v>0</v>
      </c>
      <c r="E227" s="619">
        <f>SUM('2.mell'!E608)</f>
        <v>19496</v>
      </c>
      <c r="F227" s="619">
        <f>SUM('2.mell'!F608)</f>
        <v>19496</v>
      </c>
      <c r="G227" s="619">
        <f>SUM('2.mell'!G608)</f>
        <v>19496</v>
      </c>
      <c r="H227" s="1279">
        <f t="shared" si="3"/>
        <v>1</v>
      </c>
    </row>
    <row r="228" spans="1:8" s="105" customFormat="1" ht="15.75" thickBot="1">
      <c r="A228" s="130"/>
      <c r="B228" s="239" t="s">
        <v>243</v>
      </c>
      <c r="C228" s="644">
        <f>SUM(C227)</f>
        <v>0</v>
      </c>
      <c r="D228" s="644">
        <f>SUM(D227)</f>
        <v>0</v>
      </c>
      <c r="E228" s="644">
        <f>SUM(E227)</f>
        <v>19496</v>
      </c>
      <c r="F228" s="644">
        <f>SUM(F227)</f>
        <v>19496</v>
      </c>
      <c r="G228" s="644">
        <f>SUM(G227)</f>
        <v>19496</v>
      </c>
      <c r="H228" s="1060">
        <f t="shared" si="3"/>
        <v>1</v>
      </c>
    </row>
    <row r="229" spans="1:8" s="105" customFormat="1" ht="12.75" thickBot="1">
      <c r="A229" s="130"/>
      <c r="B229" s="121"/>
      <c r="C229" s="647"/>
      <c r="D229" s="647"/>
      <c r="E229" s="647"/>
      <c r="F229" s="647"/>
      <c r="G229" s="647"/>
      <c r="H229" s="1102"/>
    </row>
    <row r="230" spans="1:8" s="105" customFormat="1" ht="16.5" thickBot="1">
      <c r="A230" s="130"/>
      <c r="B230" s="234" t="s">
        <v>50</v>
      </c>
      <c r="C230" s="693">
        <f>SUM(C228+C225+C211+C221+C215+C218)</f>
        <v>5182944</v>
      </c>
      <c r="D230" s="693">
        <f>SUM(D228+D225+D211+D221+D215+D218)</f>
        <v>5132944</v>
      </c>
      <c r="E230" s="693">
        <f>SUM(E228+E225+E211+E221+E215+E218)</f>
        <v>5344423</v>
      </c>
      <c r="F230" s="693">
        <f>SUM(F228+F225+F211+F221+F215+F218)</f>
        <v>5382328</v>
      </c>
      <c r="G230" s="693">
        <f>SUM(G228+G225+G211+G221+G215+G218)</f>
        <v>5367199</v>
      </c>
      <c r="H230" s="1060">
        <f t="shared" si="3"/>
        <v>0.9971891345157708</v>
      </c>
    </row>
    <row r="231" spans="1:8" s="143" customFormat="1" ht="12.75">
      <c r="A231" s="142"/>
      <c r="B231" s="165"/>
      <c r="C231" s="656"/>
      <c r="D231" s="656"/>
      <c r="E231" s="656"/>
      <c r="F231" s="656"/>
      <c r="G231" s="656"/>
      <c r="H231" s="1061"/>
    </row>
    <row r="232" spans="1:8" s="143" customFormat="1" ht="17.25" customHeight="1">
      <c r="A232" s="144"/>
      <c r="B232" s="237" t="s">
        <v>347</v>
      </c>
      <c r="C232" s="657"/>
      <c r="D232" s="657"/>
      <c r="E232" s="657"/>
      <c r="F232" s="657"/>
      <c r="G232" s="657"/>
      <c r="H232" s="1059"/>
    </row>
    <row r="233" spans="1:8" s="143" customFormat="1" ht="12.75">
      <c r="A233" s="144"/>
      <c r="B233" s="109"/>
      <c r="C233" s="657"/>
      <c r="D233" s="657"/>
      <c r="E233" s="657"/>
      <c r="F233" s="657"/>
      <c r="G233" s="657"/>
      <c r="H233" s="1059"/>
    </row>
    <row r="234" spans="1:8" s="143" customFormat="1" ht="12.75">
      <c r="A234" s="122">
        <v>1500</v>
      </c>
      <c r="B234" s="120" t="s">
        <v>207</v>
      </c>
      <c r="C234" s="620">
        <f>SUM(C10)</f>
        <v>1811883</v>
      </c>
      <c r="D234" s="620">
        <f>SUM(D10)</f>
        <v>1811883</v>
      </c>
      <c r="E234" s="620">
        <f>SUM(E10)</f>
        <v>1875894</v>
      </c>
      <c r="F234" s="620">
        <f>SUM(F10)</f>
        <v>1900745</v>
      </c>
      <c r="G234" s="620">
        <f>SUM(G10)</f>
        <v>1930545</v>
      </c>
      <c r="H234" s="1059">
        <f t="shared" si="3"/>
        <v>1.0156780630752678</v>
      </c>
    </row>
    <row r="235" spans="1:8" s="143" customFormat="1" ht="12.75">
      <c r="A235" s="122">
        <v>1501</v>
      </c>
      <c r="B235" s="120" t="s">
        <v>211</v>
      </c>
      <c r="C235" s="620">
        <f>SUM(C17)</f>
        <v>0</v>
      </c>
      <c r="D235" s="620">
        <f>SUM(D17)</f>
        <v>0</v>
      </c>
      <c r="E235" s="620">
        <f>SUM(E17)</f>
        <v>0</v>
      </c>
      <c r="F235" s="620">
        <f>SUM(F17)</f>
        <v>0</v>
      </c>
      <c r="G235" s="620">
        <f>SUM(G17)</f>
        <v>0</v>
      </c>
      <c r="H235" s="1059"/>
    </row>
    <row r="236" spans="1:8" s="143" customFormat="1" ht="13.5" thickBot="1">
      <c r="A236" s="127">
        <v>1502</v>
      </c>
      <c r="B236" s="128" t="s">
        <v>429</v>
      </c>
      <c r="C236" s="620">
        <f>SUM(C194+C18+C107+C148)</f>
        <v>0</v>
      </c>
      <c r="D236" s="620">
        <f>SUM(D194+D18+D107+D148)</f>
        <v>0</v>
      </c>
      <c r="E236" s="620">
        <f>SUM(E194+E18+E107+E148)</f>
        <v>0</v>
      </c>
      <c r="F236" s="620">
        <f>SUM(F194+F18+F107+F148)</f>
        <v>0</v>
      </c>
      <c r="G236" s="620">
        <f>SUM(G194+G18+G107+G148)</f>
        <v>117027</v>
      </c>
      <c r="H236" s="1279"/>
    </row>
    <row r="237" spans="1:8" s="143" customFormat="1" ht="13.5" thickBot="1">
      <c r="A237" s="130"/>
      <c r="B237" s="133" t="s">
        <v>430</v>
      </c>
      <c r="C237" s="658">
        <f>SUM(C234:C236)</f>
        <v>1811883</v>
      </c>
      <c r="D237" s="658">
        <f>SUM(D234:D236)</f>
        <v>1811883</v>
      </c>
      <c r="E237" s="658">
        <f>SUM(E234:E236)</f>
        <v>1875894</v>
      </c>
      <c r="F237" s="658">
        <f>SUM(F234:F236)</f>
        <v>1900745</v>
      </c>
      <c r="G237" s="658">
        <f>SUM(G234:G236)</f>
        <v>2047572</v>
      </c>
      <c r="H237" s="1060">
        <f t="shared" si="3"/>
        <v>1.0772470794346427</v>
      </c>
    </row>
    <row r="238" spans="1:8" s="143" customFormat="1" ht="12.75">
      <c r="A238" s="123">
        <v>1510</v>
      </c>
      <c r="B238" s="124" t="s">
        <v>214</v>
      </c>
      <c r="C238" s="659">
        <f>SUM(C21)</f>
        <v>3805000</v>
      </c>
      <c r="D238" s="659">
        <f>SUM(D21)</f>
        <v>3805000</v>
      </c>
      <c r="E238" s="659">
        <f>SUM(E21)</f>
        <v>3394000</v>
      </c>
      <c r="F238" s="659">
        <f>SUM(F21)</f>
        <v>3394000</v>
      </c>
      <c r="G238" s="659">
        <f>SUM(G21)</f>
        <v>3394000</v>
      </c>
      <c r="H238" s="1280">
        <f t="shared" si="3"/>
        <v>1</v>
      </c>
    </row>
    <row r="239" spans="1:8" s="143" customFormat="1" ht="12.75">
      <c r="A239" s="122">
        <v>1511</v>
      </c>
      <c r="B239" s="124" t="s">
        <v>215</v>
      </c>
      <c r="C239" s="620">
        <f>SUM(C24)</f>
        <v>5838087</v>
      </c>
      <c r="D239" s="620">
        <f>SUM(D24)</f>
        <v>5838087</v>
      </c>
      <c r="E239" s="620">
        <f>SUM(E24)</f>
        <v>4100087</v>
      </c>
      <c r="F239" s="620">
        <f>SUM(F24)</f>
        <v>4107922</v>
      </c>
      <c r="G239" s="620">
        <f>SUM(G24)</f>
        <v>4107922</v>
      </c>
      <c r="H239" s="1059">
        <f t="shared" si="3"/>
        <v>1</v>
      </c>
    </row>
    <row r="240" spans="1:8" s="143" customFormat="1" ht="13.5" thickBot="1">
      <c r="A240" s="127">
        <v>1514</v>
      </c>
      <c r="B240" s="128" t="s">
        <v>184</v>
      </c>
      <c r="C240" s="660">
        <f>SUM(C28+C154)</f>
        <v>375093</v>
      </c>
      <c r="D240" s="660">
        <f>SUM(D28+D154)</f>
        <v>375093</v>
      </c>
      <c r="E240" s="660">
        <f>SUM(E28+E154)</f>
        <v>264545</v>
      </c>
      <c r="F240" s="660">
        <f>SUM(F28+F154)</f>
        <v>264545</v>
      </c>
      <c r="G240" s="660">
        <f>SUM(G28+G154)</f>
        <v>264545</v>
      </c>
      <c r="H240" s="1279">
        <f t="shared" si="3"/>
        <v>1</v>
      </c>
    </row>
    <row r="241" spans="1:8" s="143" customFormat="1" ht="13.5" thickBot="1">
      <c r="A241" s="130"/>
      <c r="B241" s="242" t="s">
        <v>221</v>
      </c>
      <c r="C241" s="658">
        <f>SUM(C238:C240)</f>
        <v>10018180</v>
      </c>
      <c r="D241" s="658">
        <f>SUM(D238:D240)</f>
        <v>10018180</v>
      </c>
      <c r="E241" s="658">
        <f>SUM(E238:E240)</f>
        <v>7758632</v>
      </c>
      <c r="F241" s="658">
        <f>SUM(F238:F240)</f>
        <v>7766467</v>
      </c>
      <c r="G241" s="658">
        <f>SUM(G238:G240)</f>
        <v>7766467</v>
      </c>
      <c r="H241" s="1060">
        <f t="shared" si="3"/>
        <v>1</v>
      </c>
    </row>
    <row r="242" spans="1:8" s="143" customFormat="1" ht="12.75">
      <c r="A242" s="123">
        <v>1519</v>
      </c>
      <c r="B242" s="207" t="s">
        <v>417</v>
      </c>
      <c r="C242" s="659">
        <f>SUM(C196)</f>
        <v>0</v>
      </c>
      <c r="D242" s="659">
        <f>SUM(D196)</f>
        <v>0</v>
      </c>
      <c r="E242" s="659">
        <f>SUM(E196)</f>
        <v>0</v>
      </c>
      <c r="F242" s="659">
        <f>SUM(F196)</f>
        <v>0</v>
      </c>
      <c r="G242" s="659">
        <f>SUM(G196)</f>
        <v>0</v>
      </c>
      <c r="H242" s="1061"/>
    </row>
    <row r="243" spans="1:8" s="143" customFormat="1" ht="12.75">
      <c r="A243" s="123">
        <v>1520</v>
      </c>
      <c r="B243" s="207" t="s">
        <v>222</v>
      </c>
      <c r="C243" s="659">
        <f>SUM(C40+C109+C156+C197)</f>
        <v>1993072</v>
      </c>
      <c r="D243" s="659">
        <f>SUM(D40+D109+D156+D197)</f>
        <v>1993072</v>
      </c>
      <c r="E243" s="659">
        <f>SUM(E40+E109+E156+E197)</f>
        <v>1533907</v>
      </c>
      <c r="F243" s="659">
        <f>SUM(F40+F109+F156+F197)</f>
        <v>1553907</v>
      </c>
      <c r="G243" s="659">
        <f>SUM(G40+G109+G156+G197)</f>
        <v>1550755</v>
      </c>
      <c r="H243" s="1059">
        <f t="shared" si="3"/>
        <v>0.9979715645788326</v>
      </c>
    </row>
    <row r="244" spans="1:8" s="143" customFormat="1" ht="12.75">
      <c r="A244" s="122">
        <v>1521</v>
      </c>
      <c r="B244" s="191" t="s">
        <v>223</v>
      </c>
      <c r="C244" s="620">
        <f>SUM(C49+C112+C159+C200)</f>
        <v>216345</v>
      </c>
      <c r="D244" s="620">
        <f>SUM(D49+D112+D159+D200)</f>
        <v>216345</v>
      </c>
      <c r="E244" s="620">
        <f>SUM(E49+E112+E159+E200)</f>
        <v>137345</v>
      </c>
      <c r="F244" s="620">
        <f>SUM(F49+F112+F159+F200)</f>
        <v>137345</v>
      </c>
      <c r="G244" s="620">
        <f>SUM(G49+G112+G159+G200)</f>
        <v>137634</v>
      </c>
      <c r="H244" s="1059">
        <f t="shared" si="3"/>
        <v>1.0021041901780188</v>
      </c>
    </row>
    <row r="245" spans="1:8" s="143" customFormat="1" ht="12.75">
      <c r="A245" s="542">
        <v>1522</v>
      </c>
      <c r="B245" s="539" t="s">
        <v>351</v>
      </c>
      <c r="C245" s="620">
        <f>SUM(C53)</f>
        <v>0</v>
      </c>
      <c r="D245" s="620">
        <f>SUM(D53)</f>
        <v>0</v>
      </c>
      <c r="E245" s="620">
        <f>SUM(E53)</f>
        <v>0</v>
      </c>
      <c r="F245" s="620">
        <f>SUM(F53)</f>
        <v>0</v>
      </c>
      <c r="G245" s="620">
        <f>SUM(G53)</f>
        <v>0</v>
      </c>
      <c r="H245" s="1059"/>
    </row>
    <row r="246" spans="1:8" s="143" customFormat="1" ht="12.75">
      <c r="A246" s="122">
        <v>1523</v>
      </c>
      <c r="B246" s="120" t="s">
        <v>226</v>
      </c>
      <c r="C246" s="620">
        <f>SUM(C113+C160+C201+C54)</f>
        <v>194715</v>
      </c>
      <c r="D246" s="620">
        <f>SUM(D113+D160+D201+D54)</f>
        <v>194715</v>
      </c>
      <c r="E246" s="620">
        <f>SUM(E113+E160+E201+E54)</f>
        <v>194715</v>
      </c>
      <c r="F246" s="620">
        <f>SUM(F113+F160+F201+F54)</f>
        <v>194715</v>
      </c>
      <c r="G246" s="620">
        <f>SUM(G113+G160+G201+G54)</f>
        <v>158184</v>
      </c>
      <c r="H246" s="1059">
        <f t="shared" si="3"/>
        <v>0.8123873353362607</v>
      </c>
    </row>
    <row r="247" spans="1:8" s="143" customFormat="1" ht="12.75">
      <c r="A247" s="122">
        <v>1524</v>
      </c>
      <c r="B247" s="120" t="s">
        <v>227</v>
      </c>
      <c r="C247" s="620">
        <f>SUM(C55+C114+C161+C202)</f>
        <v>637560</v>
      </c>
      <c r="D247" s="620">
        <f>SUM(D55+D114+D161+D202)</f>
        <v>637560</v>
      </c>
      <c r="E247" s="620">
        <f>SUM(E55+E114+E161+E202)</f>
        <v>502225</v>
      </c>
      <c r="F247" s="620">
        <f>SUM(F55+F114+F161+F202)</f>
        <v>507625</v>
      </c>
      <c r="G247" s="620">
        <f>SUM(G55+G114+G161+G202)</f>
        <v>497153</v>
      </c>
      <c r="H247" s="1059">
        <f t="shared" si="3"/>
        <v>0.9793705983747846</v>
      </c>
    </row>
    <row r="248" spans="1:8" s="143" customFormat="1" ht="12.75">
      <c r="A248" s="122">
        <v>1525</v>
      </c>
      <c r="B248" s="124" t="s">
        <v>228</v>
      </c>
      <c r="C248" s="620">
        <f aca="true" t="shared" si="4" ref="C248:E249">SUM(C59+C115+C162+C203)</f>
        <v>4401</v>
      </c>
      <c r="D248" s="620">
        <f t="shared" si="4"/>
        <v>4401</v>
      </c>
      <c r="E248" s="620">
        <f t="shared" si="4"/>
        <v>4401</v>
      </c>
      <c r="F248" s="620">
        <f aca="true" t="shared" si="5" ref="F248:G248">SUM(F59+F115+F162+F203)</f>
        <v>4401</v>
      </c>
      <c r="G248" s="620">
        <f t="shared" si="5"/>
        <v>13880</v>
      </c>
      <c r="H248" s="1059">
        <f t="shared" si="3"/>
        <v>3.153828675301068</v>
      </c>
    </row>
    <row r="249" spans="1:8" s="143" customFormat="1" ht="12.75">
      <c r="A249" s="122">
        <v>1526</v>
      </c>
      <c r="B249" s="119" t="s">
        <v>456</v>
      </c>
      <c r="C249" s="620">
        <f t="shared" si="4"/>
        <v>6010</v>
      </c>
      <c r="D249" s="620">
        <f t="shared" si="4"/>
        <v>6010</v>
      </c>
      <c r="E249" s="620">
        <f t="shared" si="4"/>
        <v>6010</v>
      </c>
      <c r="F249" s="620">
        <f aca="true" t="shared" si="6" ref="F249:G249">SUM(F60+F116+F163+F204)</f>
        <v>6010</v>
      </c>
      <c r="G249" s="620">
        <f t="shared" si="6"/>
        <v>6010</v>
      </c>
      <c r="H249" s="1059">
        <f t="shared" si="3"/>
        <v>1</v>
      </c>
    </row>
    <row r="250" spans="1:8" s="143" customFormat="1" ht="13.5" thickBot="1">
      <c r="A250" s="127">
        <v>1528</v>
      </c>
      <c r="B250" s="128" t="s">
        <v>229</v>
      </c>
      <c r="C250" s="660">
        <f>SUM(C62+C117+C164+C205+C63)</f>
        <v>30000</v>
      </c>
      <c r="D250" s="660">
        <f>SUM(D62+D117+D164+D205+D63)</f>
        <v>30000</v>
      </c>
      <c r="E250" s="660">
        <f>SUM(E62+E117+E164+E205+E63)</f>
        <v>39852</v>
      </c>
      <c r="F250" s="660">
        <f>SUM(F62+F117+F164+F205+F63)</f>
        <v>47946</v>
      </c>
      <c r="G250" s="660">
        <f>SUM(G62+G117+G164+G205+G63)</f>
        <v>51640</v>
      </c>
      <c r="H250" s="1279">
        <f t="shared" si="3"/>
        <v>1.0770450089684227</v>
      </c>
    </row>
    <row r="251" spans="1:8" s="143" customFormat="1" ht="13.5" thickBot="1">
      <c r="A251" s="130"/>
      <c r="B251" s="133" t="s">
        <v>349</v>
      </c>
      <c r="C251" s="658">
        <f>SUM(C242:C250)</f>
        <v>3082103</v>
      </c>
      <c r="D251" s="658">
        <f>SUM(D242:D250)</f>
        <v>3082103</v>
      </c>
      <c r="E251" s="658">
        <f>SUM(E242:E250)</f>
        <v>2418455</v>
      </c>
      <c r="F251" s="658">
        <f>SUM(F242:F250)</f>
        <v>2451949</v>
      </c>
      <c r="G251" s="658">
        <f>SUM(G242:G250)</f>
        <v>2415256</v>
      </c>
      <c r="H251" s="1060">
        <f t="shared" si="3"/>
        <v>0.9850351699811049</v>
      </c>
    </row>
    <row r="252" spans="1:8" s="143" customFormat="1" ht="13.5" thickBot="1">
      <c r="A252" s="140">
        <v>1530</v>
      </c>
      <c r="B252" s="247" t="s">
        <v>230</v>
      </c>
      <c r="C252" s="661">
        <f>SUM(C66+C221)</f>
        <v>0</v>
      </c>
      <c r="D252" s="661">
        <f>SUM(D66+D221)</f>
        <v>0</v>
      </c>
      <c r="E252" s="661">
        <f>SUM(E68+E221)</f>
        <v>11000</v>
      </c>
      <c r="F252" s="661">
        <f>SUM(F68+F221)</f>
        <v>12670</v>
      </c>
      <c r="G252" s="661">
        <f>SUM(G68)</f>
        <v>12670</v>
      </c>
      <c r="H252" s="1102">
        <f t="shared" si="3"/>
        <v>1</v>
      </c>
    </row>
    <row r="253" spans="1:8" s="143" customFormat="1" ht="13.5" thickBot="1">
      <c r="A253" s="262"/>
      <c r="B253" s="245" t="s">
        <v>231</v>
      </c>
      <c r="C253" s="662">
        <f>SUM(C252)</f>
        <v>0</v>
      </c>
      <c r="D253" s="662">
        <f>SUM(D252)</f>
        <v>0</v>
      </c>
      <c r="E253" s="662">
        <f>SUM(E252)</f>
        <v>11000</v>
      </c>
      <c r="F253" s="662">
        <f>SUM(F252)</f>
        <v>12670</v>
      </c>
      <c r="G253" s="662">
        <f>SUM(G252)</f>
        <v>12670</v>
      </c>
      <c r="H253" s="1281">
        <f t="shared" si="3"/>
        <v>1</v>
      </c>
    </row>
    <row r="254" spans="1:8" s="143" customFormat="1" ht="17.25" thickBot="1" thickTop="1">
      <c r="A254" s="263"/>
      <c r="B254" s="244" t="s">
        <v>67</v>
      </c>
      <c r="C254" s="663">
        <f>SUM(C237+C241+C251+C253)</f>
        <v>14912166</v>
      </c>
      <c r="D254" s="663">
        <f>SUM(D237+D241+D251+D253)</f>
        <v>14912166</v>
      </c>
      <c r="E254" s="663">
        <f>SUM(E237+E241+E251+E253)</f>
        <v>12063981</v>
      </c>
      <c r="F254" s="663">
        <f>SUM(F237+F241+F251+F253)</f>
        <v>12131831</v>
      </c>
      <c r="G254" s="663">
        <f>SUM(G237+G241+G251+G253)</f>
        <v>12241965</v>
      </c>
      <c r="H254" s="1282">
        <f t="shared" si="3"/>
        <v>1.009078102060604</v>
      </c>
    </row>
    <row r="255" spans="1:8" s="143" customFormat="1" ht="13.5" thickTop="1">
      <c r="A255" s="123">
        <v>1540</v>
      </c>
      <c r="B255" s="124" t="s">
        <v>232</v>
      </c>
      <c r="C255" s="659">
        <f aca="true" t="shared" si="7" ref="C255:F257">SUM(C72)</f>
        <v>400000</v>
      </c>
      <c r="D255" s="659">
        <f t="shared" si="7"/>
        <v>400000</v>
      </c>
      <c r="E255" s="659">
        <f t="shared" si="7"/>
        <v>0</v>
      </c>
      <c r="F255" s="659">
        <f t="shared" si="7"/>
        <v>0</v>
      </c>
      <c r="G255" s="659">
        <f aca="true" t="shared" si="8" ref="G255">SUM(G72)</f>
        <v>740000</v>
      </c>
      <c r="H255" s="1061"/>
    </row>
    <row r="256" spans="1:8" s="143" customFormat="1" ht="12.75">
      <c r="A256" s="122">
        <v>1541</v>
      </c>
      <c r="B256" s="120" t="s">
        <v>442</v>
      </c>
      <c r="C256" s="620">
        <f t="shared" si="7"/>
        <v>0</v>
      </c>
      <c r="D256" s="620">
        <f t="shared" si="7"/>
        <v>0</v>
      </c>
      <c r="E256" s="620">
        <f t="shared" si="7"/>
        <v>0</v>
      </c>
      <c r="F256" s="620">
        <f t="shared" si="7"/>
        <v>0</v>
      </c>
      <c r="G256" s="620">
        <f aca="true" t="shared" si="9" ref="G256">SUM(G73)</f>
        <v>0</v>
      </c>
      <c r="H256" s="1059"/>
    </row>
    <row r="257" spans="1:8" s="143" customFormat="1" ht="12.75">
      <c r="A257" s="122">
        <v>1542</v>
      </c>
      <c r="B257" s="120" t="s">
        <v>443</v>
      </c>
      <c r="C257" s="620">
        <f t="shared" si="7"/>
        <v>400000</v>
      </c>
      <c r="D257" s="620">
        <f t="shared" si="7"/>
        <v>400000</v>
      </c>
      <c r="E257" s="620">
        <f t="shared" si="7"/>
        <v>400000</v>
      </c>
      <c r="F257" s="620">
        <f t="shared" si="7"/>
        <v>400000</v>
      </c>
      <c r="G257" s="620">
        <f aca="true" t="shared" si="10" ref="G257">SUM(G74)</f>
        <v>400000</v>
      </c>
      <c r="H257" s="1059">
        <f t="shared" si="3"/>
        <v>1</v>
      </c>
    </row>
    <row r="258" spans="1:8" s="143" customFormat="1" ht="13.5" thickBot="1">
      <c r="A258" s="127">
        <v>1543</v>
      </c>
      <c r="B258" s="128" t="s">
        <v>441</v>
      </c>
      <c r="C258" s="660">
        <f>SUM(C77+C214)</f>
        <v>0</v>
      </c>
      <c r="D258" s="660">
        <f>SUM(D77+D214)</f>
        <v>0</v>
      </c>
      <c r="E258" s="660">
        <f>SUM(E77+E214)</f>
        <v>0</v>
      </c>
      <c r="F258" s="660">
        <f>SUM(F77+F214)</f>
        <v>0</v>
      </c>
      <c r="G258" s="660">
        <f>SUM(G77+G214)</f>
        <v>0</v>
      </c>
      <c r="H258" s="1279"/>
    </row>
    <row r="259" spans="1:8" s="143" customFormat="1" ht="13.5" thickBot="1">
      <c r="A259" s="139"/>
      <c r="B259" s="558" t="s">
        <v>436</v>
      </c>
      <c r="C259" s="664">
        <f>SUM(C255:C258)</f>
        <v>800000</v>
      </c>
      <c r="D259" s="664">
        <f>SUM(D255:D258)</f>
        <v>800000</v>
      </c>
      <c r="E259" s="664">
        <f>SUM(E255:E258)</f>
        <v>400000</v>
      </c>
      <c r="F259" s="664">
        <f>SUM(F255:F258)</f>
        <v>400000</v>
      </c>
      <c r="G259" s="664">
        <f>SUM(G255:G258)</f>
        <v>1140000</v>
      </c>
      <c r="H259" s="1060">
        <f t="shared" si="3"/>
        <v>2.85</v>
      </c>
    </row>
    <row r="260" spans="1:8" s="143" customFormat="1" ht="12.75">
      <c r="A260" s="123">
        <v>1550</v>
      </c>
      <c r="B260" s="124" t="s">
        <v>236</v>
      </c>
      <c r="C260" s="659">
        <f>SUM(C80)</f>
        <v>894000</v>
      </c>
      <c r="D260" s="659">
        <f>SUM(D80)</f>
        <v>894000</v>
      </c>
      <c r="E260" s="659">
        <f>SUM(E80)</f>
        <v>649000</v>
      </c>
      <c r="F260" s="659">
        <f>SUM(F80)</f>
        <v>649000</v>
      </c>
      <c r="G260" s="659">
        <f>SUM(G80)</f>
        <v>649000</v>
      </c>
      <c r="H260" s="1061">
        <f t="shared" si="3"/>
        <v>1</v>
      </c>
    </row>
    <row r="261" spans="1:8" s="143" customFormat="1" ht="13.5" thickBot="1">
      <c r="A261" s="122">
        <v>1551</v>
      </c>
      <c r="B261" s="120" t="s">
        <v>244</v>
      </c>
      <c r="C261" s="620"/>
      <c r="D261" s="620"/>
      <c r="E261" s="620"/>
      <c r="F261" s="620"/>
      <c r="G261" s="620"/>
      <c r="H261" s="1279"/>
    </row>
    <row r="262" spans="1:8" s="143" customFormat="1" ht="13.5" thickBot="1">
      <c r="A262" s="130"/>
      <c r="B262" s="133" t="s">
        <v>237</v>
      </c>
      <c r="C262" s="658">
        <f>SUM(C260:C261)</f>
        <v>894000</v>
      </c>
      <c r="D262" s="658">
        <f>SUM(D260:D261)</f>
        <v>894000</v>
      </c>
      <c r="E262" s="658">
        <f>SUM(E260:E261)</f>
        <v>649000</v>
      </c>
      <c r="F262" s="658">
        <f>SUM(F260:F261)</f>
        <v>649000</v>
      </c>
      <c r="G262" s="658">
        <f>SUM(G260:G261)</f>
        <v>649000</v>
      </c>
      <c r="H262" s="1060">
        <f t="shared" si="3"/>
        <v>1</v>
      </c>
    </row>
    <row r="263" spans="1:8" s="143" customFormat="1" ht="12.75">
      <c r="A263" s="123">
        <v>1560</v>
      </c>
      <c r="B263" s="136" t="s">
        <v>444</v>
      </c>
      <c r="C263" s="968">
        <f>SUM(C85+C133)</f>
        <v>23000</v>
      </c>
      <c r="D263" s="968">
        <f>SUM(D85+D133)</f>
        <v>23000</v>
      </c>
      <c r="E263" s="968">
        <f>SUM(E85+E133)</f>
        <v>23000</v>
      </c>
      <c r="F263" s="968">
        <f>SUM(F85+F133)</f>
        <v>23000</v>
      </c>
      <c r="G263" s="968">
        <f>SUM(G85+G133)</f>
        <v>23000</v>
      </c>
      <c r="H263" s="1061">
        <f t="shared" si="3"/>
        <v>1</v>
      </c>
    </row>
    <row r="264" spans="1:8" s="143" customFormat="1" ht="12.75">
      <c r="A264" s="212">
        <v>1561</v>
      </c>
      <c r="B264" s="126" t="s">
        <v>241</v>
      </c>
      <c r="C264" s="666">
        <f>SUM(C88)</f>
        <v>0</v>
      </c>
      <c r="D264" s="666">
        <f>SUM(D88)</f>
        <v>0</v>
      </c>
      <c r="E264" s="666">
        <f>SUM(E88)</f>
        <v>0</v>
      </c>
      <c r="F264" s="666">
        <f>SUM(F88)</f>
        <v>0</v>
      </c>
      <c r="G264" s="666">
        <f>SUM(G221)</f>
        <v>1500</v>
      </c>
      <c r="H264" s="1059"/>
    </row>
    <row r="265" spans="1:8" s="143" customFormat="1" ht="13.5" thickBot="1">
      <c r="A265" s="537">
        <v>1562</v>
      </c>
      <c r="B265" s="538" t="s">
        <v>377</v>
      </c>
      <c r="C265" s="660">
        <f>C89</f>
        <v>0</v>
      </c>
      <c r="D265" s="660">
        <f>D89</f>
        <v>0</v>
      </c>
      <c r="E265" s="660">
        <f>E89</f>
        <v>0</v>
      </c>
      <c r="F265" s="660">
        <f>F89</f>
        <v>0</v>
      </c>
      <c r="G265" s="660">
        <f>G89</f>
        <v>0</v>
      </c>
      <c r="H265" s="1279"/>
    </row>
    <row r="266" spans="1:8" s="143" customFormat="1" ht="13.5" thickBot="1">
      <c r="A266" s="264"/>
      <c r="B266" s="243" t="s">
        <v>242</v>
      </c>
      <c r="C266" s="663">
        <f>SUM(C263:C265)</f>
        <v>23000</v>
      </c>
      <c r="D266" s="663">
        <f>SUM(D263:D265)</f>
        <v>23000</v>
      </c>
      <c r="E266" s="663">
        <f>SUM(E263:E265)</f>
        <v>23000</v>
      </c>
      <c r="F266" s="663">
        <f>SUM(F263:F265)</f>
        <v>23000</v>
      </c>
      <c r="G266" s="663">
        <f>SUM(G263:G265)</f>
        <v>24500</v>
      </c>
      <c r="H266" s="1283">
        <f t="shared" si="3"/>
        <v>1.065217391304348</v>
      </c>
    </row>
    <row r="267" spans="1:8" s="143" customFormat="1" ht="17.25" thickBot="1" thickTop="1">
      <c r="A267" s="263"/>
      <c r="B267" s="246" t="s">
        <v>68</v>
      </c>
      <c r="C267" s="667">
        <f>SUM(C259+C262+C266)</f>
        <v>1717000</v>
      </c>
      <c r="D267" s="667">
        <f>SUM(D259+D262+D266)</f>
        <v>1717000</v>
      </c>
      <c r="E267" s="667">
        <f>SUM(E259+E262+E266)</f>
        <v>1072000</v>
      </c>
      <c r="F267" s="667">
        <f>SUM(F259+F262+F266)</f>
        <v>1072000</v>
      </c>
      <c r="G267" s="667">
        <f>SUM(G259+G262+G266)</f>
        <v>1813500</v>
      </c>
      <c r="H267" s="1282">
        <f t="shared" si="3"/>
        <v>1.6916977611940298</v>
      </c>
    </row>
    <row r="268" spans="1:8" s="143" customFormat="1" ht="13.5" thickTop="1">
      <c r="A268" s="123">
        <v>1570</v>
      </c>
      <c r="B268" s="124" t="s">
        <v>439</v>
      </c>
      <c r="C268" s="659">
        <f>SUM(C181+C136+C94+C223)</f>
        <v>63789</v>
      </c>
      <c r="D268" s="659">
        <f>SUM(D181+D136+D94+D223)</f>
        <v>63789</v>
      </c>
      <c r="E268" s="659">
        <f>SUM(E181+E136+E94+E223)</f>
        <v>4196322</v>
      </c>
      <c r="F268" s="659">
        <f>SUM(F181+F136+F94+F223)</f>
        <v>4196322</v>
      </c>
      <c r="G268" s="659">
        <f>SUM(G181+G136+G94+G223)</f>
        <v>4196322</v>
      </c>
      <c r="H268" s="1061">
        <f t="shared" si="3"/>
        <v>1</v>
      </c>
    </row>
    <row r="269" spans="1:8" s="143" customFormat="1" ht="12.75">
      <c r="A269" s="122">
        <v>1571</v>
      </c>
      <c r="B269" s="120" t="s">
        <v>475</v>
      </c>
      <c r="C269" s="620">
        <f>SUM(C224+C182+C137)</f>
        <v>7567703</v>
      </c>
      <c r="D269" s="620">
        <f>SUM(D224+D182+D137)</f>
        <v>7510703</v>
      </c>
      <c r="E269" s="620">
        <f>SUM(E224+E182+E137)</f>
        <v>7716986</v>
      </c>
      <c r="F269" s="620">
        <f>SUM(F224+F182+F137)</f>
        <v>7755041</v>
      </c>
      <c r="G269" s="620">
        <f>SUM(G224+G182+G137)</f>
        <v>7730031</v>
      </c>
      <c r="H269" s="1059">
        <f aca="true" t="shared" si="11" ref="H269:H275">SUM(G269/F269)</f>
        <v>0.996775000931652</v>
      </c>
    </row>
    <row r="270" spans="1:8" s="143" customFormat="1" ht="12.75">
      <c r="A270" s="122">
        <v>1572</v>
      </c>
      <c r="B270" s="120" t="s">
        <v>1290</v>
      </c>
      <c r="C270" s="620"/>
      <c r="D270" s="620"/>
      <c r="E270" s="620"/>
      <c r="F270" s="620"/>
      <c r="G270" s="620">
        <f>SUM(G96)</f>
        <v>400837</v>
      </c>
      <c r="H270" s="1059"/>
    </row>
    <row r="271" spans="1:8" s="143" customFormat="1" ht="13.5" thickBot="1">
      <c r="A271" s="138">
        <v>1573</v>
      </c>
      <c r="B271" s="126" t="s">
        <v>453</v>
      </c>
      <c r="C271" s="665">
        <f>SUM(C183)</f>
        <v>0</v>
      </c>
      <c r="D271" s="665">
        <f>SUM(D183)</f>
        <v>0</v>
      </c>
      <c r="E271" s="665">
        <f>SUM(E183)</f>
        <v>0</v>
      </c>
      <c r="F271" s="665">
        <f>SUM(F183)</f>
        <v>0</v>
      </c>
      <c r="G271" s="665">
        <f>SUM(G183)</f>
        <v>0</v>
      </c>
      <c r="H271" s="1291"/>
    </row>
    <row r="272" spans="1:8" s="143" customFormat="1" ht="15" thickBot="1">
      <c r="A272" s="130"/>
      <c r="B272" s="261" t="s">
        <v>61</v>
      </c>
      <c r="C272" s="658">
        <f>SUM(C268:C271)</f>
        <v>7631492</v>
      </c>
      <c r="D272" s="658">
        <f>SUM(D268:D271)</f>
        <v>7574492</v>
      </c>
      <c r="E272" s="658">
        <f>SUM(E268:E271)</f>
        <v>11913308</v>
      </c>
      <c r="F272" s="658">
        <f>SUM(F268:F271)</f>
        <v>11951363</v>
      </c>
      <c r="G272" s="658">
        <f>SUM(G268:G271)</f>
        <v>12327190</v>
      </c>
      <c r="H272" s="1060">
        <f t="shared" si="11"/>
        <v>1.031446371430606</v>
      </c>
    </row>
    <row r="273" spans="1:8" s="143" customFormat="1" ht="12" customHeight="1" thickBot="1">
      <c r="A273" s="122">
        <v>1581</v>
      </c>
      <c r="B273" s="120" t="s">
        <v>439</v>
      </c>
      <c r="C273" s="969">
        <f>SUM(C99+C140+C186+C228)</f>
        <v>2037061</v>
      </c>
      <c r="D273" s="969">
        <f>SUM(D99+D140+D186+D228)</f>
        <v>2037061</v>
      </c>
      <c r="E273" s="969">
        <f>SUM(E99+E140+E186+E228)</f>
        <v>3892656</v>
      </c>
      <c r="F273" s="969">
        <f>SUM(F99+F140+F186+F228)</f>
        <v>3892656</v>
      </c>
      <c r="G273" s="969">
        <f>SUM(G99+G140+G186+G228)</f>
        <v>3892656</v>
      </c>
      <c r="H273" s="1102">
        <f t="shared" si="11"/>
        <v>1</v>
      </c>
    </row>
    <row r="274" spans="1:8" s="143" customFormat="1" ht="13.5" thickBot="1">
      <c r="A274" s="130"/>
      <c r="B274" s="174" t="s">
        <v>243</v>
      </c>
      <c r="C274" s="658">
        <f>SUM(C273:C273)</f>
        <v>2037061</v>
      </c>
      <c r="D274" s="658">
        <f>SUM(D273:D273)</f>
        <v>2037061</v>
      </c>
      <c r="E274" s="658">
        <f>SUM(E273:E273)</f>
        <v>3892656</v>
      </c>
      <c r="F274" s="658">
        <f>SUM(F273:F273)</f>
        <v>3892656</v>
      </c>
      <c r="G274" s="658">
        <f>SUM(G273:G273)</f>
        <v>3892656</v>
      </c>
      <c r="H274" s="1060">
        <f t="shared" si="11"/>
        <v>1</v>
      </c>
    </row>
    <row r="275" spans="1:10" s="143" customFormat="1" ht="18.75" customHeight="1" thickBot="1">
      <c r="A275" s="130"/>
      <c r="B275" s="181" t="s">
        <v>410</v>
      </c>
      <c r="C275" s="668">
        <f>SUM(C254+C267+C273+C268+C271)</f>
        <v>18730016</v>
      </c>
      <c r="D275" s="668">
        <f>SUM(D254+D267+D273+D268+D271)</f>
        <v>18730016</v>
      </c>
      <c r="E275" s="668">
        <f>SUM(E254+E267+E273+E268+E271)</f>
        <v>21224959</v>
      </c>
      <c r="F275" s="668">
        <f>SUM(F254+F267+F273+F268+F271)</f>
        <v>21292809</v>
      </c>
      <c r="G275" s="668">
        <f>SUM(G254+G267+G273+G268+G271+G270)</f>
        <v>22545280</v>
      </c>
      <c r="H275" s="1060">
        <f t="shared" si="11"/>
        <v>1.0588213138059897</v>
      </c>
      <c r="I275" s="294"/>
      <c r="J275" s="1101"/>
    </row>
  </sheetData>
  <mergeCells count="10">
    <mergeCell ref="A2:H2"/>
    <mergeCell ref="A1:H1"/>
    <mergeCell ref="H5:H6"/>
    <mergeCell ref="B5:B6"/>
    <mergeCell ref="A5:A6"/>
    <mergeCell ref="C5:C6"/>
    <mergeCell ref="D5:D6"/>
    <mergeCell ref="E5:E6"/>
    <mergeCell ref="F5:F6"/>
    <mergeCell ref="G5:G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73" r:id="rId1"/>
  <headerFooter alignWithMargins="0">
    <oddFooter>&amp;C&amp;P. oldal</oddFooter>
  </headerFooter>
  <rowBreaks count="3" manualBreakCount="3">
    <brk id="59" max="16383" man="1"/>
    <brk id="112" max="16383" man="1"/>
    <brk id="26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 topLeftCell="A7">
      <selection activeCell="C24" sqref="C24:C26"/>
    </sheetView>
  </sheetViews>
  <sheetFormatPr defaultColWidth="9.125" defaultRowHeight="12.75"/>
  <cols>
    <col min="1" max="1" width="9.125" style="932" customWidth="1"/>
    <col min="2" max="2" width="31.875" style="932" customWidth="1"/>
    <col min="3" max="3" width="13.25390625" style="932" customWidth="1"/>
    <col min="4" max="4" width="13.875" style="932" customWidth="1"/>
    <col min="5" max="5" width="12.875" style="932" customWidth="1"/>
    <col min="6" max="6" width="13.125" style="932" customWidth="1"/>
    <col min="7" max="7" width="13.875" style="932" customWidth="1"/>
    <col min="8" max="16384" width="9.125" style="932" customWidth="1"/>
  </cols>
  <sheetData>
    <row r="2" spans="2:7" ht="12.75">
      <c r="B2" s="1566" t="s">
        <v>799</v>
      </c>
      <c r="C2" s="1566"/>
      <c r="D2" s="1567"/>
      <c r="E2" s="1567"/>
      <c r="F2" s="1567"/>
      <c r="G2" s="1567"/>
    </row>
    <row r="3" spans="2:7" ht="12.75">
      <c r="B3" s="1568" t="s">
        <v>800</v>
      </c>
      <c r="C3" s="1568"/>
      <c r="D3" s="1569"/>
      <c r="E3" s="1569"/>
      <c r="F3" s="1569"/>
      <c r="G3" s="1569"/>
    </row>
    <row r="4" spans="2:7" ht="12.75">
      <c r="B4" s="1569"/>
      <c r="C4" s="1569"/>
      <c r="D4" s="1569"/>
      <c r="E4" s="1569"/>
      <c r="F4" s="1569"/>
      <c r="G4" s="1569"/>
    </row>
    <row r="5" spans="2:7" ht="12.75">
      <c r="B5" s="933"/>
      <c r="C5" s="933"/>
      <c r="D5" s="933"/>
      <c r="E5" s="933"/>
      <c r="F5" s="933"/>
      <c r="G5" s="933"/>
    </row>
    <row r="6" ht="12.75">
      <c r="G6" s="934" t="s">
        <v>368</v>
      </c>
    </row>
    <row r="7" spans="2:7" ht="12.75" customHeight="1">
      <c r="B7" s="1570" t="s">
        <v>801</v>
      </c>
      <c r="C7" s="1571" t="s">
        <v>1301</v>
      </c>
      <c r="D7" s="1571" t="s">
        <v>1260</v>
      </c>
      <c r="E7" s="1572" t="s">
        <v>802</v>
      </c>
      <c r="F7" s="1572" t="s">
        <v>1013</v>
      </c>
      <c r="G7" s="1572" t="s">
        <v>1124</v>
      </c>
    </row>
    <row r="8" spans="2:7" ht="30.75" customHeight="1">
      <c r="B8" s="1570"/>
      <c r="C8" s="1571"/>
      <c r="D8" s="1571"/>
      <c r="E8" s="1573"/>
      <c r="F8" s="1573"/>
      <c r="G8" s="1573"/>
    </row>
    <row r="9" spans="2:7" ht="12.75" customHeight="1">
      <c r="B9" s="1561" t="s">
        <v>803</v>
      </c>
      <c r="C9" s="1562">
        <v>7501922</v>
      </c>
      <c r="D9" s="1562">
        <v>9433087</v>
      </c>
      <c r="E9" s="1562">
        <v>9782360</v>
      </c>
      <c r="F9" s="1562">
        <v>10271479</v>
      </c>
      <c r="G9" s="1562">
        <v>10785053</v>
      </c>
    </row>
    <row r="10" spans="2:7" ht="12.75" customHeight="1">
      <c r="B10" s="1561"/>
      <c r="C10" s="1562"/>
      <c r="D10" s="1562"/>
      <c r="E10" s="1562"/>
      <c r="F10" s="1562"/>
      <c r="G10" s="1562"/>
    </row>
    <row r="11" spans="2:7" ht="27" customHeight="1">
      <c r="B11" s="1561"/>
      <c r="C11" s="1562"/>
      <c r="D11" s="1562"/>
      <c r="E11" s="1562"/>
      <c r="F11" s="1562"/>
      <c r="G11" s="1562"/>
    </row>
    <row r="12" spans="2:7" ht="12.75">
      <c r="B12" s="1561" t="s">
        <v>804</v>
      </c>
      <c r="C12" s="1562">
        <v>509000</v>
      </c>
      <c r="D12" s="1562">
        <v>613000</v>
      </c>
      <c r="E12" s="1562">
        <v>631390</v>
      </c>
      <c r="F12" s="1562">
        <v>650331</v>
      </c>
      <c r="G12" s="1562">
        <v>669842</v>
      </c>
    </row>
    <row r="13" spans="2:7" ht="12.75">
      <c r="B13" s="1561"/>
      <c r="C13" s="1562"/>
      <c r="D13" s="1562"/>
      <c r="E13" s="1562"/>
      <c r="F13" s="1562"/>
      <c r="G13" s="1562"/>
    </row>
    <row r="14" spans="2:7" ht="60" customHeight="1">
      <c r="B14" s="1561"/>
      <c r="C14" s="1562"/>
      <c r="D14" s="1562"/>
      <c r="E14" s="1562"/>
      <c r="F14" s="1562"/>
      <c r="G14" s="1562"/>
    </row>
    <row r="15" spans="2:7" ht="12.75" customHeight="1">
      <c r="B15" s="1561" t="s">
        <v>805</v>
      </c>
      <c r="C15" s="1563" t="s">
        <v>806</v>
      </c>
      <c r="D15" s="1563" t="s">
        <v>806</v>
      </c>
      <c r="E15" s="1563" t="s">
        <v>806</v>
      </c>
      <c r="F15" s="1563" t="s">
        <v>806</v>
      </c>
      <c r="G15" s="1563" t="s">
        <v>806</v>
      </c>
    </row>
    <row r="16" spans="2:7" ht="12.75" customHeight="1">
      <c r="B16" s="1561"/>
      <c r="C16" s="1564"/>
      <c r="D16" s="1564"/>
      <c r="E16" s="1564"/>
      <c r="F16" s="1564"/>
      <c r="G16" s="1564"/>
    </row>
    <row r="17" spans="2:7" ht="27" customHeight="1">
      <c r="B17" s="1561"/>
      <c r="C17" s="1565"/>
      <c r="D17" s="1565"/>
      <c r="E17" s="1565"/>
      <c r="F17" s="1565"/>
      <c r="G17" s="1565"/>
    </row>
    <row r="18" spans="2:7" ht="12.75" customHeight="1">
      <c r="B18" s="1561" t="s">
        <v>807</v>
      </c>
      <c r="C18" s="1562">
        <v>694000</v>
      </c>
      <c r="D18" s="1562">
        <v>894000</v>
      </c>
      <c r="E18" s="1562">
        <v>550000</v>
      </c>
      <c r="F18" s="1562">
        <v>500000</v>
      </c>
      <c r="G18" s="1562">
        <v>450000</v>
      </c>
    </row>
    <row r="19" spans="2:7" ht="15.75" customHeight="1">
      <c r="B19" s="1561"/>
      <c r="C19" s="1562"/>
      <c r="D19" s="1562"/>
      <c r="E19" s="1562"/>
      <c r="F19" s="1562"/>
      <c r="G19" s="1562"/>
    </row>
    <row r="20" spans="2:7" ht="43.5" customHeight="1">
      <c r="B20" s="1561"/>
      <c r="C20" s="1562"/>
      <c r="D20" s="1562"/>
      <c r="E20" s="1562"/>
      <c r="F20" s="1562"/>
      <c r="G20" s="1562"/>
    </row>
    <row r="21" spans="2:7" ht="12.75" customHeight="1">
      <c r="B21" s="1561" t="s">
        <v>808</v>
      </c>
      <c r="C21" s="1562">
        <v>234545</v>
      </c>
      <c r="D21" s="1562">
        <v>325093</v>
      </c>
      <c r="E21" s="1562">
        <v>334846</v>
      </c>
      <c r="F21" s="1562">
        <v>344891</v>
      </c>
      <c r="G21" s="1562">
        <v>355238</v>
      </c>
    </row>
    <row r="22" spans="2:7" ht="12.75" customHeight="1">
      <c r="B22" s="1561"/>
      <c r="C22" s="1562"/>
      <c r="D22" s="1562"/>
      <c r="E22" s="1562"/>
      <c r="F22" s="1562"/>
      <c r="G22" s="1562"/>
    </row>
    <row r="23" spans="2:8" ht="27" customHeight="1">
      <c r="B23" s="1561"/>
      <c r="C23" s="1562"/>
      <c r="D23" s="1562"/>
      <c r="E23" s="1562"/>
      <c r="F23" s="1562"/>
      <c r="G23" s="1562"/>
      <c r="H23" s="1169"/>
    </row>
    <row r="24" spans="2:7" ht="12.75" customHeight="1">
      <c r="B24" s="1561" t="s">
        <v>809</v>
      </c>
      <c r="C24" s="1563" t="s">
        <v>806</v>
      </c>
      <c r="D24" s="1563" t="s">
        <v>806</v>
      </c>
      <c r="E24" s="1563" t="s">
        <v>806</v>
      </c>
      <c r="F24" s="1563" t="s">
        <v>806</v>
      </c>
      <c r="G24" s="1563" t="s">
        <v>806</v>
      </c>
    </row>
    <row r="25" spans="2:7" ht="12.75" customHeight="1">
      <c r="B25" s="1561"/>
      <c r="C25" s="1564"/>
      <c r="D25" s="1564"/>
      <c r="E25" s="1564"/>
      <c r="F25" s="1564"/>
      <c r="G25" s="1564"/>
    </row>
    <row r="26" spans="2:7" ht="27" customHeight="1">
      <c r="B26" s="1561"/>
      <c r="C26" s="1565"/>
      <c r="D26" s="1565"/>
      <c r="E26" s="1565"/>
      <c r="F26" s="1565"/>
      <c r="G26" s="1565"/>
    </row>
    <row r="27" spans="2:7" ht="12.75" customHeight="1">
      <c r="B27" s="1555" t="s">
        <v>177</v>
      </c>
      <c r="C27" s="1557">
        <f>SUM(C9:C26)</f>
        <v>8939467</v>
      </c>
      <c r="D27" s="1557">
        <f>SUM(D9:D26)</f>
        <v>11265180</v>
      </c>
      <c r="E27" s="1557">
        <f>SUM(E9:E26)</f>
        <v>11298596</v>
      </c>
      <c r="F27" s="1557">
        <f>SUM(F9:F26)</f>
        <v>11766701</v>
      </c>
      <c r="G27" s="1557">
        <f>SUM(G9:G26)</f>
        <v>12260133</v>
      </c>
    </row>
    <row r="28" spans="2:7" ht="12.75" customHeight="1">
      <c r="B28" s="1555"/>
      <c r="C28" s="1557"/>
      <c r="D28" s="1557"/>
      <c r="E28" s="1557"/>
      <c r="F28" s="1557"/>
      <c r="G28" s="1557"/>
    </row>
    <row r="29" spans="2:7" ht="27.75" customHeight="1" thickBot="1">
      <c r="B29" s="1556"/>
      <c r="C29" s="1558"/>
      <c r="D29" s="1558"/>
      <c r="E29" s="1558"/>
      <c r="F29" s="1558"/>
      <c r="G29" s="1558"/>
    </row>
    <row r="30" spans="2:7" ht="21" customHeight="1" thickTop="1">
      <c r="B30" s="1559" t="s">
        <v>810</v>
      </c>
      <c r="C30" s="1560">
        <v>49075</v>
      </c>
      <c r="D30" s="1560">
        <v>49075</v>
      </c>
      <c r="E30" s="1560">
        <v>48812</v>
      </c>
      <c r="F30" s="1560">
        <v>48552</v>
      </c>
      <c r="G30" s="1560">
        <v>48292</v>
      </c>
    </row>
    <row r="31" spans="1:7" ht="18.75" customHeight="1">
      <c r="A31" s="935"/>
      <c r="B31" s="1555"/>
      <c r="C31" s="1557"/>
      <c r="D31" s="1557"/>
      <c r="E31" s="1557"/>
      <c r="F31" s="1557"/>
      <c r="G31" s="1557"/>
    </row>
    <row r="32" spans="2:7" ht="18.75" customHeight="1" thickBot="1">
      <c r="B32" s="1556"/>
      <c r="C32" s="1558"/>
      <c r="D32" s="1558"/>
      <c r="E32" s="1558"/>
      <c r="F32" s="1558"/>
      <c r="G32" s="1558"/>
    </row>
    <row r="33" ht="13.5" thickTop="1"/>
  </sheetData>
  <mergeCells count="56">
    <mergeCell ref="B2:G2"/>
    <mergeCell ref="B3:G4"/>
    <mergeCell ref="B7:B8"/>
    <mergeCell ref="D7:D8"/>
    <mergeCell ref="E7:E8"/>
    <mergeCell ref="F7:F8"/>
    <mergeCell ref="G7:G8"/>
    <mergeCell ref="C7:C8"/>
    <mergeCell ref="G12:G14"/>
    <mergeCell ref="C12:C14"/>
    <mergeCell ref="B9:B11"/>
    <mergeCell ref="D9:D11"/>
    <mergeCell ref="E9:E11"/>
    <mergeCell ref="F9:F11"/>
    <mergeCell ref="G9:G11"/>
    <mergeCell ref="C9:C11"/>
    <mergeCell ref="B12:B14"/>
    <mergeCell ref="D12:D14"/>
    <mergeCell ref="E12:E14"/>
    <mergeCell ref="F12:F14"/>
    <mergeCell ref="B18:B20"/>
    <mergeCell ref="D18:D20"/>
    <mergeCell ref="E18:E20"/>
    <mergeCell ref="F18:F20"/>
    <mergeCell ref="G18:G20"/>
    <mergeCell ref="C18:C20"/>
    <mergeCell ref="B15:B17"/>
    <mergeCell ref="D15:D17"/>
    <mergeCell ref="E15:E17"/>
    <mergeCell ref="F15:F17"/>
    <mergeCell ref="G15:G17"/>
    <mergeCell ref="C15:C17"/>
    <mergeCell ref="B24:B26"/>
    <mergeCell ref="D24:D26"/>
    <mergeCell ref="E24:E26"/>
    <mergeCell ref="F24:F26"/>
    <mergeCell ref="G24:G26"/>
    <mergeCell ref="C24:C26"/>
    <mergeCell ref="B21:B23"/>
    <mergeCell ref="D21:D23"/>
    <mergeCell ref="E21:E23"/>
    <mergeCell ref="F21:F23"/>
    <mergeCell ref="G21:G23"/>
    <mergeCell ref="C21:C23"/>
    <mergeCell ref="B30:B32"/>
    <mergeCell ref="D30:D32"/>
    <mergeCell ref="E30:E32"/>
    <mergeCell ref="F30:F32"/>
    <mergeCell ref="G30:G32"/>
    <mergeCell ref="C30:C32"/>
    <mergeCell ref="B27:B29"/>
    <mergeCell ref="D27:D29"/>
    <mergeCell ref="E27:E29"/>
    <mergeCell ref="F27:F29"/>
    <mergeCell ref="G27:G29"/>
    <mergeCell ref="C27:C29"/>
  </mergeCells>
  <printOptions/>
  <pageMargins left="0.5905511811023623" right="0.7874015748031497" top="0.984251968503937" bottom="0.984251968503937" header="0.5118110236220472" footer="0.5118110236220472"/>
  <pageSetup firstPageNumber="65" useFirstPageNumber="1" horizontalDpi="600" verticalDpi="600" orientation="portrait" paperSize="9" scale="82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view="pageBreakPreview" zoomScale="60" workbookViewId="0" topLeftCell="A349">
      <selection activeCell="C112" sqref="C112:E112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9.125" style="0" bestFit="1" customWidth="1"/>
  </cols>
  <sheetData>
    <row r="1" spans="1:6" ht="12.75">
      <c r="A1" s="1607" t="s">
        <v>811</v>
      </c>
      <c r="B1" s="1607"/>
      <c r="C1" s="1607"/>
      <c r="D1" s="1607"/>
      <c r="E1" s="1607"/>
      <c r="F1" s="1607"/>
    </row>
    <row r="2" spans="1:6" ht="12.75">
      <c r="A2" s="1607" t="s">
        <v>812</v>
      </c>
      <c r="B2" s="1607"/>
      <c r="C2" s="1607"/>
      <c r="D2" s="1607"/>
      <c r="E2" s="1607"/>
      <c r="F2" s="1607"/>
    </row>
    <row r="3" spans="1:6" ht="12.75">
      <c r="A3" s="1607" t="s">
        <v>1112</v>
      </c>
      <c r="B3" s="1607"/>
      <c r="C3" s="1607"/>
      <c r="D3" s="1607"/>
      <c r="E3" s="1607"/>
      <c r="F3" s="1607"/>
    </row>
    <row r="4" ht="12.75">
      <c r="F4" s="936" t="s">
        <v>368</v>
      </c>
    </row>
    <row r="5" spans="1:7" ht="15">
      <c r="A5" s="1575" t="s">
        <v>813</v>
      </c>
      <c r="B5" s="1576" t="s">
        <v>814</v>
      </c>
      <c r="C5" s="1576"/>
      <c r="D5" s="1576"/>
      <c r="E5" s="1576"/>
      <c r="F5" s="1608">
        <f>SUM(F8:F16)</f>
        <v>2889898</v>
      </c>
      <c r="G5" s="937"/>
    </row>
    <row r="6" spans="1:7" ht="15">
      <c r="A6" s="1575"/>
      <c r="B6" s="1576"/>
      <c r="C6" s="1576"/>
      <c r="D6" s="1576"/>
      <c r="E6" s="1576"/>
      <c r="F6" s="1609"/>
      <c r="G6" s="937"/>
    </row>
    <row r="7" spans="1:7" ht="15">
      <c r="A7" s="1575"/>
      <c r="B7" s="1576"/>
      <c r="C7" s="1576"/>
      <c r="D7" s="1576"/>
      <c r="E7" s="1576"/>
      <c r="F7" s="1610"/>
      <c r="G7" s="937"/>
    </row>
    <row r="8" spans="1:7" ht="15">
      <c r="A8" s="1611">
        <v>3200</v>
      </c>
      <c r="B8" s="1611"/>
      <c r="C8" s="1612" t="s">
        <v>426</v>
      </c>
      <c r="D8" s="1613"/>
      <c r="E8" s="1614"/>
      <c r="F8" s="941">
        <f>SUM('3c.m.'!G214)</f>
        <v>163406</v>
      </c>
      <c r="G8" s="942"/>
    </row>
    <row r="9" spans="1:7" ht="15">
      <c r="A9" s="1611">
        <v>3201</v>
      </c>
      <c r="B9" s="1611"/>
      <c r="C9" s="1612" t="s">
        <v>357</v>
      </c>
      <c r="D9" s="1613"/>
      <c r="E9" s="1614"/>
      <c r="F9" s="941">
        <f>SUM('3c.m.'!G222)</f>
        <v>133351</v>
      </c>
      <c r="G9" s="942"/>
    </row>
    <row r="10" spans="1:7" ht="15">
      <c r="A10" s="1574">
        <v>3208</v>
      </c>
      <c r="B10" s="1574"/>
      <c r="C10" s="1577" t="s">
        <v>190</v>
      </c>
      <c r="D10" s="1578"/>
      <c r="E10" s="1579"/>
      <c r="F10" s="941">
        <f>SUM('3c.m.'!G283)</f>
        <v>49452</v>
      </c>
      <c r="G10" s="942"/>
    </row>
    <row r="11" spans="1:8" ht="15">
      <c r="A11" s="1574">
        <v>3209</v>
      </c>
      <c r="B11" s="1574"/>
      <c r="C11" s="1577" t="s">
        <v>78</v>
      </c>
      <c r="D11" s="1578"/>
      <c r="E11" s="1579"/>
      <c r="F11" s="941">
        <f>SUM('3c.m.'!G292)</f>
        <v>7245</v>
      </c>
      <c r="G11" s="937"/>
      <c r="H11" s="59"/>
    </row>
    <row r="12" spans="1:7" ht="15">
      <c r="A12" s="1574">
        <v>3223</v>
      </c>
      <c r="B12" s="1574"/>
      <c r="C12" s="1577" t="s">
        <v>81</v>
      </c>
      <c r="D12" s="1578"/>
      <c r="E12" s="1579"/>
      <c r="F12" s="941">
        <f>SUM('3c.m.'!G351)</f>
        <v>5098</v>
      </c>
      <c r="G12" s="937"/>
    </row>
    <row r="13" spans="1:7" ht="15">
      <c r="A13" s="1574">
        <v>3000</v>
      </c>
      <c r="B13" s="1574"/>
      <c r="C13" s="1577" t="s">
        <v>815</v>
      </c>
      <c r="D13" s="1578"/>
      <c r="E13" s="1579"/>
      <c r="F13" s="941">
        <f>SUM('3a.m.'!G54)</f>
        <v>2322846</v>
      </c>
      <c r="G13" s="937"/>
    </row>
    <row r="14" spans="1:7" ht="15">
      <c r="A14" s="1574">
        <v>1801</v>
      </c>
      <c r="B14" s="1574"/>
      <c r="C14" s="1577" t="s">
        <v>816</v>
      </c>
      <c r="D14" s="1578"/>
      <c r="E14" s="1579"/>
      <c r="F14" s="941">
        <f>SUM('1c.mell '!G74)</f>
        <v>30000</v>
      </c>
      <c r="G14" s="937"/>
    </row>
    <row r="15" spans="1:7" ht="15">
      <c r="A15" s="1574">
        <v>1802</v>
      </c>
      <c r="B15" s="1574"/>
      <c r="C15" s="1577" t="s">
        <v>1131</v>
      </c>
      <c r="D15" s="1578"/>
      <c r="E15" s="1579"/>
      <c r="F15" s="941">
        <f>SUM('1c.mell '!G76)</f>
        <v>5500</v>
      </c>
      <c r="G15" s="937"/>
    </row>
    <row r="16" spans="1:7" ht="15">
      <c r="A16" s="1574">
        <v>1804</v>
      </c>
      <c r="B16" s="1574"/>
      <c r="C16" s="1577" t="s">
        <v>817</v>
      </c>
      <c r="D16" s="1578"/>
      <c r="E16" s="1579"/>
      <c r="F16" s="941">
        <f>SUM('1c.mell '!G80)</f>
        <v>173000</v>
      </c>
      <c r="G16" s="937"/>
    </row>
    <row r="17" spans="1:7" ht="15">
      <c r="A17" s="1575" t="s">
        <v>818</v>
      </c>
      <c r="B17" s="1576" t="s">
        <v>819</v>
      </c>
      <c r="C17" s="1576"/>
      <c r="D17" s="1576"/>
      <c r="E17" s="1576"/>
      <c r="F17" s="1580">
        <f>SUM(F20:F50)</f>
        <v>4149598</v>
      </c>
      <c r="G17" s="937"/>
    </row>
    <row r="18" spans="1:7" ht="15">
      <c r="A18" s="1575"/>
      <c r="B18" s="1576"/>
      <c r="C18" s="1576"/>
      <c r="D18" s="1576"/>
      <c r="E18" s="1576"/>
      <c r="F18" s="1581"/>
      <c r="G18" s="937"/>
    </row>
    <row r="19" spans="1:7" ht="15">
      <c r="A19" s="1591"/>
      <c r="B19" s="1576"/>
      <c r="C19" s="1576"/>
      <c r="D19" s="1576"/>
      <c r="E19" s="1576"/>
      <c r="F19" s="1582"/>
      <c r="G19" s="937"/>
    </row>
    <row r="20" spans="1:7" ht="15">
      <c r="A20" s="1574">
        <v>3054</v>
      </c>
      <c r="B20" s="1574"/>
      <c r="C20" s="1577" t="s">
        <v>239</v>
      </c>
      <c r="D20" s="1578"/>
      <c r="E20" s="1579"/>
      <c r="F20" s="946">
        <f>SUM('3c.m.'!G25)</f>
        <v>6465</v>
      </c>
      <c r="G20" s="937"/>
    </row>
    <row r="21" spans="1:7" ht="15">
      <c r="A21" s="1574">
        <v>3111</v>
      </c>
      <c r="B21" s="1574"/>
      <c r="C21" s="1577" t="s">
        <v>159</v>
      </c>
      <c r="D21" s="1578"/>
      <c r="E21" s="1579"/>
      <c r="F21" s="947">
        <f>SUM('3c.m.'!G78)</f>
        <v>430576</v>
      </c>
      <c r="G21" s="937"/>
    </row>
    <row r="22" spans="1:7" ht="15">
      <c r="A22" s="1574">
        <v>3114</v>
      </c>
      <c r="B22" s="1574"/>
      <c r="C22" s="1577" t="s">
        <v>123</v>
      </c>
      <c r="D22" s="1578"/>
      <c r="E22" s="1579"/>
      <c r="F22" s="947">
        <f>SUM('3c.m.'!G96)</f>
        <v>100059</v>
      </c>
      <c r="G22" s="937"/>
    </row>
    <row r="23" spans="1:9" ht="15">
      <c r="A23" s="1574">
        <v>3116</v>
      </c>
      <c r="B23" s="1574"/>
      <c r="C23" s="1577" t="s">
        <v>1030</v>
      </c>
      <c r="D23" s="1578"/>
      <c r="E23" s="1579"/>
      <c r="F23" s="947">
        <f>SUM('3c.m.'!G112)</f>
        <v>11735</v>
      </c>
      <c r="G23" s="937"/>
      <c r="I23" s="59"/>
    </row>
    <row r="24" spans="1:7" ht="15">
      <c r="A24" s="1574">
        <v>3121</v>
      </c>
      <c r="B24" s="1574"/>
      <c r="C24" s="1577" t="s">
        <v>185</v>
      </c>
      <c r="D24" s="1578"/>
      <c r="E24" s="1579"/>
      <c r="F24" s="947">
        <f>SUM('3c.m.'!G121)</f>
        <v>10000</v>
      </c>
      <c r="G24" s="937"/>
    </row>
    <row r="25" spans="1:7" ht="15">
      <c r="A25" s="1574">
        <v>3122</v>
      </c>
      <c r="B25" s="1574"/>
      <c r="C25" s="1577" t="s">
        <v>179</v>
      </c>
      <c r="D25" s="1578"/>
      <c r="E25" s="1579"/>
      <c r="F25" s="947">
        <f>SUM('3c.m.'!G129)</f>
        <v>18050</v>
      </c>
      <c r="G25" s="937"/>
    </row>
    <row r="26" spans="1:7" ht="15">
      <c r="A26" s="1574">
        <v>3123</v>
      </c>
      <c r="B26" s="1574"/>
      <c r="C26" s="1577" t="s">
        <v>122</v>
      </c>
      <c r="D26" s="1578"/>
      <c r="E26" s="1579"/>
      <c r="F26" s="941">
        <f>SUM('3c.m.'!G137)</f>
        <v>20911</v>
      </c>
      <c r="G26" s="937"/>
    </row>
    <row r="27" spans="1:7" ht="15">
      <c r="A27" s="1574">
        <v>3124</v>
      </c>
      <c r="B27" s="1574"/>
      <c r="C27" s="1577" t="s">
        <v>125</v>
      </c>
      <c r="D27" s="1578"/>
      <c r="E27" s="1579"/>
      <c r="F27" s="941">
        <f>SUM('3c.m.'!G145)</f>
        <v>11280</v>
      </c>
      <c r="G27" s="937"/>
    </row>
    <row r="28" spans="1:6" ht="15">
      <c r="A28" s="1574">
        <v>3211</v>
      </c>
      <c r="B28" s="1574"/>
      <c r="C28" s="1577" t="s">
        <v>25</v>
      </c>
      <c r="D28" s="1578"/>
      <c r="E28" s="1579"/>
      <c r="F28" s="941">
        <f>SUM('3c.m.'!G310)</f>
        <v>462080</v>
      </c>
    </row>
    <row r="29" spans="1:6" ht="15">
      <c r="A29" s="1574">
        <v>3213</v>
      </c>
      <c r="B29" s="1574"/>
      <c r="C29" s="1577" t="s">
        <v>348</v>
      </c>
      <c r="D29" s="1578"/>
      <c r="E29" s="1579"/>
      <c r="F29" s="948">
        <f>SUM('3c.m.'!G326)</f>
        <v>525972</v>
      </c>
    </row>
    <row r="30" spans="1:6" ht="15.75" customHeight="1">
      <c r="A30" s="1574">
        <v>3925</v>
      </c>
      <c r="B30" s="1574"/>
      <c r="C30" s="1577" t="s">
        <v>26</v>
      </c>
      <c r="D30" s="1578"/>
      <c r="E30" s="1579"/>
      <c r="F30" s="948">
        <f>SUM('3d.m.'!G15)</f>
        <v>778270</v>
      </c>
    </row>
    <row r="31" spans="1:6" ht="15">
      <c r="A31" s="1574">
        <v>4112</v>
      </c>
      <c r="B31" s="1574"/>
      <c r="C31" s="1577" t="s">
        <v>238</v>
      </c>
      <c r="D31" s="1578"/>
      <c r="E31" s="1579"/>
      <c r="F31" s="948">
        <f>SUM('4.mell.'!G22)</f>
        <v>486329</v>
      </c>
    </row>
    <row r="32" spans="1:6" ht="15">
      <c r="A32" s="1574">
        <v>4121</v>
      </c>
      <c r="B32" s="1574"/>
      <c r="C32" s="1577" t="s">
        <v>820</v>
      </c>
      <c r="D32" s="1578"/>
      <c r="E32" s="1579"/>
      <c r="F32" s="948">
        <f>SUM('4.mell.'!G26)</f>
        <v>47181</v>
      </c>
    </row>
    <row r="33" spans="1:6" ht="15">
      <c r="A33" s="1574">
        <v>4125</v>
      </c>
      <c r="B33" s="1574"/>
      <c r="C33" s="1577" t="s">
        <v>821</v>
      </c>
      <c r="D33" s="1578"/>
      <c r="E33" s="1579"/>
      <c r="F33" s="948">
        <f>SUM('4.mell.'!G34)</f>
        <v>383074</v>
      </c>
    </row>
    <row r="34" spans="1:6" ht="15">
      <c r="A34" s="1574">
        <v>4122</v>
      </c>
      <c r="B34" s="1574"/>
      <c r="C34" s="1577" t="s">
        <v>822</v>
      </c>
      <c r="D34" s="1578"/>
      <c r="E34" s="1579"/>
      <c r="F34" s="948">
        <f>SUM('4.mell.'!G29)</f>
        <v>127554</v>
      </c>
    </row>
    <row r="35" spans="1:6" ht="15">
      <c r="A35" s="1574">
        <v>4124</v>
      </c>
      <c r="B35" s="1574"/>
      <c r="C35" s="1577" t="s">
        <v>1129</v>
      </c>
      <c r="D35" s="1578"/>
      <c r="E35" s="1579"/>
      <c r="F35" s="948">
        <f>SUM('4.mell.'!G33)</f>
        <v>75000</v>
      </c>
    </row>
    <row r="36" spans="1:6" ht="15">
      <c r="A36" s="1574">
        <v>3115</v>
      </c>
      <c r="B36" s="1574"/>
      <c r="C36" s="1577" t="s">
        <v>393</v>
      </c>
      <c r="D36" s="1578"/>
      <c r="E36" s="1579"/>
      <c r="F36" s="948">
        <f>SUM('3c.m.'!G104)</f>
        <v>30950</v>
      </c>
    </row>
    <row r="37" spans="1:6" ht="15">
      <c r="A37" s="1574">
        <v>4131</v>
      </c>
      <c r="B37" s="1574"/>
      <c r="C37" s="1577" t="s">
        <v>288</v>
      </c>
      <c r="D37" s="1578"/>
      <c r="E37" s="1579"/>
      <c r="F37" s="948">
        <f>SUM('4.mell.'!G38)</f>
        <v>86151</v>
      </c>
    </row>
    <row r="38" spans="1:6" ht="15">
      <c r="A38" s="1574">
        <v>4133</v>
      </c>
      <c r="B38" s="1574"/>
      <c r="C38" s="1577" t="s">
        <v>289</v>
      </c>
      <c r="D38" s="1578"/>
      <c r="E38" s="1579"/>
      <c r="F38" s="948">
        <f>SUM('4.mell.'!G43)</f>
        <v>100000</v>
      </c>
    </row>
    <row r="39" spans="1:6" ht="15">
      <c r="A39" s="1574">
        <v>4141</v>
      </c>
      <c r="B39" s="1574"/>
      <c r="C39" s="1577" t="s">
        <v>384</v>
      </c>
      <c r="D39" s="1578"/>
      <c r="E39" s="1579"/>
      <c r="F39" s="948">
        <f>SUM('4.mell.'!G47)</f>
        <v>16160</v>
      </c>
    </row>
    <row r="40" spans="1:6" ht="15">
      <c r="A40" s="1574">
        <v>4136</v>
      </c>
      <c r="B40" s="1574"/>
      <c r="C40" s="1577" t="s">
        <v>399</v>
      </c>
      <c r="D40" s="1578"/>
      <c r="E40" s="1579"/>
      <c r="F40" s="948">
        <f>SUM('4.mell.'!G44)</f>
        <v>44274</v>
      </c>
    </row>
    <row r="41" spans="1:6" ht="15">
      <c r="A41" s="1574">
        <v>4211</v>
      </c>
      <c r="B41" s="1574"/>
      <c r="C41" s="1210" t="s">
        <v>128</v>
      </c>
      <c r="D41" s="1211"/>
      <c r="E41" s="1212"/>
      <c r="F41" s="948">
        <f>SUM('4.mell.'!G50)</f>
        <v>43369</v>
      </c>
    </row>
    <row r="42" spans="1:6" ht="15">
      <c r="A42" s="1574">
        <v>4225</v>
      </c>
      <c r="B42" s="1574"/>
      <c r="C42" s="1210" t="s">
        <v>1250</v>
      </c>
      <c r="D42" s="1211"/>
      <c r="E42" s="1212"/>
      <c r="F42" s="948">
        <f>SUM('4.mell.'!G59)</f>
        <v>325</v>
      </c>
    </row>
    <row r="43" spans="1:6" ht="15">
      <c r="A43" s="1574">
        <v>4230</v>
      </c>
      <c r="B43" s="1574"/>
      <c r="C43" s="1210" t="s">
        <v>1034</v>
      </c>
      <c r="D43" s="1211"/>
      <c r="E43" s="1212"/>
      <c r="F43" s="948">
        <f>SUM('4.mell.'!G61)</f>
        <v>20000</v>
      </c>
    </row>
    <row r="44" spans="1:6" ht="15">
      <c r="A44" s="1574">
        <v>4265</v>
      </c>
      <c r="B44" s="1574"/>
      <c r="C44" s="1577" t="s">
        <v>823</v>
      </c>
      <c r="D44" s="1578"/>
      <c r="E44" s="1579"/>
      <c r="F44" s="948">
        <f>SUM('4.mell.'!G62)</f>
        <v>45488</v>
      </c>
    </row>
    <row r="45" spans="1:6" ht="15">
      <c r="A45" s="1574">
        <v>4310</v>
      </c>
      <c r="B45" s="1574"/>
      <c r="C45" s="1577" t="s">
        <v>375</v>
      </c>
      <c r="D45" s="1578"/>
      <c r="E45" s="1579"/>
      <c r="F45" s="948">
        <f>SUM('4.mell.'!G67)</f>
        <v>71647</v>
      </c>
    </row>
    <row r="46" spans="1:6" ht="15">
      <c r="A46" s="1574">
        <v>4323</v>
      </c>
      <c r="B46" s="1574"/>
      <c r="C46" s="1577" t="s">
        <v>1125</v>
      </c>
      <c r="D46" s="1578"/>
      <c r="E46" s="1579"/>
      <c r="F46" s="948">
        <f>SUM('4.mell.'!G68)</f>
        <v>95000</v>
      </c>
    </row>
    <row r="47" spans="1:6" ht="15">
      <c r="A47" s="1574">
        <v>5021</v>
      </c>
      <c r="B47" s="1574"/>
      <c r="C47" s="1577" t="s">
        <v>12</v>
      </c>
      <c r="D47" s="1578"/>
      <c r="E47" s="1579"/>
      <c r="F47" s="948">
        <f>SUM('5.mell. '!G19)</f>
        <v>13560</v>
      </c>
    </row>
    <row r="48" spans="1:6" ht="15">
      <c r="A48" s="1574">
        <v>5017</v>
      </c>
      <c r="B48" s="1574"/>
      <c r="C48" s="1577" t="s">
        <v>1152</v>
      </c>
      <c r="D48" s="1578"/>
      <c r="E48" s="1579"/>
      <c r="F48" s="948">
        <f>SUM('5.mell. '!G16)</f>
        <v>25000</v>
      </c>
    </row>
    <row r="49" spans="1:6" ht="15">
      <c r="A49" s="1574">
        <v>5027</v>
      </c>
      <c r="B49" s="1574"/>
      <c r="C49" s="1210" t="s">
        <v>507</v>
      </c>
      <c r="D49" s="1211"/>
      <c r="E49" s="1212"/>
      <c r="F49" s="948">
        <f>SUM('5.mell. '!G23)</f>
        <v>15138</v>
      </c>
    </row>
    <row r="50" spans="1:6" ht="15">
      <c r="A50" s="1574">
        <v>1851</v>
      </c>
      <c r="B50" s="1574"/>
      <c r="C50" s="1577" t="s">
        <v>467</v>
      </c>
      <c r="D50" s="1578"/>
      <c r="E50" s="1579"/>
      <c r="F50" s="948">
        <f>SUM('1c.mell '!G114)</f>
        <v>48000</v>
      </c>
    </row>
    <row r="51" spans="1:6" ht="12.75">
      <c r="A51" s="1575" t="s">
        <v>824</v>
      </c>
      <c r="B51" s="1576" t="s">
        <v>825</v>
      </c>
      <c r="C51" s="1576"/>
      <c r="D51" s="1576"/>
      <c r="E51" s="1576"/>
      <c r="F51" s="1580">
        <f>SUM(F54:F54)</f>
        <v>50176</v>
      </c>
    </row>
    <row r="52" spans="1:6" ht="12.75">
      <c r="A52" s="1575"/>
      <c r="B52" s="1576"/>
      <c r="C52" s="1576"/>
      <c r="D52" s="1576"/>
      <c r="E52" s="1576"/>
      <c r="F52" s="1581"/>
    </row>
    <row r="53" spans="1:6" ht="12.75">
      <c r="A53" s="1575"/>
      <c r="B53" s="1576"/>
      <c r="C53" s="1576"/>
      <c r="D53" s="1576"/>
      <c r="E53" s="1576"/>
      <c r="F53" s="1582"/>
    </row>
    <row r="54" spans="1:9" ht="13.5" customHeight="1">
      <c r="A54" s="1574">
        <v>2985</v>
      </c>
      <c r="B54" s="1574"/>
      <c r="C54" s="1577" t="s">
        <v>605</v>
      </c>
      <c r="D54" s="1578"/>
      <c r="E54" s="1579"/>
      <c r="F54" s="948">
        <v>50176</v>
      </c>
      <c r="G54" s="59"/>
      <c r="H54" s="59"/>
      <c r="I54" s="59"/>
    </row>
    <row r="55" spans="1:7" ht="13.5" customHeight="1">
      <c r="A55" s="1575" t="s">
        <v>826</v>
      </c>
      <c r="B55" s="1576" t="s">
        <v>827</v>
      </c>
      <c r="C55" s="1576"/>
      <c r="D55" s="1576"/>
      <c r="E55" s="1576"/>
      <c r="F55" s="1580">
        <f>SUM(F58:F58)</f>
        <v>178150</v>
      </c>
      <c r="G55" s="59"/>
    </row>
    <row r="56" spans="1:7" ht="13.5" customHeight="1">
      <c r="A56" s="1575"/>
      <c r="B56" s="1576"/>
      <c r="C56" s="1576"/>
      <c r="D56" s="1576"/>
      <c r="E56" s="1576"/>
      <c r="F56" s="1581"/>
      <c r="G56" s="59"/>
    </row>
    <row r="57" spans="1:7" ht="13.5" customHeight="1">
      <c r="A57" s="1575"/>
      <c r="B57" s="1576"/>
      <c r="C57" s="1576"/>
      <c r="D57" s="1576"/>
      <c r="E57" s="1576"/>
      <c r="F57" s="1582"/>
      <c r="G57" s="59"/>
    </row>
    <row r="58" spans="1:7" ht="13.5" customHeight="1">
      <c r="A58" s="1574">
        <v>1803</v>
      </c>
      <c r="B58" s="1574"/>
      <c r="C58" s="1577" t="s">
        <v>828</v>
      </c>
      <c r="D58" s="1578"/>
      <c r="E58" s="1579"/>
      <c r="F58" s="941">
        <f>SUM('1c.mell '!G78)</f>
        <v>178150</v>
      </c>
      <c r="G58" s="59"/>
    </row>
    <row r="59" spans="1:6" ht="13.5" customHeight="1">
      <c r="A59" s="1575" t="s">
        <v>829</v>
      </c>
      <c r="B59" s="1576" t="s">
        <v>830</v>
      </c>
      <c r="C59" s="1576"/>
      <c r="D59" s="1576"/>
      <c r="E59" s="1576"/>
      <c r="F59" s="1580">
        <f>SUM(F62:F63)</f>
        <v>849772</v>
      </c>
    </row>
    <row r="60" spans="1:6" ht="13.5" customHeight="1">
      <c r="A60" s="1575"/>
      <c r="B60" s="1576"/>
      <c r="C60" s="1576"/>
      <c r="D60" s="1576"/>
      <c r="E60" s="1576"/>
      <c r="F60" s="1581"/>
    </row>
    <row r="61" spans="1:6" ht="12" customHeight="1">
      <c r="A61" s="1575"/>
      <c r="B61" s="1576"/>
      <c r="C61" s="1576"/>
      <c r="D61" s="1576"/>
      <c r="E61" s="1576"/>
      <c r="F61" s="1582"/>
    </row>
    <row r="62" spans="1:6" ht="15">
      <c r="A62" s="1574">
        <v>3030</v>
      </c>
      <c r="B62" s="1574"/>
      <c r="C62" s="1577" t="s">
        <v>831</v>
      </c>
      <c r="D62" s="1578"/>
      <c r="E62" s="1579"/>
      <c r="F62" s="949">
        <f>SUM('3b.m.'!G49)</f>
        <v>846772</v>
      </c>
    </row>
    <row r="63" spans="1:6" ht="15">
      <c r="A63" s="1574">
        <v>3210</v>
      </c>
      <c r="B63" s="1574"/>
      <c r="C63" s="1577" t="s">
        <v>1077</v>
      </c>
      <c r="D63" s="1578"/>
      <c r="E63" s="1579"/>
      <c r="F63" s="993">
        <f>SUM('3c.m.'!G301)</f>
        <v>3000</v>
      </c>
    </row>
    <row r="64" spans="1:6" ht="12.75">
      <c r="A64" s="1575" t="s">
        <v>832</v>
      </c>
      <c r="B64" s="1576" t="s">
        <v>39</v>
      </c>
      <c r="C64" s="1576"/>
      <c r="D64" s="1576"/>
      <c r="E64" s="1576"/>
      <c r="F64" s="1580">
        <f>SUM(F67:F68)</f>
        <v>47230</v>
      </c>
    </row>
    <row r="65" spans="1:6" ht="12.75">
      <c r="A65" s="1575"/>
      <c r="B65" s="1576"/>
      <c r="C65" s="1576"/>
      <c r="D65" s="1576"/>
      <c r="E65" s="1576"/>
      <c r="F65" s="1581"/>
    </row>
    <row r="66" spans="1:6" ht="12.75">
      <c r="A66" s="1575"/>
      <c r="B66" s="1576"/>
      <c r="C66" s="1576"/>
      <c r="D66" s="1576"/>
      <c r="E66" s="1576"/>
      <c r="F66" s="1582"/>
    </row>
    <row r="67" spans="1:6" ht="15">
      <c r="A67" s="1574">
        <v>3204</v>
      </c>
      <c r="B67" s="1574"/>
      <c r="C67" s="1577" t="s">
        <v>833</v>
      </c>
      <c r="D67" s="1578"/>
      <c r="E67" s="1579"/>
      <c r="F67" s="941">
        <f>SUM('3c.m.'!G247)</f>
        <v>17295</v>
      </c>
    </row>
    <row r="68" spans="1:6" ht="15">
      <c r="A68" s="1574">
        <v>5033</v>
      </c>
      <c r="B68" s="1574"/>
      <c r="C68" s="1577" t="s">
        <v>1026</v>
      </c>
      <c r="D68" s="1578"/>
      <c r="E68" s="1579"/>
      <c r="F68" s="948">
        <f>SUM('5.mell. '!G26)</f>
        <v>29935</v>
      </c>
    </row>
    <row r="69" spans="1:6" ht="12.75">
      <c r="A69" s="1575" t="s">
        <v>834</v>
      </c>
      <c r="B69" s="1576" t="s">
        <v>835</v>
      </c>
      <c r="C69" s="1576"/>
      <c r="D69" s="1576"/>
      <c r="E69" s="1576"/>
      <c r="F69" s="1580">
        <f>SUM(F72:F73)</f>
        <v>136000</v>
      </c>
    </row>
    <row r="70" spans="1:6" ht="12.75">
      <c r="A70" s="1575"/>
      <c r="B70" s="1576"/>
      <c r="C70" s="1576"/>
      <c r="D70" s="1576"/>
      <c r="E70" s="1576"/>
      <c r="F70" s="1581"/>
    </row>
    <row r="71" spans="1:6" ht="12.75">
      <c r="A71" s="1575"/>
      <c r="B71" s="1576"/>
      <c r="C71" s="1576"/>
      <c r="D71" s="1576"/>
      <c r="E71" s="1576"/>
      <c r="F71" s="1582"/>
    </row>
    <row r="72" spans="1:6" ht="15">
      <c r="A72" s="1574">
        <v>3452</v>
      </c>
      <c r="B72" s="1574"/>
      <c r="C72" s="1577" t="s">
        <v>836</v>
      </c>
      <c r="D72" s="1578"/>
      <c r="E72" s="1579"/>
      <c r="F72" s="941">
        <f>SUM('3c.m.'!G845)</f>
        <v>1000</v>
      </c>
    </row>
    <row r="73" spans="1:6" ht="15">
      <c r="A73" s="1574">
        <v>3303</v>
      </c>
      <c r="B73" s="1574"/>
      <c r="C73" s="1187" t="s">
        <v>1201</v>
      </c>
      <c r="D73" s="1188"/>
      <c r="E73" s="1189"/>
      <c r="F73" s="948">
        <f>SUM('3c.m.'!G385)</f>
        <v>135000</v>
      </c>
    </row>
    <row r="74" spans="1:6" ht="12.6" customHeight="1">
      <c r="A74" s="1575" t="s">
        <v>837</v>
      </c>
      <c r="B74" s="1576" t="s">
        <v>838</v>
      </c>
      <c r="C74" s="1576"/>
      <c r="D74" s="1576"/>
      <c r="E74" s="1576"/>
      <c r="F74" s="1580">
        <f>SUM(F77)</f>
        <v>1172771</v>
      </c>
    </row>
    <row r="75" spans="1:6" ht="12.6" customHeight="1">
      <c r="A75" s="1575"/>
      <c r="B75" s="1576"/>
      <c r="C75" s="1576"/>
      <c r="D75" s="1576"/>
      <c r="E75" s="1576"/>
      <c r="F75" s="1581"/>
    </row>
    <row r="76" spans="1:6" ht="12.6" customHeight="1">
      <c r="A76" s="1575"/>
      <c r="B76" s="1576"/>
      <c r="C76" s="1576"/>
      <c r="D76" s="1576"/>
      <c r="E76" s="1576"/>
      <c r="F76" s="1582"/>
    </row>
    <row r="77" spans="1:8" ht="15">
      <c r="A77" s="1574">
        <v>2795</v>
      </c>
      <c r="B77" s="1574"/>
      <c r="C77" s="1577" t="s">
        <v>839</v>
      </c>
      <c r="D77" s="1578"/>
      <c r="E77" s="1579"/>
      <c r="F77" s="941">
        <v>1172771</v>
      </c>
      <c r="G77" s="59"/>
      <c r="H77" s="59"/>
    </row>
    <row r="78" spans="1:6" ht="12.75">
      <c r="A78" s="1575" t="s">
        <v>840</v>
      </c>
      <c r="B78" s="1576" t="s">
        <v>841</v>
      </c>
      <c r="C78" s="1576"/>
      <c r="D78" s="1576"/>
      <c r="E78" s="1576"/>
      <c r="F78" s="1580">
        <f>SUM(F81)</f>
        <v>22108</v>
      </c>
    </row>
    <row r="79" spans="1:6" ht="12.75">
      <c r="A79" s="1575"/>
      <c r="B79" s="1576"/>
      <c r="C79" s="1576"/>
      <c r="D79" s="1576"/>
      <c r="E79" s="1576"/>
      <c r="F79" s="1581"/>
    </row>
    <row r="80" spans="1:6" ht="12.75">
      <c r="A80" s="1575"/>
      <c r="B80" s="1576"/>
      <c r="C80" s="1576"/>
      <c r="D80" s="1576"/>
      <c r="E80" s="1576"/>
      <c r="F80" s="1582"/>
    </row>
    <row r="81" spans="1:6" ht="15">
      <c r="A81" s="1574">
        <v>3356</v>
      </c>
      <c r="B81" s="1574"/>
      <c r="C81" s="1577" t="s">
        <v>842</v>
      </c>
      <c r="D81" s="1578"/>
      <c r="E81" s="1579"/>
      <c r="F81" s="941">
        <f>SUM('3c.m.'!G673)</f>
        <v>22108</v>
      </c>
    </row>
    <row r="82" spans="1:6" ht="12.6" customHeight="1">
      <c r="A82" s="1575" t="s">
        <v>843</v>
      </c>
      <c r="B82" s="1576" t="s">
        <v>844</v>
      </c>
      <c r="C82" s="1576"/>
      <c r="D82" s="1576"/>
      <c r="E82" s="1576"/>
      <c r="F82" s="1580">
        <f>SUM(F85)</f>
        <v>350160</v>
      </c>
    </row>
    <row r="83" spans="1:6" ht="12.6" customHeight="1">
      <c r="A83" s="1575"/>
      <c r="B83" s="1576"/>
      <c r="C83" s="1576"/>
      <c r="D83" s="1576"/>
      <c r="E83" s="1576"/>
      <c r="F83" s="1581"/>
    </row>
    <row r="84" spans="1:6" ht="12.6" customHeight="1">
      <c r="A84" s="1575"/>
      <c r="B84" s="1576"/>
      <c r="C84" s="1576"/>
      <c r="D84" s="1576"/>
      <c r="E84" s="1576"/>
      <c r="F84" s="1582"/>
    </row>
    <row r="85" spans="1:6" ht="15">
      <c r="A85" s="1574">
        <v>3941</v>
      </c>
      <c r="B85" s="1574"/>
      <c r="C85" s="1577" t="s">
        <v>845</v>
      </c>
      <c r="D85" s="1578"/>
      <c r="E85" s="1579"/>
      <c r="F85" s="941">
        <f>SUM('3d.m.'!G31)</f>
        <v>350160</v>
      </c>
    </row>
    <row r="86" spans="1:6" ht="12.75">
      <c r="A86" s="1575" t="s">
        <v>846</v>
      </c>
      <c r="B86" s="1576" t="s">
        <v>847</v>
      </c>
      <c r="C86" s="1576"/>
      <c r="D86" s="1576"/>
      <c r="E86" s="1576"/>
      <c r="F86" s="1580">
        <f>SUM(F89)</f>
        <v>31200</v>
      </c>
    </row>
    <row r="87" spans="1:6" ht="12.75">
      <c r="A87" s="1575"/>
      <c r="B87" s="1576"/>
      <c r="C87" s="1576"/>
      <c r="D87" s="1576"/>
      <c r="E87" s="1576"/>
      <c r="F87" s="1581"/>
    </row>
    <row r="88" spans="1:6" ht="12.75">
      <c r="A88" s="1575"/>
      <c r="B88" s="1576"/>
      <c r="C88" s="1576"/>
      <c r="D88" s="1576"/>
      <c r="E88" s="1576"/>
      <c r="F88" s="1582"/>
    </row>
    <row r="89" spans="1:6" ht="15">
      <c r="A89" s="1574">
        <v>3207</v>
      </c>
      <c r="B89" s="1574"/>
      <c r="C89" s="1577" t="s">
        <v>290</v>
      </c>
      <c r="D89" s="1578"/>
      <c r="E89" s="1579"/>
      <c r="F89" s="941">
        <f>SUM('3c.m.'!G275)</f>
        <v>31200</v>
      </c>
    </row>
    <row r="90" spans="1:6" ht="12.75">
      <c r="A90" s="1575" t="s">
        <v>848</v>
      </c>
      <c r="B90" s="1576" t="s">
        <v>849</v>
      </c>
      <c r="C90" s="1576"/>
      <c r="D90" s="1576"/>
      <c r="E90" s="1576"/>
      <c r="F90" s="1580">
        <f>SUM(F93:F93)</f>
        <v>976524</v>
      </c>
    </row>
    <row r="91" spans="1:6" ht="12.75">
      <c r="A91" s="1575"/>
      <c r="B91" s="1576"/>
      <c r="C91" s="1576"/>
      <c r="D91" s="1576"/>
      <c r="E91" s="1576"/>
      <c r="F91" s="1581"/>
    </row>
    <row r="92" spans="1:6" ht="12.75">
      <c r="A92" s="1575"/>
      <c r="B92" s="1576"/>
      <c r="C92" s="1576"/>
      <c r="D92" s="1576"/>
      <c r="E92" s="1576"/>
      <c r="F92" s="1582"/>
    </row>
    <row r="93" spans="1:6" ht="15">
      <c r="A93" s="1574">
        <v>3212</v>
      </c>
      <c r="B93" s="1574"/>
      <c r="C93" s="1577" t="s">
        <v>850</v>
      </c>
      <c r="D93" s="1578"/>
      <c r="E93" s="1579"/>
      <c r="F93" s="941">
        <f>SUM('3c.m.'!G318)</f>
        <v>976524</v>
      </c>
    </row>
    <row r="94" spans="1:6" ht="12.6" customHeight="1">
      <c r="A94" s="1575" t="s">
        <v>851</v>
      </c>
      <c r="B94" s="1576" t="s">
        <v>852</v>
      </c>
      <c r="C94" s="1576"/>
      <c r="D94" s="1576"/>
      <c r="E94" s="1576"/>
      <c r="F94" s="1580">
        <f>SUM(F97)</f>
        <v>68107</v>
      </c>
    </row>
    <row r="95" spans="1:6" ht="12.6" customHeight="1">
      <c r="A95" s="1575"/>
      <c r="B95" s="1576"/>
      <c r="C95" s="1576"/>
      <c r="D95" s="1576"/>
      <c r="E95" s="1576"/>
      <c r="F95" s="1581"/>
    </row>
    <row r="96" spans="1:6" ht="12.6" customHeight="1">
      <c r="A96" s="1575"/>
      <c r="B96" s="1576"/>
      <c r="C96" s="1576"/>
      <c r="D96" s="1576"/>
      <c r="E96" s="1576"/>
      <c r="F96" s="1582"/>
    </row>
    <row r="97" spans="1:6" ht="15">
      <c r="A97" s="1574">
        <v>3205</v>
      </c>
      <c r="B97" s="1574"/>
      <c r="C97" s="1577" t="s">
        <v>359</v>
      </c>
      <c r="D97" s="1578"/>
      <c r="E97" s="1579"/>
      <c r="F97" s="941">
        <f>SUM('3c.m.'!G257)</f>
        <v>68107</v>
      </c>
    </row>
    <row r="98" spans="1:6" ht="12.75">
      <c r="A98" s="1575" t="s">
        <v>853</v>
      </c>
      <c r="B98" s="1576" t="s">
        <v>854</v>
      </c>
      <c r="C98" s="1576"/>
      <c r="D98" s="1576"/>
      <c r="E98" s="1576"/>
      <c r="F98" s="1580">
        <f>SUM(F101)</f>
        <v>1905</v>
      </c>
    </row>
    <row r="99" spans="1:6" ht="12.75">
      <c r="A99" s="1575"/>
      <c r="B99" s="1576"/>
      <c r="C99" s="1576"/>
      <c r="D99" s="1576"/>
      <c r="E99" s="1576"/>
      <c r="F99" s="1581"/>
    </row>
    <row r="100" spans="1:6" ht="12.75">
      <c r="A100" s="1575"/>
      <c r="B100" s="1576"/>
      <c r="C100" s="1576"/>
      <c r="D100" s="1576"/>
      <c r="E100" s="1576"/>
      <c r="F100" s="1582"/>
    </row>
    <row r="101" spans="1:6" ht="15">
      <c r="A101" s="1574">
        <v>5037</v>
      </c>
      <c r="B101" s="1574"/>
      <c r="C101" s="1577" t="s">
        <v>1252</v>
      </c>
      <c r="D101" s="1578"/>
      <c r="E101" s="1579"/>
      <c r="F101" s="941">
        <f>SUM('5.mell. '!G31)</f>
        <v>1905</v>
      </c>
    </row>
    <row r="102" spans="1:6" ht="12.75">
      <c r="A102" s="1575" t="s">
        <v>855</v>
      </c>
      <c r="B102" s="1576" t="s">
        <v>856</v>
      </c>
      <c r="C102" s="1576"/>
      <c r="D102" s="1576"/>
      <c r="E102" s="1576"/>
      <c r="F102" s="1580">
        <f>SUM(F105)</f>
        <v>624222</v>
      </c>
    </row>
    <row r="103" spans="1:6" ht="12.75">
      <c r="A103" s="1575"/>
      <c r="B103" s="1576"/>
      <c r="C103" s="1576"/>
      <c r="D103" s="1576"/>
      <c r="E103" s="1576"/>
      <c r="F103" s="1581"/>
    </row>
    <row r="104" spans="1:6" ht="12.75">
      <c r="A104" s="1575"/>
      <c r="B104" s="1576"/>
      <c r="C104" s="1576"/>
      <c r="D104" s="1576"/>
      <c r="E104" s="1576"/>
      <c r="F104" s="1582"/>
    </row>
    <row r="105" spans="1:6" ht="15">
      <c r="A105" s="1574">
        <v>3216</v>
      </c>
      <c r="B105" s="1574"/>
      <c r="C105" s="1577" t="s">
        <v>857</v>
      </c>
      <c r="D105" s="1578"/>
      <c r="E105" s="1579"/>
      <c r="F105" s="941">
        <f>SUM('3c.m.'!G342)</f>
        <v>624222</v>
      </c>
    </row>
    <row r="106" spans="1:6" ht="12.75">
      <c r="A106" s="1575" t="s">
        <v>858</v>
      </c>
      <c r="B106" s="1576" t="s">
        <v>859</v>
      </c>
      <c r="C106" s="1576"/>
      <c r="D106" s="1576"/>
      <c r="E106" s="1576"/>
      <c r="F106" s="1580">
        <f>SUM(F109:F141)</f>
        <v>4373205</v>
      </c>
    </row>
    <row r="107" spans="1:6" ht="12.75">
      <c r="A107" s="1575"/>
      <c r="B107" s="1576"/>
      <c r="C107" s="1576"/>
      <c r="D107" s="1576"/>
      <c r="E107" s="1576"/>
      <c r="F107" s="1581"/>
    </row>
    <row r="108" spans="1:6" ht="12.75">
      <c r="A108" s="1575"/>
      <c r="B108" s="1576"/>
      <c r="C108" s="1576"/>
      <c r="D108" s="1576"/>
      <c r="E108" s="1576"/>
      <c r="F108" s="1582"/>
    </row>
    <row r="109" spans="1:6" ht="15">
      <c r="A109" s="1574">
        <v>3052</v>
      </c>
      <c r="B109" s="1574"/>
      <c r="C109" s="1577" t="s">
        <v>23</v>
      </c>
      <c r="D109" s="1578"/>
      <c r="E109" s="1579"/>
      <c r="F109" s="941">
        <f>SUM('3c.m.'!G17)</f>
        <v>6114</v>
      </c>
    </row>
    <row r="110" spans="1:6" ht="15">
      <c r="A110" s="1574">
        <v>3056</v>
      </c>
      <c r="B110" s="1574"/>
      <c r="C110" s="1577" t="s">
        <v>1033</v>
      </c>
      <c r="D110" s="1578"/>
      <c r="E110" s="1579"/>
      <c r="F110" s="941">
        <f>SUM('3c.m.'!G34)</f>
        <v>39283</v>
      </c>
    </row>
    <row r="111" spans="1:6" ht="15">
      <c r="A111" s="1574">
        <v>3061</v>
      </c>
      <c r="B111" s="1574"/>
      <c r="C111" s="1577" t="s">
        <v>121</v>
      </c>
      <c r="D111" s="1578"/>
      <c r="E111" s="1579"/>
      <c r="F111" s="941">
        <f>SUM('3c.m.'!G43)</f>
        <v>1299</v>
      </c>
    </row>
    <row r="112" spans="1:6" ht="15">
      <c r="A112" s="1574">
        <v>3071</v>
      </c>
      <c r="B112" s="1574"/>
      <c r="C112" s="1577" t="s">
        <v>139</v>
      </c>
      <c r="D112" s="1578"/>
      <c r="E112" s="1579"/>
      <c r="F112" s="941">
        <f>SUM('3c.m.'!G51)</f>
        <v>2251</v>
      </c>
    </row>
    <row r="113" spans="1:6" ht="15">
      <c r="A113" s="1574">
        <v>3072</v>
      </c>
      <c r="B113" s="1574"/>
      <c r="C113" s="1210" t="s">
        <v>1255</v>
      </c>
      <c r="D113" s="1211"/>
      <c r="E113" s="1212"/>
      <c r="F113" s="941">
        <f>SUM('3c.m.'!G59)</f>
        <v>7425</v>
      </c>
    </row>
    <row r="114" spans="1:6" ht="15">
      <c r="A114" s="1574">
        <v>3203</v>
      </c>
      <c r="B114" s="1574"/>
      <c r="C114" s="1577" t="s">
        <v>168</v>
      </c>
      <c r="D114" s="1578"/>
      <c r="E114" s="1579"/>
      <c r="F114" s="941">
        <f>SUM('3c.m.'!G239)</f>
        <v>1000</v>
      </c>
    </row>
    <row r="115" spans="1:6" ht="15">
      <c r="A115" s="1574">
        <v>3204</v>
      </c>
      <c r="B115" s="1574"/>
      <c r="C115" s="1577" t="s">
        <v>1114</v>
      </c>
      <c r="D115" s="1578"/>
      <c r="E115" s="1579"/>
      <c r="F115" s="941">
        <v>5000</v>
      </c>
    </row>
    <row r="116" spans="1:6" ht="15">
      <c r="A116" s="1574">
        <v>3214</v>
      </c>
      <c r="B116" s="1574"/>
      <c r="C116" s="1577" t="s">
        <v>363</v>
      </c>
      <c r="D116" s="1578"/>
      <c r="E116" s="1579"/>
      <c r="F116" s="941">
        <f>SUM('3c.m.'!G334)</f>
        <v>177800</v>
      </c>
    </row>
    <row r="117" spans="1:6" ht="15">
      <c r="A117" s="1574">
        <v>3224</v>
      </c>
      <c r="B117" s="1574"/>
      <c r="C117" s="1577" t="s">
        <v>1195</v>
      </c>
      <c r="D117" s="1578"/>
      <c r="E117" s="1579"/>
      <c r="F117" s="941">
        <f>SUM('3c.m.'!G359)</f>
        <v>15000</v>
      </c>
    </row>
    <row r="118" spans="1:6" ht="15">
      <c r="A118" s="1574">
        <v>3424</v>
      </c>
      <c r="B118" s="1574"/>
      <c r="C118" s="1577" t="s">
        <v>296</v>
      </c>
      <c r="D118" s="1578"/>
      <c r="E118" s="1579"/>
      <c r="F118" s="941">
        <f>SUM('3c.m.'!G781)</f>
        <v>18673</v>
      </c>
    </row>
    <row r="119" spans="1:6" ht="15">
      <c r="A119" s="1574">
        <v>3425</v>
      </c>
      <c r="B119" s="1574"/>
      <c r="C119" s="1577" t="s">
        <v>40</v>
      </c>
      <c r="D119" s="1578"/>
      <c r="E119" s="1579"/>
      <c r="F119" s="941">
        <f>SUM('3c.m.'!G789)</f>
        <v>10619</v>
      </c>
    </row>
    <row r="120" spans="1:6" ht="15">
      <c r="A120" s="1574">
        <v>3427</v>
      </c>
      <c r="B120" s="1574"/>
      <c r="C120" s="1577" t="s">
        <v>41</v>
      </c>
      <c r="D120" s="1578"/>
      <c r="E120" s="1579"/>
      <c r="F120" s="941"/>
    </row>
    <row r="121" spans="1:6" ht="15">
      <c r="A121" s="1574">
        <v>3928</v>
      </c>
      <c r="B121" s="1574"/>
      <c r="C121" s="1577" t="s">
        <v>153</v>
      </c>
      <c r="D121" s="1578"/>
      <c r="E121" s="1579"/>
      <c r="F121" s="941">
        <f>SUM('3d.m.'!G17)</f>
        <v>449104</v>
      </c>
    </row>
    <row r="122" spans="1:6" ht="15">
      <c r="A122" s="1574">
        <v>3112</v>
      </c>
      <c r="B122" s="1574"/>
      <c r="C122" s="1577" t="s">
        <v>424</v>
      </c>
      <c r="D122" s="1578"/>
      <c r="E122" s="1579"/>
      <c r="F122" s="941">
        <f>SUM('3c.m.'!G86)</f>
        <v>53955</v>
      </c>
    </row>
    <row r="123" spans="1:6" ht="15">
      <c r="A123" s="1574">
        <v>3911</v>
      </c>
      <c r="B123" s="1574"/>
      <c r="C123" s="1577" t="s">
        <v>860</v>
      </c>
      <c r="D123" s="1578"/>
      <c r="E123" s="1579"/>
      <c r="F123" s="948">
        <f>SUM('3d.m.'!G9)</f>
        <v>19173</v>
      </c>
    </row>
    <row r="124" spans="1:6" ht="15">
      <c r="A124" s="1574">
        <v>4012</v>
      </c>
      <c r="B124" s="1574"/>
      <c r="C124" s="1577" t="s">
        <v>861</v>
      </c>
      <c r="D124" s="1578"/>
      <c r="E124" s="1579"/>
      <c r="F124" s="948">
        <f>SUM('4.mell.'!G10)</f>
        <v>389689</v>
      </c>
    </row>
    <row r="125" spans="1:6" ht="15">
      <c r="A125" s="1574">
        <v>4013</v>
      </c>
      <c r="B125" s="1574"/>
      <c r="C125" s="1577" t="s">
        <v>1126</v>
      </c>
      <c r="D125" s="1578"/>
      <c r="E125" s="1579"/>
      <c r="F125" s="948">
        <f>SUM('4.mell.'!G14)</f>
        <v>1000</v>
      </c>
    </row>
    <row r="126" spans="1:6" ht="15">
      <c r="A126" s="1574">
        <v>4014</v>
      </c>
      <c r="B126" s="1574"/>
      <c r="C126" s="1577" t="s">
        <v>501</v>
      </c>
      <c r="D126" s="1578"/>
      <c r="E126" s="1579"/>
      <c r="F126" s="941">
        <f>SUM('4.mell.'!G15)</f>
        <v>253133</v>
      </c>
    </row>
    <row r="127" spans="1:6" ht="15">
      <c r="A127" s="1574">
        <v>4017</v>
      </c>
      <c r="B127" s="1574"/>
      <c r="C127" s="1210" t="s">
        <v>1230</v>
      </c>
      <c r="D127" s="1211"/>
      <c r="E127" s="1212"/>
      <c r="F127" s="941">
        <f>SUM('4.mell.'!G16)</f>
        <v>359999</v>
      </c>
    </row>
    <row r="128" spans="1:6" ht="15">
      <c r="A128" s="1574">
        <v>4019</v>
      </c>
      <c r="B128" s="1574"/>
      <c r="C128" s="1210" t="s">
        <v>1251</v>
      </c>
      <c r="D128" s="1211"/>
      <c r="E128" s="1212"/>
      <c r="F128" s="941">
        <f>SUM('4.mell.'!G17)</f>
        <v>119000</v>
      </c>
    </row>
    <row r="129" spans="1:6" ht="15">
      <c r="A129" s="1574">
        <v>4120</v>
      </c>
      <c r="B129" s="1574"/>
      <c r="C129" s="1577" t="s">
        <v>1022</v>
      </c>
      <c r="D129" s="1578"/>
      <c r="E129" s="1579"/>
      <c r="F129" s="941">
        <f>SUM('4.mell.'!G23)</f>
        <v>750000</v>
      </c>
    </row>
    <row r="130" spans="1:6" ht="15">
      <c r="A130" s="1574">
        <v>4132</v>
      </c>
      <c r="B130" s="1574"/>
      <c r="C130" s="1577" t="s">
        <v>124</v>
      </c>
      <c r="D130" s="1578"/>
      <c r="E130" s="1579"/>
      <c r="F130" s="941">
        <f>SUM('4.mell.'!G42)</f>
        <v>32276</v>
      </c>
    </row>
    <row r="131" spans="1:6" ht="15">
      <c r="A131" s="1574">
        <v>4324</v>
      </c>
      <c r="B131" s="1574"/>
      <c r="C131" s="1577" t="s">
        <v>1298</v>
      </c>
      <c r="D131" s="1578"/>
      <c r="E131" s="1579"/>
      <c r="F131" s="941">
        <v>800000</v>
      </c>
    </row>
    <row r="132" spans="1:6" ht="15">
      <c r="A132" s="1574">
        <v>5012</v>
      </c>
      <c r="B132" s="1574"/>
      <c r="C132" s="1577" t="s">
        <v>425</v>
      </c>
      <c r="D132" s="1578"/>
      <c r="E132" s="1579"/>
      <c r="F132" s="941">
        <f>SUM('5.mell. '!G11)</f>
        <v>2008</v>
      </c>
    </row>
    <row r="133" spans="1:6" ht="15">
      <c r="A133" s="1574">
        <v>5013</v>
      </c>
      <c r="B133" s="1574"/>
      <c r="C133" s="1167" t="s">
        <v>1057</v>
      </c>
      <c r="D133" s="944"/>
      <c r="E133" s="945"/>
      <c r="F133" s="948">
        <f>SUM('5.mell. '!G12)</f>
        <v>0</v>
      </c>
    </row>
    <row r="134" spans="1:6" ht="15">
      <c r="A134" s="1574">
        <v>5014</v>
      </c>
      <c r="B134" s="1574"/>
      <c r="C134" s="1007" t="s">
        <v>1069</v>
      </c>
      <c r="D134" s="944"/>
      <c r="E134" s="945"/>
      <c r="F134" s="948">
        <f>SUM('5.mell. '!G13)</f>
        <v>7000</v>
      </c>
    </row>
    <row r="135" spans="1:6" ht="15">
      <c r="A135" s="1574">
        <v>3927</v>
      </c>
      <c r="B135" s="1574"/>
      <c r="C135" s="1007" t="s">
        <v>1151</v>
      </c>
      <c r="D135" s="944"/>
      <c r="E135" s="945"/>
      <c r="F135" s="948">
        <f>SUM('3d.m.'!G16)</f>
        <v>3000</v>
      </c>
    </row>
    <row r="136" spans="1:6" ht="15">
      <c r="A136" s="1574">
        <v>5015</v>
      </c>
      <c r="B136" s="1574"/>
      <c r="C136" s="1165" t="s">
        <v>1075</v>
      </c>
      <c r="D136" s="1166"/>
      <c r="E136" s="945"/>
      <c r="F136" s="948">
        <f>SUM('5.mell. '!G14)</f>
        <v>10000</v>
      </c>
    </row>
    <row r="137" spans="1:6" ht="15">
      <c r="A137" s="1574">
        <v>5016</v>
      </c>
      <c r="B137" s="1574"/>
      <c r="C137" s="1577" t="s">
        <v>1130</v>
      </c>
      <c r="D137" s="1578"/>
      <c r="E137" s="1579"/>
      <c r="F137" s="948">
        <f>SUM('5.mell. '!G15)</f>
        <v>60000</v>
      </c>
    </row>
    <row r="138" spans="1:6" ht="15">
      <c r="A138" s="1574">
        <v>5024</v>
      </c>
      <c r="B138" s="1574"/>
      <c r="C138" s="1577" t="s">
        <v>1139</v>
      </c>
      <c r="D138" s="1578"/>
      <c r="E138" s="1579"/>
      <c r="F138" s="948">
        <f>SUM('5.mell. '!G20)</f>
        <v>185882</v>
      </c>
    </row>
    <row r="139" spans="1:6" ht="15">
      <c r="A139" s="1574">
        <v>5039</v>
      </c>
      <c r="B139" s="1574"/>
      <c r="C139" s="1210" t="s">
        <v>1233</v>
      </c>
      <c r="D139" s="1211"/>
      <c r="E139" s="1212"/>
      <c r="F139" s="948">
        <f>SUM('5.mell. '!G32)</f>
        <v>13223</v>
      </c>
    </row>
    <row r="140" spans="1:6" ht="15">
      <c r="A140" s="1574">
        <v>2975</v>
      </c>
      <c r="B140" s="1574"/>
      <c r="C140" s="1577" t="s">
        <v>1148</v>
      </c>
      <c r="D140" s="1578"/>
      <c r="E140" s="1579"/>
      <c r="F140" s="941">
        <v>32783</v>
      </c>
    </row>
    <row r="141" spans="1:7" ht="15">
      <c r="A141" s="1574">
        <v>5035</v>
      </c>
      <c r="B141" s="1574"/>
      <c r="C141" s="1577" t="s">
        <v>506</v>
      </c>
      <c r="D141" s="1578"/>
      <c r="E141" s="1579"/>
      <c r="F141" s="1218">
        <f>SUM('5.mell. '!G29)</f>
        <v>547516</v>
      </c>
      <c r="G141" s="59"/>
    </row>
    <row r="142" spans="1:6" ht="12.6" customHeight="1">
      <c r="A142" s="1575" t="s">
        <v>862</v>
      </c>
      <c r="B142" s="1576" t="s">
        <v>863</v>
      </c>
      <c r="C142" s="1576"/>
      <c r="D142" s="1576"/>
      <c r="E142" s="1576"/>
      <c r="F142" s="1580">
        <f>SUM(F145:F147)</f>
        <v>308800</v>
      </c>
    </row>
    <row r="143" spans="1:6" ht="12.6" customHeight="1">
      <c r="A143" s="1575"/>
      <c r="B143" s="1576"/>
      <c r="C143" s="1576"/>
      <c r="D143" s="1576"/>
      <c r="E143" s="1576"/>
      <c r="F143" s="1581"/>
    </row>
    <row r="144" spans="1:6" ht="12.6" customHeight="1">
      <c r="A144" s="1575"/>
      <c r="B144" s="1576"/>
      <c r="C144" s="1576"/>
      <c r="D144" s="1576"/>
      <c r="E144" s="1576"/>
      <c r="F144" s="1582"/>
    </row>
    <row r="145" spans="1:6" ht="12.6" customHeight="1">
      <c r="A145" s="1574">
        <v>3944</v>
      </c>
      <c r="B145" s="1574"/>
      <c r="C145" s="1577" t="s">
        <v>420</v>
      </c>
      <c r="D145" s="1578"/>
      <c r="E145" s="1579"/>
      <c r="F145" s="941">
        <f>SUM('3d.m.'!G38)</f>
        <v>20000</v>
      </c>
    </row>
    <row r="146" spans="1:6" ht="12.6" customHeight="1">
      <c r="A146" s="1574">
        <v>3945</v>
      </c>
      <c r="B146" s="1574"/>
      <c r="C146" s="1577" t="s">
        <v>1146</v>
      </c>
      <c r="D146" s="1578"/>
      <c r="E146" s="1579"/>
      <c r="F146" s="941">
        <f>SUM('3d.m.'!G39)</f>
        <v>21000</v>
      </c>
    </row>
    <row r="147" spans="1:6" ht="15">
      <c r="A147" s="1574">
        <v>3302</v>
      </c>
      <c r="B147" s="1574"/>
      <c r="C147" s="1577" t="s">
        <v>864</v>
      </c>
      <c r="D147" s="1578"/>
      <c r="E147" s="1579"/>
      <c r="F147" s="941">
        <f>SUM('3c.m.'!G376)</f>
        <v>267800</v>
      </c>
    </row>
    <row r="148" spans="1:6" ht="12.6" customHeight="1">
      <c r="A148" s="1575" t="s">
        <v>865</v>
      </c>
      <c r="B148" s="1576" t="s">
        <v>866</v>
      </c>
      <c r="C148" s="1576"/>
      <c r="D148" s="1576"/>
      <c r="E148" s="1576"/>
      <c r="F148" s="1580">
        <f>SUM(F151)</f>
        <v>12208</v>
      </c>
    </row>
    <row r="149" spans="1:6" ht="12.6" customHeight="1">
      <c r="A149" s="1575"/>
      <c r="B149" s="1576"/>
      <c r="C149" s="1576"/>
      <c r="D149" s="1576"/>
      <c r="E149" s="1576"/>
      <c r="F149" s="1581"/>
    </row>
    <row r="150" spans="1:6" ht="12.6" customHeight="1">
      <c r="A150" s="1575"/>
      <c r="B150" s="1576"/>
      <c r="C150" s="1576"/>
      <c r="D150" s="1576"/>
      <c r="E150" s="1576"/>
      <c r="F150" s="1582"/>
    </row>
    <row r="151" spans="1:6" ht="12.6" customHeight="1">
      <c r="A151" s="1574">
        <v>3357</v>
      </c>
      <c r="B151" s="1574"/>
      <c r="C151" s="1577" t="s">
        <v>867</v>
      </c>
      <c r="D151" s="1578"/>
      <c r="E151" s="1579"/>
      <c r="F151" s="941">
        <f>SUM('3c.m.'!G681)</f>
        <v>12208</v>
      </c>
    </row>
    <row r="152" spans="1:6" ht="12.75">
      <c r="A152" s="1575" t="s">
        <v>868</v>
      </c>
      <c r="B152" s="1576" t="s">
        <v>869</v>
      </c>
      <c r="C152" s="1576"/>
      <c r="D152" s="1576"/>
      <c r="E152" s="1576"/>
      <c r="F152" s="1580">
        <f>SUM(F155:F155)</f>
        <v>16890</v>
      </c>
    </row>
    <row r="153" spans="1:6" ht="12.75">
      <c r="A153" s="1575"/>
      <c r="B153" s="1576"/>
      <c r="C153" s="1576"/>
      <c r="D153" s="1576"/>
      <c r="E153" s="1576"/>
      <c r="F153" s="1581"/>
    </row>
    <row r="154" spans="1:6" ht="12.75">
      <c r="A154" s="1575"/>
      <c r="B154" s="1576"/>
      <c r="C154" s="1576"/>
      <c r="D154" s="1576"/>
      <c r="E154" s="1576"/>
      <c r="F154" s="1582"/>
    </row>
    <row r="155" spans="1:6" ht="15">
      <c r="A155" s="1574">
        <v>3301</v>
      </c>
      <c r="B155" s="1574"/>
      <c r="C155" s="1577" t="s">
        <v>150</v>
      </c>
      <c r="D155" s="1578"/>
      <c r="E155" s="1579"/>
      <c r="F155" s="941">
        <f>SUM('3c.m.'!G368)</f>
        <v>16890</v>
      </c>
    </row>
    <row r="156" spans="1:6" ht="12.75">
      <c r="A156" s="1575" t="s">
        <v>870</v>
      </c>
      <c r="B156" s="1576" t="s">
        <v>871</v>
      </c>
      <c r="C156" s="1576"/>
      <c r="D156" s="1576"/>
      <c r="E156" s="1576"/>
      <c r="F156" s="1580">
        <f>SUM(F159)</f>
        <v>22500</v>
      </c>
    </row>
    <row r="157" spans="1:6" ht="12.75">
      <c r="A157" s="1575"/>
      <c r="B157" s="1576"/>
      <c r="C157" s="1576"/>
      <c r="D157" s="1576"/>
      <c r="E157" s="1576"/>
      <c r="F157" s="1581"/>
    </row>
    <row r="158" spans="1:6" ht="12.75">
      <c r="A158" s="1575"/>
      <c r="B158" s="1576"/>
      <c r="C158" s="1576"/>
      <c r="D158" s="1576"/>
      <c r="E158" s="1576"/>
      <c r="F158" s="1582"/>
    </row>
    <row r="159" spans="1:6" ht="15">
      <c r="A159" s="1574">
        <v>3416</v>
      </c>
      <c r="B159" s="1574"/>
      <c r="C159" s="1577" t="s">
        <v>173</v>
      </c>
      <c r="D159" s="1578"/>
      <c r="E159" s="1579"/>
      <c r="F159" s="941">
        <f>SUM('3c.m.'!G748)</f>
        <v>22500</v>
      </c>
    </row>
    <row r="160" spans="1:6" ht="12.75">
      <c r="A160" s="1575" t="s">
        <v>872</v>
      </c>
      <c r="B160" s="1576" t="s">
        <v>873</v>
      </c>
      <c r="C160" s="1576"/>
      <c r="D160" s="1576"/>
      <c r="E160" s="1576"/>
      <c r="F160" s="1580">
        <f>SUM(F163:F163)</f>
        <v>5110</v>
      </c>
    </row>
    <row r="161" spans="1:6" ht="12.75">
      <c r="A161" s="1575"/>
      <c r="B161" s="1576"/>
      <c r="C161" s="1576"/>
      <c r="D161" s="1576"/>
      <c r="E161" s="1576"/>
      <c r="F161" s="1581"/>
    </row>
    <row r="162" spans="1:6" ht="12.75">
      <c r="A162" s="1575"/>
      <c r="B162" s="1576"/>
      <c r="C162" s="1576"/>
      <c r="D162" s="1576"/>
      <c r="E162" s="1576"/>
      <c r="F162" s="1582"/>
    </row>
    <row r="163" spans="1:6" ht="15">
      <c r="A163" s="1574">
        <v>3413</v>
      </c>
      <c r="B163" s="1574"/>
      <c r="C163" s="1577" t="s">
        <v>140</v>
      </c>
      <c r="D163" s="1578"/>
      <c r="E163" s="1579"/>
      <c r="F163" s="941">
        <f>SUM('3c.m.'!G723)</f>
        <v>5110</v>
      </c>
    </row>
    <row r="164" spans="1:6" ht="12.75">
      <c r="A164" s="1575" t="s">
        <v>874</v>
      </c>
      <c r="B164" s="1576" t="s">
        <v>875</v>
      </c>
      <c r="C164" s="1576"/>
      <c r="D164" s="1576"/>
      <c r="E164" s="1576"/>
      <c r="F164" s="1580">
        <f>SUM(F167:F170)</f>
        <v>55575</v>
      </c>
    </row>
    <row r="165" spans="1:6" ht="12.75">
      <c r="A165" s="1575"/>
      <c r="B165" s="1576"/>
      <c r="C165" s="1576"/>
      <c r="D165" s="1576"/>
      <c r="E165" s="1576"/>
      <c r="F165" s="1581"/>
    </row>
    <row r="166" spans="1:6" ht="12.75">
      <c r="A166" s="1575"/>
      <c r="B166" s="1576"/>
      <c r="C166" s="1576"/>
      <c r="D166" s="1576"/>
      <c r="E166" s="1576"/>
      <c r="F166" s="1582"/>
    </row>
    <row r="167" spans="1:6" ht="15">
      <c r="A167" s="1574">
        <v>3412</v>
      </c>
      <c r="B167" s="1574"/>
      <c r="C167" s="1577" t="s">
        <v>391</v>
      </c>
      <c r="D167" s="1578"/>
      <c r="E167" s="1579"/>
      <c r="F167" s="941">
        <f>SUM('3c.m.'!G715)</f>
        <v>39575</v>
      </c>
    </row>
    <row r="168" spans="1:6" ht="15">
      <c r="A168" s="1574">
        <v>3414</v>
      </c>
      <c r="B168" s="1574"/>
      <c r="C168" s="1577" t="s">
        <v>83</v>
      </c>
      <c r="D168" s="1578"/>
      <c r="E168" s="1579"/>
      <c r="F168" s="941">
        <f>SUM('3c.m.'!G732)</f>
        <v>4500</v>
      </c>
    </row>
    <row r="169" spans="1:6" ht="15">
      <c r="A169" s="1574">
        <v>3924</v>
      </c>
      <c r="B169" s="1574"/>
      <c r="C169" s="1577" t="s">
        <v>1147</v>
      </c>
      <c r="D169" s="1578"/>
      <c r="E169" s="1579"/>
      <c r="F169" s="941">
        <f>SUM('3d.m.'!G14)</f>
        <v>9000</v>
      </c>
    </row>
    <row r="170" spans="1:6" ht="15">
      <c r="A170" s="1574">
        <v>3415</v>
      </c>
      <c r="B170" s="1574"/>
      <c r="C170" s="1577" t="s">
        <v>58</v>
      </c>
      <c r="D170" s="1578"/>
      <c r="E170" s="1579"/>
      <c r="F170" s="941">
        <f>SUM('3c.m.'!G740)</f>
        <v>2500</v>
      </c>
    </row>
    <row r="171" spans="1:6" ht="12.75">
      <c r="A171" s="1575" t="s">
        <v>876</v>
      </c>
      <c r="B171" s="1576" t="s">
        <v>877</v>
      </c>
      <c r="C171" s="1576"/>
      <c r="D171" s="1576"/>
      <c r="E171" s="1576"/>
      <c r="F171" s="1580">
        <f>SUM(F174)</f>
        <v>37757</v>
      </c>
    </row>
    <row r="172" spans="1:6" ht="12.75">
      <c r="A172" s="1575"/>
      <c r="B172" s="1576"/>
      <c r="C172" s="1576"/>
      <c r="D172" s="1576"/>
      <c r="E172" s="1576"/>
      <c r="F172" s="1581"/>
    </row>
    <row r="173" spans="1:6" ht="12.75">
      <c r="A173" s="1575"/>
      <c r="B173" s="1576"/>
      <c r="C173" s="1576"/>
      <c r="D173" s="1576"/>
      <c r="E173" s="1576"/>
      <c r="F173" s="1582"/>
    </row>
    <row r="174" spans="1:8" ht="15">
      <c r="A174" s="1574">
        <v>2795</v>
      </c>
      <c r="B174" s="1574"/>
      <c r="C174" s="1577" t="s">
        <v>878</v>
      </c>
      <c r="D174" s="1578"/>
      <c r="E174" s="1579"/>
      <c r="F174" s="941">
        <v>37757</v>
      </c>
      <c r="G174" s="59"/>
      <c r="H174" s="59"/>
    </row>
    <row r="175" spans="1:6" ht="12.75">
      <c r="A175" s="1575" t="s">
        <v>879</v>
      </c>
      <c r="B175" s="1576" t="s">
        <v>880</v>
      </c>
      <c r="C175" s="1576"/>
      <c r="D175" s="1576"/>
      <c r="E175" s="1576"/>
      <c r="F175" s="1580">
        <f>SUM(F178:F181)</f>
        <v>49134</v>
      </c>
    </row>
    <row r="176" spans="1:6" ht="12.75">
      <c r="A176" s="1575"/>
      <c r="B176" s="1576"/>
      <c r="C176" s="1576"/>
      <c r="D176" s="1576"/>
      <c r="E176" s="1576"/>
      <c r="F176" s="1581"/>
    </row>
    <row r="177" spans="1:6" ht="12.75">
      <c r="A177" s="1575"/>
      <c r="B177" s="1576"/>
      <c r="C177" s="1576"/>
      <c r="D177" s="1576"/>
      <c r="E177" s="1576"/>
      <c r="F177" s="1582"/>
    </row>
    <row r="178" spans="1:6" ht="15">
      <c r="A178" s="1574">
        <v>3421</v>
      </c>
      <c r="B178" s="1574"/>
      <c r="C178" s="1577" t="s">
        <v>405</v>
      </c>
      <c r="D178" s="1578"/>
      <c r="E178" s="1579"/>
      <c r="F178" s="941">
        <f>SUM('3c.m.'!G757)</f>
        <v>36634</v>
      </c>
    </row>
    <row r="179" spans="1:6" ht="15">
      <c r="A179" s="1574">
        <v>3429</v>
      </c>
      <c r="B179" s="1574"/>
      <c r="C179" s="1577" t="s">
        <v>29</v>
      </c>
      <c r="D179" s="1578"/>
      <c r="E179" s="1579"/>
      <c r="F179" s="941">
        <f>SUM('3c.m.'!G813)</f>
        <v>2500</v>
      </c>
    </row>
    <row r="180" spans="1:6" ht="15">
      <c r="A180" s="1574">
        <v>3431</v>
      </c>
      <c r="B180" s="1574"/>
      <c r="C180" s="1577" t="s">
        <v>534</v>
      </c>
      <c r="D180" s="1578"/>
      <c r="E180" s="1579"/>
      <c r="F180" s="941">
        <f>SUM('3c.m.'!G821)</f>
        <v>5000</v>
      </c>
    </row>
    <row r="181" spans="1:6" ht="15">
      <c r="A181" s="1574">
        <v>3432</v>
      </c>
      <c r="B181" s="1574"/>
      <c r="C181" s="1577" t="s">
        <v>881</v>
      </c>
      <c r="D181" s="1578"/>
      <c r="E181" s="1579"/>
      <c r="F181" s="941">
        <f>SUM('3c.m.'!G829)</f>
        <v>5000</v>
      </c>
    </row>
    <row r="182" spans="1:6" ht="12.75">
      <c r="A182" s="1575" t="s">
        <v>882</v>
      </c>
      <c r="B182" s="1576" t="s">
        <v>883</v>
      </c>
      <c r="C182" s="1576"/>
      <c r="D182" s="1576"/>
      <c r="E182" s="1576"/>
      <c r="F182" s="1580">
        <f>SUM(F185:F185)</f>
        <v>253779</v>
      </c>
    </row>
    <row r="183" spans="1:6" ht="12.75">
      <c r="A183" s="1575"/>
      <c r="B183" s="1576"/>
      <c r="C183" s="1576"/>
      <c r="D183" s="1576"/>
      <c r="E183" s="1576"/>
      <c r="F183" s="1581"/>
    </row>
    <row r="184" spans="1:6" ht="12.75">
      <c r="A184" s="1575"/>
      <c r="B184" s="1576"/>
      <c r="C184" s="1576"/>
      <c r="D184" s="1576"/>
      <c r="E184" s="1576"/>
      <c r="F184" s="1582"/>
    </row>
    <row r="185" spans="1:6" ht="15">
      <c r="A185" s="1574">
        <v>2986</v>
      </c>
      <c r="B185" s="1574"/>
      <c r="C185" s="1577" t="s">
        <v>607</v>
      </c>
      <c r="D185" s="1578"/>
      <c r="E185" s="1579"/>
      <c r="F185" s="941">
        <v>253779</v>
      </c>
    </row>
    <row r="186" spans="1:6" ht="12.6" customHeight="1">
      <c r="A186" s="1575" t="s">
        <v>884</v>
      </c>
      <c r="B186" s="1576" t="s">
        <v>885</v>
      </c>
      <c r="C186" s="1576"/>
      <c r="D186" s="1576"/>
      <c r="E186" s="1576"/>
      <c r="F186" s="1580">
        <f>SUM(F189)</f>
        <v>237875</v>
      </c>
    </row>
    <row r="187" spans="1:6" ht="12.6" customHeight="1">
      <c r="A187" s="1575"/>
      <c r="B187" s="1576"/>
      <c r="C187" s="1576"/>
      <c r="D187" s="1576"/>
      <c r="E187" s="1576"/>
      <c r="F187" s="1581"/>
    </row>
    <row r="188" spans="1:6" ht="12.6" customHeight="1">
      <c r="A188" s="1575"/>
      <c r="B188" s="1576"/>
      <c r="C188" s="1576"/>
      <c r="D188" s="1576"/>
      <c r="E188" s="1576"/>
      <c r="F188" s="1582"/>
    </row>
    <row r="189" spans="1:6" ht="15">
      <c r="A189" s="1574">
        <v>2985</v>
      </c>
      <c r="B189" s="1574"/>
      <c r="C189" s="1577" t="s">
        <v>605</v>
      </c>
      <c r="D189" s="1578"/>
      <c r="E189" s="1579"/>
      <c r="F189" s="941">
        <v>237875</v>
      </c>
    </row>
    <row r="190" spans="1:6" ht="12.75">
      <c r="A190" s="1575" t="s">
        <v>886</v>
      </c>
      <c r="B190" s="1576" t="s">
        <v>887</v>
      </c>
      <c r="C190" s="1576"/>
      <c r="D190" s="1576"/>
      <c r="E190" s="1576"/>
      <c r="F190" s="1580">
        <f>SUM(F193)</f>
        <v>33014</v>
      </c>
    </row>
    <row r="191" spans="1:6" ht="12.75">
      <c r="A191" s="1575"/>
      <c r="B191" s="1576"/>
      <c r="C191" s="1576"/>
      <c r="D191" s="1576"/>
      <c r="E191" s="1576"/>
      <c r="F191" s="1581"/>
    </row>
    <row r="192" spans="1:6" ht="12.75">
      <c r="A192" s="1575"/>
      <c r="B192" s="1576"/>
      <c r="C192" s="1576"/>
      <c r="D192" s="1576"/>
      <c r="E192" s="1576"/>
      <c r="F192" s="1582"/>
    </row>
    <row r="193" spans="1:6" ht="15">
      <c r="A193" s="1574">
        <v>2985</v>
      </c>
      <c r="B193" s="1574"/>
      <c r="C193" s="1577" t="s">
        <v>605</v>
      </c>
      <c r="D193" s="1578"/>
      <c r="E193" s="1579"/>
      <c r="F193" s="941">
        <v>33014</v>
      </c>
    </row>
    <row r="194" spans="1:6" ht="12.75">
      <c r="A194" s="1575" t="s">
        <v>888</v>
      </c>
      <c r="B194" s="1576" t="s">
        <v>889</v>
      </c>
      <c r="C194" s="1576"/>
      <c r="D194" s="1576"/>
      <c r="E194" s="1576"/>
      <c r="F194" s="1580">
        <f>SUM(F197:F198)</f>
        <v>3000</v>
      </c>
    </row>
    <row r="195" spans="1:6" ht="12.75">
      <c r="A195" s="1575"/>
      <c r="B195" s="1576"/>
      <c r="C195" s="1576"/>
      <c r="D195" s="1576"/>
      <c r="E195" s="1576"/>
      <c r="F195" s="1581"/>
    </row>
    <row r="196" spans="1:6" ht="12.75">
      <c r="A196" s="1575"/>
      <c r="B196" s="1576"/>
      <c r="C196" s="1576"/>
      <c r="D196" s="1576"/>
      <c r="E196" s="1576"/>
      <c r="F196" s="1582"/>
    </row>
    <row r="197" spans="1:6" ht="15">
      <c r="A197" s="1574">
        <v>2985</v>
      </c>
      <c r="B197" s="1574"/>
      <c r="C197" s="1577" t="s">
        <v>605</v>
      </c>
      <c r="D197" s="1578"/>
      <c r="E197" s="1579"/>
      <c r="F197" s="941"/>
    </row>
    <row r="198" spans="1:6" ht="15">
      <c r="A198" s="1574">
        <v>3428</v>
      </c>
      <c r="B198" s="1574"/>
      <c r="C198" s="1577" t="s">
        <v>7</v>
      </c>
      <c r="D198" s="1578"/>
      <c r="E198" s="1579"/>
      <c r="F198" s="948">
        <f>SUM('3c.m.'!G805)</f>
        <v>3000</v>
      </c>
    </row>
    <row r="199" spans="1:6" ht="12.75">
      <c r="A199" s="1575" t="s">
        <v>890</v>
      </c>
      <c r="B199" s="1576" t="s">
        <v>891</v>
      </c>
      <c r="C199" s="1576"/>
      <c r="D199" s="1576"/>
      <c r="E199" s="1576"/>
      <c r="F199" s="1580">
        <f>SUM(F202:F204)</f>
        <v>49510</v>
      </c>
    </row>
    <row r="200" spans="1:6" ht="12.75">
      <c r="A200" s="1575"/>
      <c r="B200" s="1576"/>
      <c r="C200" s="1576"/>
      <c r="D200" s="1576"/>
      <c r="E200" s="1576"/>
      <c r="F200" s="1581"/>
    </row>
    <row r="201" spans="1:6" ht="12.75">
      <c r="A201" s="1575"/>
      <c r="B201" s="1576"/>
      <c r="C201" s="1576"/>
      <c r="D201" s="1576"/>
      <c r="E201" s="1576"/>
      <c r="F201" s="1582"/>
    </row>
    <row r="202" spans="1:6" ht="15">
      <c r="A202" s="1574">
        <v>2795</v>
      </c>
      <c r="B202" s="1574"/>
      <c r="C202" s="1577" t="s">
        <v>878</v>
      </c>
      <c r="D202" s="1578"/>
      <c r="E202" s="1579"/>
      <c r="F202" s="950"/>
    </row>
    <row r="203" spans="1:6" ht="15">
      <c r="A203" s="1574">
        <v>5062</v>
      </c>
      <c r="B203" s="1574"/>
      <c r="C203" s="1210" t="s">
        <v>1254</v>
      </c>
      <c r="D203" s="1211"/>
      <c r="E203" s="1212"/>
      <c r="F203" s="950">
        <f>SUM('5.mell. '!G36)</f>
        <v>1553</v>
      </c>
    </row>
    <row r="204" spans="1:6" ht="15">
      <c r="A204" s="1574">
        <v>3422</v>
      </c>
      <c r="B204" s="1574"/>
      <c r="C204" s="1577" t="s">
        <v>142</v>
      </c>
      <c r="D204" s="1578"/>
      <c r="E204" s="1579"/>
      <c r="F204" s="941">
        <f>SUM('3c.m.'!G765)</f>
        <v>47957</v>
      </c>
    </row>
    <row r="205" spans="1:6" ht="12.6" customHeight="1">
      <c r="A205" s="1575" t="s">
        <v>892</v>
      </c>
      <c r="B205" s="1576" t="s">
        <v>893</v>
      </c>
      <c r="C205" s="1576"/>
      <c r="D205" s="1576"/>
      <c r="E205" s="1576"/>
      <c r="F205" s="1580">
        <f>SUM(F208:F209)</f>
        <v>96002</v>
      </c>
    </row>
    <row r="206" spans="1:6" ht="12.6" customHeight="1">
      <c r="A206" s="1575"/>
      <c r="B206" s="1576"/>
      <c r="C206" s="1576"/>
      <c r="D206" s="1576"/>
      <c r="E206" s="1576"/>
      <c r="F206" s="1581"/>
    </row>
    <row r="207" spans="1:6" ht="12.6" customHeight="1">
      <c r="A207" s="1575"/>
      <c r="B207" s="1576"/>
      <c r="C207" s="1576"/>
      <c r="D207" s="1576"/>
      <c r="E207" s="1576"/>
      <c r="F207" s="1582"/>
    </row>
    <row r="208" spans="1:6" ht="15">
      <c r="A208" s="1574">
        <v>3360</v>
      </c>
      <c r="B208" s="1574"/>
      <c r="C208" s="1577" t="s">
        <v>390</v>
      </c>
      <c r="D208" s="1578"/>
      <c r="E208" s="1579"/>
      <c r="F208" s="941">
        <f>SUM('3c.m.'!G697)</f>
        <v>4000</v>
      </c>
    </row>
    <row r="209" spans="1:6" ht="15">
      <c r="A209" s="1574">
        <v>3426</v>
      </c>
      <c r="B209" s="1574"/>
      <c r="C209" s="1577" t="s">
        <v>362</v>
      </c>
      <c r="D209" s="1578"/>
      <c r="E209" s="1579"/>
      <c r="F209" s="941">
        <f>SUM('3c.m.'!G797)</f>
        <v>92002</v>
      </c>
    </row>
    <row r="210" spans="1:6" ht="12.75">
      <c r="A210" s="1575" t="s">
        <v>894</v>
      </c>
      <c r="B210" s="1576" t="s">
        <v>895</v>
      </c>
      <c r="C210" s="1576"/>
      <c r="D210" s="1576"/>
      <c r="E210" s="1576"/>
      <c r="F210" s="1580">
        <f>SUM(F213)</f>
        <v>38853</v>
      </c>
    </row>
    <row r="211" spans="1:6" ht="12.75">
      <c r="A211" s="1575"/>
      <c r="B211" s="1576"/>
      <c r="C211" s="1576"/>
      <c r="D211" s="1576"/>
      <c r="E211" s="1576"/>
      <c r="F211" s="1581"/>
    </row>
    <row r="212" spans="1:6" ht="12.75">
      <c r="A212" s="1575"/>
      <c r="B212" s="1576"/>
      <c r="C212" s="1576"/>
      <c r="D212" s="1576"/>
      <c r="E212" s="1576"/>
      <c r="F212" s="1582"/>
    </row>
    <row r="213" spans="1:6" ht="15">
      <c r="A213" s="1574">
        <v>2985</v>
      </c>
      <c r="B213" s="1574"/>
      <c r="C213" s="1577" t="s">
        <v>605</v>
      </c>
      <c r="D213" s="1578"/>
      <c r="E213" s="1579"/>
      <c r="F213" s="941">
        <v>38853</v>
      </c>
    </row>
    <row r="214" spans="1:6" ht="12.75">
      <c r="A214" s="1575" t="s">
        <v>896</v>
      </c>
      <c r="B214" s="1576" t="s">
        <v>897</v>
      </c>
      <c r="C214" s="1576"/>
      <c r="D214" s="1576"/>
      <c r="E214" s="1576"/>
      <c r="F214" s="1580">
        <f>SUM(F217)</f>
        <v>3240</v>
      </c>
    </row>
    <row r="215" spans="1:6" ht="12.75">
      <c r="A215" s="1575"/>
      <c r="B215" s="1576"/>
      <c r="C215" s="1576"/>
      <c r="D215" s="1576"/>
      <c r="E215" s="1576"/>
      <c r="F215" s="1581"/>
    </row>
    <row r="216" spans="1:6" ht="12.75">
      <c r="A216" s="1575"/>
      <c r="B216" s="1576"/>
      <c r="C216" s="1576"/>
      <c r="D216" s="1576"/>
      <c r="E216" s="1576"/>
      <c r="F216" s="1582"/>
    </row>
    <row r="217" spans="1:6" ht="15">
      <c r="A217" s="1574">
        <v>3362</v>
      </c>
      <c r="B217" s="1574"/>
      <c r="C217" s="1577" t="s">
        <v>485</v>
      </c>
      <c r="D217" s="1578"/>
      <c r="E217" s="1579"/>
      <c r="F217" s="941">
        <f>SUM('3c.m.'!G705)</f>
        <v>3240</v>
      </c>
    </row>
    <row r="218" spans="1:6" ht="12.75">
      <c r="A218" s="1575" t="s">
        <v>898</v>
      </c>
      <c r="B218" s="1576" t="s">
        <v>899</v>
      </c>
      <c r="C218" s="1576"/>
      <c r="D218" s="1576"/>
      <c r="E218" s="1576"/>
      <c r="F218" s="1580">
        <f>SUM(F221:F232)</f>
        <v>22524</v>
      </c>
    </row>
    <row r="219" spans="1:6" ht="12.75">
      <c r="A219" s="1575"/>
      <c r="B219" s="1576"/>
      <c r="C219" s="1576"/>
      <c r="D219" s="1576"/>
      <c r="E219" s="1576"/>
      <c r="F219" s="1581"/>
    </row>
    <row r="220" spans="1:6" ht="12.75">
      <c r="A220" s="1575"/>
      <c r="B220" s="1576"/>
      <c r="C220" s="1576"/>
      <c r="D220" s="1576"/>
      <c r="E220" s="1576"/>
      <c r="F220" s="1582"/>
    </row>
    <row r="221" spans="1:6" ht="15">
      <c r="A221" s="1574">
        <v>3451</v>
      </c>
      <c r="B221" s="1574"/>
      <c r="C221" s="1577" t="s">
        <v>134</v>
      </c>
      <c r="D221" s="1578"/>
      <c r="E221" s="1579"/>
      <c r="F221" s="941">
        <f>SUM('3c.m.'!G837)</f>
        <v>1626</v>
      </c>
    </row>
    <row r="222" spans="1:6" ht="15">
      <c r="A222" s="1574">
        <v>3988</v>
      </c>
      <c r="B222" s="1574"/>
      <c r="C222" s="1577" t="s">
        <v>900</v>
      </c>
      <c r="D222" s="1578"/>
      <c r="E222" s="1579"/>
      <c r="F222" s="941">
        <v>1185</v>
      </c>
    </row>
    <row r="223" spans="1:6" ht="15">
      <c r="A223" s="1574">
        <v>3989</v>
      </c>
      <c r="B223" s="1574"/>
      <c r="C223" s="1577" t="s">
        <v>360</v>
      </c>
      <c r="D223" s="1578"/>
      <c r="E223" s="1579"/>
      <c r="F223" s="941">
        <v>6000</v>
      </c>
    </row>
    <row r="224" spans="1:6" ht="15">
      <c r="A224" s="1574">
        <v>3990</v>
      </c>
      <c r="B224" s="1574"/>
      <c r="C224" s="1577" t="s">
        <v>309</v>
      </c>
      <c r="D224" s="1578"/>
      <c r="E224" s="1579"/>
      <c r="F224" s="941">
        <v>1769</v>
      </c>
    </row>
    <row r="225" spans="1:6" ht="15">
      <c r="A225" s="1574">
        <v>3990</v>
      </c>
      <c r="B225" s="1574"/>
      <c r="C225" s="1577" t="s">
        <v>354</v>
      </c>
      <c r="D225" s="1578"/>
      <c r="E225" s="1579"/>
      <c r="F225" s="941">
        <v>4820</v>
      </c>
    </row>
    <row r="226" spans="1:6" ht="15">
      <c r="A226" s="1574">
        <v>3992</v>
      </c>
      <c r="B226" s="1574"/>
      <c r="C226" s="1577" t="s">
        <v>310</v>
      </c>
      <c r="D226" s="1578"/>
      <c r="E226" s="1579"/>
      <c r="F226" s="941">
        <v>1400</v>
      </c>
    </row>
    <row r="227" spans="1:6" ht="15">
      <c r="A227" s="1574">
        <v>3993</v>
      </c>
      <c r="B227" s="1574"/>
      <c r="C227" s="1577" t="s">
        <v>311</v>
      </c>
      <c r="D227" s="1578"/>
      <c r="E227" s="1579"/>
      <c r="F227" s="941">
        <v>900</v>
      </c>
    </row>
    <row r="228" spans="1:6" ht="15">
      <c r="A228" s="1574">
        <v>3994</v>
      </c>
      <c r="B228" s="1574"/>
      <c r="C228" s="1577" t="s">
        <v>103</v>
      </c>
      <c r="D228" s="1578"/>
      <c r="E228" s="1579"/>
      <c r="F228" s="941">
        <v>900</v>
      </c>
    </row>
    <row r="229" spans="1:6" ht="15">
      <c r="A229" s="1574">
        <v>3995</v>
      </c>
      <c r="B229" s="1574"/>
      <c r="C229" s="1577" t="s">
        <v>104</v>
      </c>
      <c r="D229" s="1578"/>
      <c r="E229" s="1579"/>
      <c r="F229" s="941">
        <v>900</v>
      </c>
    </row>
    <row r="230" spans="1:6" ht="15">
      <c r="A230" s="1574">
        <v>3997</v>
      </c>
      <c r="B230" s="1574"/>
      <c r="C230" s="1577" t="s">
        <v>105</v>
      </c>
      <c r="D230" s="1578"/>
      <c r="E230" s="1579"/>
      <c r="F230" s="941">
        <v>900</v>
      </c>
    </row>
    <row r="231" spans="1:6" ht="15">
      <c r="A231" s="1574">
        <v>3998</v>
      </c>
      <c r="B231" s="1574"/>
      <c r="C231" s="1577" t="s">
        <v>106</v>
      </c>
      <c r="D231" s="1578"/>
      <c r="E231" s="1579"/>
      <c r="F231" s="941">
        <v>1124</v>
      </c>
    </row>
    <row r="232" spans="1:6" ht="15">
      <c r="A232" s="1574">
        <v>3999</v>
      </c>
      <c r="B232" s="1574"/>
      <c r="C232" s="1577" t="s">
        <v>107</v>
      </c>
      <c r="D232" s="1578"/>
      <c r="E232" s="1579"/>
      <c r="F232" s="941">
        <v>1000</v>
      </c>
    </row>
    <row r="233" spans="1:6" ht="13.5" customHeight="1">
      <c r="A233" s="1575" t="s">
        <v>901</v>
      </c>
      <c r="B233" s="1576" t="s">
        <v>902</v>
      </c>
      <c r="C233" s="1576"/>
      <c r="D233" s="1576"/>
      <c r="E233" s="1576"/>
      <c r="F233" s="1580">
        <f>SUM(F236:F238)</f>
        <v>237322</v>
      </c>
    </row>
    <row r="234" spans="1:6" s="951" customFormat="1" ht="12">
      <c r="A234" s="1575"/>
      <c r="B234" s="1576"/>
      <c r="C234" s="1576"/>
      <c r="D234" s="1576"/>
      <c r="E234" s="1576"/>
      <c r="F234" s="1581"/>
    </row>
    <row r="235" spans="1:6" ht="12.75">
      <c r="A235" s="1575"/>
      <c r="B235" s="1576"/>
      <c r="C235" s="1576"/>
      <c r="D235" s="1576"/>
      <c r="E235" s="1576"/>
      <c r="F235" s="1582"/>
    </row>
    <row r="236" spans="1:6" ht="15">
      <c r="A236" s="1574">
        <v>3961</v>
      </c>
      <c r="B236" s="1574"/>
      <c r="C236" s="1577" t="s">
        <v>398</v>
      </c>
      <c r="D236" s="1578"/>
      <c r="E236" s="1579"/>
      <c r="F236" s="941">
        <f>SUM('3d.m.'!G42)</f>
        <v>233970</v>
      </c>
    </row>
    <row r="237" spans="1:6" ht="15">
      <c r="A237" s="1574">
        <v>3963</v>
      </c>
      <c r="B237" s="1574"/>
      <c r="C237" s="1577" t="s">
        <v>498</v>
      </c>
      <c r="D237" s="1578"/>
      <c r="E237" s="1579"/>
      <c r="F237" s="941">
        <f>SUM('3d.m.'!G44)</f>
        <v>3352</v>
      </c>
    </row>
    <row r="238" spans="1:6" ht="15">
      <c r="A238" s="1574">
        <v>3962</v>
      </c>
      <c r="B238" s="1574"/>
      <c r="C238" s="1577" t="s">
        <v>358</v>
      </c>
      <c r="D238" s="1578"/>
      <c r="E238" s="1579"/>
      <c r="F238" s="941"/>
    </row>
    <row r="239" spans="1:6" ht="12.6" customHeight="1">
      <c r="A239" s="1575" t="s">
        <v>903</v>
      </c>
      <c r="B239" s="1576" t="s">
        <v>904</v>
      </c>
      <c r="C239" s="1576"/>
      <c r="D239" s="1576"/>
      <c r="E239" s="1576"/>
      <c r="F239" s="1580">
        <f>SUM(F242:F245)</f>
        <v>42550</v>
      </c>
    </row>
    <row r="240" spans="1:6" ht="12.6" customHeight="1">
      <c r="A240" s="1575"/>
      <c r="B240" s="1576"/>
      <c r="C240" s="1576"/>
      <c r="D240" s="1576"/>
      <c r="E240" s="1576"/>
      <c r="F240" s="1581"/>
    </row>
    <row r="241" spans="1:6" ht="12.6" customHeight="1">
      <c r="A241" s="1575"/>
      <c r="B241" s="1576"/>
      <c r="C241" s="1576"/>
      <c r="D241" s="1576"/>
      <c r="E241" s="1576"/>
      <c r="F241" s="1582"/>
    </row>
    <row r="242" spans="1:6" ht="15">
      <c r="A242" s="1574">
        <v>3922</v>
      </c>
      <c r="B242" s="1574"/>
      <c r="C242" s="1577" t="s">
        <v>487</v>
      </c>
      <c r="D242" s="1578"/>
      <c r="E242" s="1579"/>
      <c r="F242" s="941">
        <f>SUM('3d.m.'!G13)</f>
        <v>8200</v>
      </c>
    </row>
    <row r="243" spans="1:6" ht="15">
      <c r="A243" s="1574">
        <v>3931</v>
      </c>
      <c r="B243" s="1574"/>
      <c r="C243" s="1577" t="s">
        <v>157</v>
      </c>
      <c r="D243" s="1578"/>
      <c r="E243" s="1579"/>
      <c r="F243" s="941">
        <f>SUM('3d.m.'!G26)</f>
        <v>2000</v>
      </c>
    </row>
    <row r="244" spans="1:6" ht="15">
      <c r="A244" s="1574">
        <v>3932</v>
      </c>
      <c r="B244" s="1574"/>
      <c r="C244" s="1577" t="s">
        <v>187</v>
      </c>
      <c r="D244" s="1578"/>
      <c r="E244" s="1579"/>
      <c r="F244" s="941">
        <f>SUM('3d.m.'!G27)</f>
        <v>12500</v>
      </c>
    </row>
    <row r="245" spans="1:6" ht="15">
      <c r="A245" s="1574">
        <v>3972</v>
      </c>
      <c r="B245" s="1574"/>
      <c r="C245" s="1577" t="s">
        <v>905</v>
      </c>
      <c r="D245" s="1578"/>
      <c r="E245" s="1579"/>
      <c r="F245" s="941">
        <f>SUM('3d.m.'!G45)</f>
        <v>19850</v>
      </c>
    </row>
    <row r="246" spans="1:6" ht="12.75">
      <c r="A246" s="1575" t="s">
        <v>906</v>
      </c>
      <c r="B246" s="1576" t="s">
        <v>907</v>
      </c>
      <c r="C246" s="1576"/>
      <c r="D246" s="1576"/>
      <c r="E246" s="1576"/>
      <c r="F246" s="1580">
        <f>SUM(F249:F251)</f>
        <v>25796</v>
      </c>
    </row>
    <row r="247" spans="1:6" ht="12.75">
      <c r="A247" s="1575"/>
      <c r="B247" s="1576"/>
      <c r="C247" s="1576"/>
      <c r="D247" s="1576"/>
      <c r="E247" s="1576"/>
      <c r="F247" s="1581"/>
    </row>
    <row r="248" spans="1:6" ht="12.75">
      <c r="A248" s="1575"/>
      <c r="B248" s="1576"/>
      <c r="C248" s="1576"/>
      <c r="D248" s="1576"/>
      <c r="E248" s="1576"/>
      <c r="F248" s="1582"/>
    </row>
    <row r="249" spans="1:6" ht="15">
      <c r="A249" s="1574">
        <v>3146</v>
      </c>
      <c r="B249" s="1574"/>
      <c r="C249" s="1577" t="s">
        <v>484</v>
      </c>
      <c r="D249" s="1578"/>
      <c r="E249" s="1579"/>
      <c r="F249" s="941">
        <f>SUM('3c.m.'!G196)</f>
        <v>12196</v>
      </c>
    </row>
    <row r="250" spans="1:6" ht="15">
      <c r="A250" s="1574">
        <v>3921</v>
      </c>
      <c r="B250" s="1574"/>
      <c r="C250" s="1577" t="s">
        <v>488</v>
      </c>
      <c r="D250" s="1578"/>
      <c r="E250" s="1579"/>
      <c r="F250" s="941">
        <f>SUM('3d.m.'!G12)</f>
        <v>6400</v>
      </c>
    </row>
    <row r="251" spans="1:6" ht="15">
      <c r="A251" s="1574">
        <v>3929</v>
      </c>
      <c r="B251" s="1574"/>
      <c r="C251" s="1577" t="s">
        <v>908</v>
      </c>
      <c r="D251" s="1578"/>
      <c r="E251" s="1579"/>
      <c r="F251" s="941">
        <f>SUM('3d.m.'!G23)</f>
        <v>7200</v>
      </c>
    </row>
    <row r="252" spans="1:6" ht="12.75">
      <c r="A252" s="1575" t="s">
        <v>909</v>
      </c>
      <c r="B252" s="1576" t="s">
        <v>910</v>
      </c>
      <c r="C252" s="1576"/>
      <c r="D252" s="1576"/>
      <c r="E252" s="1576"/>
      <c r="F252" s="1580">
        <f>SUM(F255)</f>
        <v>8990</v>
      </c>
    </row>
    <row r="253" spans="1:6" ht="12.75">
      <c r="A253" s="1575"/>
      <c r="B253" s="1576"/>
      <c r="C253" s="1576"/>
      <c r="D253" s="1576"/>
      <c r="E253" s="1576"/>
      <c r="F253" s="1581"/>
    </row>
    <row r="254" spans="1:6" ht="12.75">
      <c r="A254" s="1575"/>
      <c r="B254" s="1576"/>
      <c r="C254" s="1576"/>
      <c r="D254" s="1576"/>
      <c r="E254" s="1576"/>
      <c r="F254" s="1582"/>
    </row>
    <row r="255" spans="1:6" ht="15">
      <c r="A255" s="1574">
        <v>3145</v>
      </c>
      <c r="B255" s="1574"/>
      <c r="C255" s="1577" t="s">
        <v>911</v>
      </c>
      <c r="D255" s="1578"/>
      <c r="E255" s="1579"/>
      <c r="F255" s="941">
        <f>SUM('3c.m.'!G187)</f>
        <v>8990</v>
      </c>
    </row>
    <row r="256" spans="1:6" ht="12.75">
      <c r="A256" s="1575" t="s">
        <v>912</v>
      </c>
      <c r="B256" s="1576" t="s">
        <v>913</v>
      </c>
      <c r="C256" s="1576"/>
      <c r="D256" s="1576"/>
      <c r="E256" s="1576"/>
      <c r="F256" s="1580">
        <f>SUM(F259)</f>
        <v>11112</v>
      </c>
    </row>
    <row r="257" spans="1:6" ht="12.75">
      <c r="A257" s="1575"/>
      <c r="B257" s="1576"/>
      <c r="C257" s="1576"/>
      <c r="D257" s="1576"/>
      <c r="E257" s="1576"/>
      <c r="F257" s="1581"/>
    </row>
    <row r="258" spans="1:6" ht="12.75">
      <c r="A258" s="1575"/>
      <c r="B258" s="1576"/>
      <c r="C258" s="1576"/>
      <c r="D258" s="1576"/>
      <c r="E258" s="1576"/>
      <c r="F258" s="1582"/>
    </row>
    <row r="259" spans="1:6" ht="15">
      <c r="A259" s="1574">
        <v>3423</v>
      </c>
      <c r="B259" s="1574"/>
      <c r="C259" s="1577" t="s">
        <v>141</v>
      </c>
      <c r="D259" s="1578"/>
      <c r="E259" s="1579"/>
      <c r="F259" s="941">
        <f>SUM('3c.m.'!G773)</f>
        <v>11112</v>
      </c>
    </row>
    <row r="260" spans="1:6" ht="12.75">
      <c r="A260" s="1575" t="s">
        <v>914</v>
      </c>
      <c r="B260" s="1576" t="s">
        <v>915</v>
      </c>
      <c r="C260" s="1576"/>
      <c r="D260" s="1576"/>
      <c r="E260" s="1576"/>
      <c r="F260" s="1580">
        <f>SUM(F263:F264)</f>
        <v>1265291</v>
      </c>
    </row>
    <row r="261" spans="1:6" ht="12.75">
      <c r="A261" s="1575"/>
      <c r="B261" s="1576"/>
      <c r="C261" s="1576"/>
      <c r="D261" s="1576"/>
      <c r="E261" s="1576"/>
      <c r="F261" s="1581"/>
    </row>
    <row r="262" spans="1:6" ht="12.75">
      <c r="A262" s="1575"/>
      <c r="B262" s="1576"/>
      <c r="C262" s="1576"/>
      <c r="D262" s="1576"/>
      <c r="E262" s="1576"/>
      <c r="F262" s="1582"/>
    </row>
    <row r="263" spans="1:7" ht="15">
      <c r="A263" s="1574">
        <v>2499</v>
      </c>
      <c r="B263" s="1574"/>
      <c r="C263" s="1577" t="s">
        <v>916</v>
      </c>
      <c r="D263" s="1578"/>
      <c r="E263" s="1579"/>
      <c r="F263" s="941">
        <v>1248951</v>
      </c>
      <c r="G263" s="59"/>
    </row>
    <row r="264" spans="1:6" ht="15">
      <c r="A264" s="1574">
        <v>3147</v>
      </c>
      <c r="B264" s="1574"/>
      <c r="C264" s="1577" t="s">
        <v>1027</v>
      </c>
      <c r="D264" s="1578"/>
      <c r="E264" s="1579"/>
      <c r="F264" s="948">
        <f>SUM('3c.m.'!G205)</f>
        <v>16340</v>
      </c>
    </row>
    <row r="265" spans="1:6" ht="12.75">
      <c r="A265" s="1575" t="s">
        <v>917</v>
      </c>
      <c r="B265" s="1576" t="s">
        <v>918</v>
      </c>
      <c r="C265" s="1576"/>
      <c r="D265" s="1576"/>
      <c r="E265" s="1576"/>
      <c r="F265" s="1580">
        <f>SUM(F268:F268)</f>
        <v>55557</v>
      </c>
    </row>
    <row r="266" spans="1:6" ht="12.75">
      <c r="A266" s="1575"/>
      <c r="B266" s="1576"/>
      <c r="C266" s="1576"/>
      <c r="D266" s="1576"/>
      <c r="E266" s="1576"/>
      <c r="F266" s="1581"/>
    </row>
    <row r="267" spans="1:6" ht="12.75">
      <c r="A267" s="1575"/>
      <c r="B267" s="1576"/>
      <c r="C267" s="1576"/>
      <c r="D267" s="1576"/>
      <c r="E267" s="1576"/>
      <c r="F267" s="1582"/>
    </row>
    <row r="268" spans="1:6" ht="15">
      <c r="A268" s="1574">
        <v>2499</v>
      </c>
      <c r="B268" s="1574"/>
      <c r="C268" s="1577" t="s">
        <v>916</v>
      </c>
      <c r="D268" s="1578"/>
      <c r="E268" s="1579"/>
      <c r="F268" s="941">
        <v>55557</v>
      </c>
    </row>
    <row r="269" spans="1:6" ht="12.75">
      <c r="A269" s="1575" t="s">
        <v>919</v>
      </c>
      <c r="B269" s="1576" t="s">
        <v>920</v>
      </c>
      <c r="C269" s="1576"/>
      <c r="D269" s="1576"/>
      <c r="E269" s="1576"/>
      <c r="F269" s="1580">
        <f>SUM(F272)</f>
        <v>8500</v>
      </c>
    </row>
    <row r="270" spans="1:6" ht="12.75">
      <c r="A270" s="1575"/>
      <c r="B270" s="1576"/>
      <c r="C270" s="1576"/>
      <c r="D270" s="1576"/>
      <c r="E270" s="1576"/>
      <c r="F270" s="1581"/>
    </row>
    <row r="271" spans="1:6" ht="12.75">
      <c r="A271" s="1575"/>
      <c r="B271" s="1576"/>
      <c r="C271" s="1576"/>
      <c r="D271" s="1576"/>
      <c r="E271" s="1576"/>
      <c r="F271" s="1582"/>
    </row>
    <row r="272" spans="1:6" ht="15">
      <c r="A272" s="1574">
        <v>3141</v>
      </c>
      <c r="B272" s="1574"/>
      <c r="C272" s="1577" t="s">
        <v>921</v>
      </c>
      <c r="D272" s="1578"/>
      <c r="E272" s="1579"/>
      <c r="F272" s="941">
        <f>SUM('3c.m.'!G154)</f>
        <v>8500</v>
      </c>
    </row>
    <row r="273" spans="1:6" ht="12.6" customHeight="1">
      <c r="A273" s="1591" t="s">
        <v>922</v>
      </c>
      <c r="B273" s="1594" t="s">
        <v>923</v>
      </c>
      <c r="C273" s="1595"/>
      <c r="D273" s="1595"/>
      <c r="E273" s="1596"/>
      <c r="F273" s="1580">
        <f>SUM(F276:F276)</f>
        <v>477177</v>
      </c>
    </row>
    <row r="274" spans="1:6" ht="12.6" customHeight="1">
      <c r="A274" s="1592"/>
      <c r="B274" s="1597"/>
      <c r="C274" s="1598"/>
      <c r="D274" s="1598"/>
      <c r="E274" s="1599"/>
      <c r="F274" s="1603"/>
    </row>
    <row r="275" spans="1:6" ht="12.6" customHeight="1">
      <c r="A275" s="1593"/>
      <c r="B275" s="1600"/>
      <c r="C275" s="1601"/>
      <c r="D275" s="1601"/>
      <c r="E275" s="1602"/>
      <c r="F275" s="1604"/>
    </row>
    <row r="276" spans="1:6" ht="15">
      <c r="A276" s="1605">
        <v>2795</v>
      </c>
      <c r="B276" s="1606"/>
      <c r="C276" s="1577" t="s">
        <v>878</v>
      </c>
      <c r="D276" s="1578"/>
      <c r="E276" s="1579"/>
      <c r="F276" s="941">
        <v>477177</v>
      </c>
    </row>
    <row r="277" spans="1:6" ht="12.75">
      <c r="A277" s="1575" t="s">
        <v>924</v>
      </c>
      <c r="B277" s="1576" t="s">
        <v>925</v>
      </c>
      <c r="C277" s="1576"/>
      <c r="D277" s="1576"/>
      <c r="E277" s="1576"/>
      <c r="F277" s="1580">
        <f>SUM(F280:F283)</f>
        <v>41693</v>
      </c>
    </row>
    <row r="278" spans="1:6" ht="12.75">
      <c r="A278" s="1575"/>
      <c r="B278" s="1576"/>
      <c r="C278" s="1576"/>
      <c r="D278" s="1576"/>
      <c r="E278" s="1576"/>
      <c r="F278" s="1581"/>
    </row>
    <row r="279" spans="1:6" ht="12.75">
      <c r="A279" s="1575"/>
      <c r="B279" s="1576"/>
      <c r="C279" s="1576"/>
      <c r="D279" s="1576"/>
      <c r="E279" s="1576"/>
      <c r="F279" s="1582"/>
    </row>
    <row r="280" spans="1:6" ht="15">
      <c r="A280" s="1574">
        <v>3142</v>
      </c>
      <c r="B280" s="1574"/>
      <c r="C280" s="1577" t="s">
        <v>28</v>
      </c>
      <c r="D280" s="1578"/>
      <c r="E280" s="1579"/>
      <c r="F280" s="941">
        <f>SUM('3c.m.'!G163)</f>
        <v>11493</v>
      </c>
    </row>
    <row r="281" spans="1:6" ht="15">
      <c r="A281" s="1574">
        <v>3143</v>
      </c>
      <c r="B281" s="1574"/>
      <c r="C281" s="1577" t="s">
        <v>36</v>
      </c>
      <c r="D281" s="1578"/>
      <c r="E281" s="1579"/>
      <c r="F281" s="941">
        <f>SUM('3c.m.'!G171)</f>
        <v>12200</v>
      </c>
    </row>
    <row r="282" spans="1:6" ht="15">
      <c r="A282" s="1574">
        <v>5069</v>
      </c>
      <c r="B282" s="1574"/>
      <c r="C282" s="1210" t="s">
        <v>1253</v>
      </c>
      <c r="D282" s="1211"/>
      <c r="E282" s="1212"/>
      <c r="F282" s="948">
        <f>SUM('5.mell. '!G37)</f>
        <v>13000</v>
      </c>
    </row>
    <row r="283" spans="1:6" ht="15">
      <c r="A283" s="1574">
        <v>3934</v>
      </c>
      <c r="B283" s="1574"/>
      <c r="C283" s="1577" t="s">
        <v>419</v>
      </c>
      <c r="D283" s="1578"/>
      <c r="E283" s="1579"/>
      <c r="F283" s="948">
        <f>SUM('3d.m.'!G28)</f>
        <v>5000</v>
      </c>
    </row>
    <row r="284" spans="1:6" ht="12.75">
      <c r="A284" s="1575" t="s">
        <v>926</v>
      </c>
      <c r="B284" s="1576" t="s">
        <v>927</v>
      </c>
      <c r="C284" s="1576"/>
      <c r="D284" s="1576"/>
      <c r="E284" s="1576"/>
      <c r="F284" s="1580">
        <f>SUM(F287)</f>
        <v>4560</v>
      </c>
    </row>
    <row r="285" spans="1:6" ht="12.75">
      <c r="A285" s="1575"/>
      <c r="B285" s="1576"/>
      <c r="C285" s="1576"/>
      <c r="D285" s="1576"/>
      <c r="E285" s="1576"/>
      <c r="F285" s="1581"/>
    </row>
    <row r="286" spans="1:6" ht="12.75">
      <c r="A286" s="1575"/>
      <c r="B286" s="1576"/>
      <c r="C286" s="1576"/>
      <c r="D286" s="1576"/>
      <c r="E286" s="1576"/>
      <c r="F286" s="1582"/>
    </row>
    <row r="287" spans="1:6" ht="15">
      <c r="A287" s="1574">
        <v>3349</v>
      </c>
      <c r="B287" s="1574"/>
      <c r="C287" s="1577" t="s">
        <v>928</v>
      </c>
      <c r="D287" s="1578"/>
      <c r="E287" s="1579"/>
      <c r="F287" s="941">
        <f>SUM('3c.m.'!G632)</f>
        <v>4560</v>
      </c>
    </row>
    <row r="288" spans="1:6" ht="12.75">
      <c r="A288" s="1575" t="s">
        <v>929</v>
      </c>
      <c r="B288" s="1576" t="s">
        <v>930</v>
      </c>
      <c r="C288" s="1576"/>
      <c r="D288" s="1576"/>
      <c r="E288" s="1576"/>
      <c r="F288" s="1580">
        <f>SUM(F291:F291)</f>
        <v>400</v>
      </c>
    </row>
    <row r="289" spans="1:6" ht="12.75">
      <c r="A289" s="1575"/>
      <c r="B289" s="1576"/>
      <c r="C289" s="1576"/>
      <c r="D289" s="1576"/>
      <c r="E289" s="1576"/>
      <c r="F289" s="1581"/>
    </row>
    <row r="290" spans="1:6" ht="12.75">
      <c r="A290" s="1575"/>
      <c r="B290" s="1576"/>
      <c r="C290" s="1576"/>
      <c r="D290" s="1576"/>
      <c r="E290" s="1576"/>
      <c r="F290" s="1582"/>
    </row>
    <row r="291" spans="1:6" ht="15">
      <c r="A291" s="1574">
        <v>3348</v>
      </c>
      <c r="B291" s="1574"/>
      <c r="C291" s="1577" t="s">
        <v>174</v>
      </c>
      <c r="D291" s="1578"/>
      <c r="E291" s="1579"/>
      <c r="F291" s="941">
        <f>SUM('3c.m.'!G624)</f>
        <v>400</v>
      </c>
    </row>
    <row r="292" spans="1:6" ht="12.75">
      <c r="A292" s="1575" t="s">
        <v>931</v>
      </c>
      <c r="B292" s="1576" t="s">
        <v>932</v>
      </c>
      <c r="C292" s="1576"/>
      <c r="D292" s="1576"/>
      <c r="E292" s="1576"/>
      <c r="F292" s="1580">
        <f>SUM(F295:F298)</f>
        <v>9435</v>
      </c>
    </row>
    <row r="293" spans="1:6" ht="12.75">
      <c r="A293" s="1575"/>
      <c r="B293" s="1576"/>
      <c r="C293" s="1576"/>
      <c r="D293" s="1576"/>
      <c r="E293" s="1576"/>
      <c r="F293" s="1581"/>
    </row>
    <row r="294" spans="1:6" ht="12.75">
      <c r="A294" s="1575"/>
      <c r="B294" s="1576"/>
      <c r="C294" s="1576"/>
      <c r="D294" s="1576"/>
      <c r="E294" s="1576"/>
      <c r="F294" s="1582"/>
    </row>
    <row r="295" spans="1:6" ht="15">
      <c r="A295" s="1574">
        <v>3341</v>
      </c>
      <c r="B295" s="1574"/>
      <c r="C295" s="1577" t="s">
        <v>389</v>
      </c>
      <c r="D295" s="1578"/>
      <c r="E295" s="1579"/>
      <c r="F295" s="941">
        <f>SUM('3c.m.'!G567)</f>
        <v>1785</v>
      </c>
    </row>
    <row r="296" spans="1:6" ht="15">
      <c r="A296" s="1574">
        <v>3342</v>
      </c>
      <c r="B296" s="1574"/>
      <c r="C296" s="1577" t="s">
        <v>471</v>
      </c>
      <c r="D296" s="1578"/>
      <c r="E296" s="1579"/>
      <c r="F296" s="941">
        <f>SUM('3c.m.'!G576)</f>
        <v>880</v>
      </c>
    </row>
    <row r="297" spans="1:6" ht="15">
      <c r="A297" s="1574">
        <v>3347</v>
      </c>
      <c r="B297" s="1574"/>
      <c r="C297" s="1577" t="s">
        <v>118</v>
      </c>
      <c r="D297" s="1578"/>
      <c r="E297" s="1579"/>
      <c r="F297" s="941">
        <f>SUM('3c.m.'!G616)</f>
        <v>2000</v>
      </c>
    </row>
    <row r="298" spans="1:6" ht="15">
      <c r="A298" s="1574">
        <v>3350</v>
      </c>
      <c r="B298" s="1574"/>
      <c r="C298" s="1577" t="s">
        <v>1136</v>
      </c>
      <c r="D298" s="1578"/>
      <c r="E298" s="1579"/>
      <c r="F298" s="948">
        <f>SUM('3c.m.'!G640)</f>
        <v>4770</v>
      </c>
    </row>
    <row r="299" spans="1:6" ht="12.75">
      <c r="A299" s="1575" t="s">
        <v>933</v>
      </c>
      <c r="B299" s="1576" t="s">
        <v>934</v>
      </c>
      <c r="C299" s="1576"/>
      <c r="D299" s="1576"/>
      <c r="E299" s="1576"/>
      <c r="F299" s="1580">
        <f>SUM(F302)</f>
        <v>600</v>
      </c>
    </row>
    <row r="300" spans="1:6" ht="12.75">
      <c r="A300" s="1575"/>
      <c r="B300" s="1576"/>
      <c r="C300" s="1576"/>
      <c r="D300" s="1576"/>
      <c r="E300" s="1576"/>
      <c r="F300" s="1581"/>
    </row>
    <row r="301" spans="1:6" ht="12.75">
      <c r="A301" s="1575"/>
      <c r="B301" s="1576"/>
      <c r="C301" s="1576"/>
      <c r="D301" s="1576"/>
      <c r="E301" s="1576"/>
      <c r="F301" s="1582"/>
    </row>
    <row r="302" spans="1:6" ht="15">
      <c r="A302" s="1574">
        <v>3345</v>
      </c>
      <c r="B302" s="1574"/>
      <c r="C302" s="1577" t="s">
        <v>935</v>
      </c>
      <c r="D302" s="1578"/>
      <c r="E302" s="1579"/>
      <c r="F302" s="941">
        <f>SUM('3c.m.'!G600)</f>
        <v>600</v>
      </c>
    </row>
    <row r="303" spans="1:6" ht="12.75">
      <c r="A303" s="1575" t="s">
        <v>936</v>
      </c>
      <c r="B303" s="1576" t="s">
        <v>937</v>
      </c>
      <c r="C303" s="1576"/>
      <c r="D303" s="1576"/>
      <c r="E303" s="1576"/>
      <c r="F303" s="1580">
        <f>SUM(F306)</f>
        <v>1090582</v>
      </c>
    </row>
    <row r="304" spans="1:6" ht="12.75">
      <c r="A304" s="1575"/>
      <c r="B304" s="1576"/>
      <c r="C304" s="1576"/>
      <c r="D304" s="1576"/>
      <c r="E304" s="1576"/>
      <c r="F304" s="1581"/>
    </row>
    <row r="305" spans="1:6" ht="12.75">
      <c r="A305" s="1575"/>
      <c r="B305" s="1576"/>
      <c r="C305" s="1576"/>
      <c r="D305" s="1576"/>
      <c r="E305" s="1576"/>
      <c r="F305" s="1582"/>
    </row>
    <row r="306" spans="1:6" ht="15">
      <c r="A306" s="1574">
        <v>2875</v>
      </c>
      <c r="B306" s="1574"/>
      <c r="C306" s="1577" t="s">
        <v>308</v>
      </c>
      <c r="D306" s="1578"/>
      <c r="E306" s="1579"/>
      <c r="F306" s="941">
        <v>1090582</v>
      </c>
    </row>
    <row r="307" spans="1:6" ht="12.75">
      <c r="A307" s="1575" t="s">
        <v>938</v>
      </c>
      <c r="B307" s="1576" t="s">
        <v>939</v>
      </c>
      <c r="C307" s="1576"/>
      <c r="D307" s="1576"/>
      <c r="E307" s="1576"/>
      <c r="F307" s="1580">
        <f>SUM(F310)</f>
        <v>17722</v>
      </c>
    </row>
    <row r="308" spans="1:6" ht="12.75">
      <c r="A308" s="1575"/>
      <c r="B308" s="1576"/>
      <c r="C308" s="1576"/>
      <c r="D308" s="1576"/>
      <c r="E308" s="1576"/>
      <c r="F308" s="1581"/>
    </row>
    <row r="309" spans="1:6" ht="12.75">
      <c r="A309" s="1575"/>
      <c r="B309" s="1576"/>
      <c r="C309" s="1576"/>
      <c r="D309" s="1576"/>
      <c r="E309" s="1576"/>
      <c r="F309" s="1582"/>
    </row>
    <row r="310" spans="1:6" ht="15">
      <c r="A310" s="1574">
        <v>3355</v>
      </c>
      <c r="B310" s="1574"/>
      <c r="C310" s="1577" t="s">
        <v>37</v>
      </c>
      <c r="D310" s="1578"/>
      <c r="E310" s="1579"/>
      <c r="F310" s="941">
        <f>SUM('3c.m.'!G665)</f>
        <v>17722</v>
      </c>
    </row>
    <row r="311" spans="1:6" ht="12.6" customHeight="1">
      <c r="A311" s="1575" t="s">
        <v>940</v>
      </c>
      <c r="B311" s="1576" t="s">
        <v>941</v>
      </c>
      <c r="C311" s="1576"/>
      <c r="D311" s="1576"/>
      <c r="E311" s="1576"/>
      <c r="F311" s="1580">
        <f>SUM(F314)</f>
        <v>593363</v>
      </c>
    </row>
    <row r="312" spans="1:6" ht="12.6" customHeight="1">
      <c r="A312" s="1575"/>
      <c r="B312" s="1576"/>
      <c r="C312" s="1576"/>
      <c r="D312" s="1576"/>
      <c r="E312" s="1576"/>
      <c r="F312" s="1581"/>
    </row>
    <row r="313" spans="1:6" ht="12.6" customHeight="1">
      <c r="A313" s="1575"/>
      <c r="B313" s="1576"/>
      <c r="C313" s="1576"/>
      <c r="D313" s="1576"/>
      <c r="E313" s="1576"/>
      <c r="F313" s="1582"/>
    </row>
    <row r="314" spans="1:6" ht="15">
      <c r="A314" s="1574">
        <v>2850</v>
      </c>
      <c r="B314" s="1574"/>
      <c r="C314" s="1577" t="s">
        <v>942</v>
      </c>
      <c r="D314" s="1578"/>
      <c r="E314" s="1579"/>
      <c r="F314" s="941">
        <v>593363</v>
      </c>
    </row>
    <row r="315" spans="1:6" ht="12.75">
      <c r="A315" s="1575" t="s">
        <v>943</v>
      </c>
      <c r="B315" s="1576" t="s">
        <v>944</v>
      </c>
      <c r="C315" s="1576"/>
      <c r="D315" s="1576"/>
      <c r="E315" s="1576"/>
      <c r="F315" s="1580">
        <f>SUM(F318:F318)</f>
        <v>13000</v>
      </c>
    </row>
    <row r="316" spans="1:6" ht="12.75">
      <c r="A316" s="1575"/>
      <c r="B316" s="1576"/>
      <c r="C316" s="1576"/>
      <c r="D316" s="1576"/>
      <c r="E316" s="1576"/>
      <c r="F316" s="1581"/>
    </row>
    <row r="317" spans="1:6" ht="12.75">
      <c r="A317" s="1575"/>
      <c r="B317" s="1576"/>
      <c r="C317" s="1576"/>
      <c r="D317" s="1576"/>
      <c r="E317" s="1576"/>
      <c r="F317" s="1582"/>
    </row>
    <row r="318" spans="1:6" ht="15">
      <c r="A318" s="1574">
        <v>2850</v>
      </c>
      <c r="B318" s="1574"/>
      <c r="C318" s="1577" t="s">
        <v>942</v>
      </c>
      <c r="D318" s="1578"/>
      <c r="E318" s="1579"/>
      <c r="F318" s="941">
        <v>13000</v>
      </c>
    </row>
    <row r="319" spans="1:6" ht="12.75">
      <c r="A319" s="1575" t="s">
        <v>945</v>
      </c>
      <c r="B319" s="1576" t="s">
        <v>946</v>
      </c>
      <c r="C319" s="1576"/>
      <c r="D319" s="1576"/>
      <c r="E319" s="1576"/>
      <c r="F319" s="1580">
        <f>SUM(F322)</f>
        <v>4800</v>
      </c>
    </row>
    <row r="320" spans="1:6" ht="12.75">
      <c r="A320" s="1575"/>
      <c r="B320" s="1576"/>
      <c r="C320" s="1576"/>
      <c r="D320" s="1576"/>
      <c r="E320" s="1576"/>
      <c r="F320" s="1581"/>
    </row>
    <row r="321" spans="1:6" ht="12.75">
      <c r="A321" s="1575"/>
      <c r="B321" s="1576"/>
      <c r="C321" s="1576"/>
      <c r="D321" s="1576"/>
      <c r="E321" s="1576"/>
      <c r="F321" s="1582"/>
    </row>
    <row r="322" spans="1:6" ht="15">
      <c r="A322" s="1574">
        <v>2850</v>
      </c>
      <c r="B322" s="1574"/>
      <c r="C322" s="1577" t="s">
        <v>942</v>
      </c>
      <c r="D322" s="1578"/>
      <c r="E322" s="1579"/>
      <c r="F322" s="941">
        <v>4800</v>
      </c>
    </row>
    <row r="323" spans="1:6" ht="12.75">
      <c r="A323" s="1575" t="s">
        <v>947</v>
      </c>
      <c r="B323" s="1576" t="s">
        <v>948</v>
      </c>
      <c r="C323" s="1576"/>
      <c r="D323" s="1576"/>
      <c r="E323" s="1576"/>
      <c r="F323" s="1580">
        <f>SUM(F326:F329)</f>
        <v>13660</v>
      </c>
    </row>
    <row r="324" spans="1:6" ht="12.75">
      <c r="A324" s="1575"/>
      <c r="B324" s="1576"/>
      <c r="C324" s="1576"/>
      <c r="D324" s="1576"/>
      <c r="E324" s="1576"/>
      <c r="F324" s="1581"/>
    </row>
    <row r="325" spans="1:6" ht="12.75">
      <c r="A325" s="1575"/>
      <c r="B325" s="1576"/>
      <c r="C325" s="1576"/>
      <c r="D325" s="1576"/>
      <c r="E325" s="1576"/>
      <c r="F325" s="1582"/>
    </row>
    <row r="326" spans="1:6" ht="15">
      <c r="A326" s="1574">
        <v>3307</v>
      </c>
      <c r="B326" s="1574"/>
      <c r="C326" s="1577" t="s">
        <v>203</v>
      </c>
      <c r="D326" s="1578"/>
      <c r="E326" s="1579"/>
      <c r="F326" s="941">
        <f>SUM('3c.m.'!G421)</f>
        <v>5063</v>
      </c>
    </row>
    <row r="327" spans="1:6" ht="15">
      <c r="A327" s="1574">
        <v>3319</v>
      </c>
      <c r="B327" s="1574"/>
      <c r="C327" s="1577" t="s">
        <v>17</v>
      </c>
      <c r="D327" s="1578"/>
      <c r="E327" s="1579"/>
      <c r="F327" s="941">
        <f>SUM('3c.m.'!G486)</f>
        <v>0</v>
      </c>
    </row>
    <row r="328" spans="1:6" ht="15">
      <c r="A328" s="1574">
        <v>3320</v>
      </c>
      <c r="B328" s="1574"/>
      <c r="C328" s="1577" t="s">
        <v>8</v>
      </c>
      <c r="D328" s="1578"/>
      <c r="E328" s="1579"/>
      <c r="F328" s="941">
        <f>SUM('3c.m.'!G495)</f>
        <v>1097</v>
      </c>
    </row>
    <row r="329" spans="1:6" ht="15">
      <c r="A329" s="1605">
        <v>3323</v>
      </c>
      <c r="B329" s="1606"/>
      <c r="C329" s="1577" t="s">
        <v>361</v>
      </c>
      <c r="D329" s="1578"/>
      <c r="E329" s="1579"/>
      <c r="F329" s="941">
        <f>SUM('3c.m.'!G511)</f>
        <v>7500</v>
      </c>
    </row>
    <row r="330" spans="1:6" ht="12.75">
      <c r="A330" s="1575" t="s">
        <v>949</v>
      </c>
      <c r="B330" s="1576" t="s">
        <v>950</v>
      </c>
      <c r="C330" s="1576"/>
      <c r="D330" s="1576"/>
      <c r="E330" s="1576"/>
      <c r="F330" s="1580">
        <f>SUM(F333:F337)</f>
        <v>55579</v>
      </c>
    </row>
    <row r="331" spans="1:6" ht="12.75">
      <c r="A331" s="1575"/>
      <c r="B331" s="1576"/>
      <c r="C331" s="1576"/>
      <c r="D331" s="1576"/>
      <c r="E331" s="1576"/>
      <c r="F331" s="1581"/>
    </row>
    <row r="332" spans="1:6" ht="12.75">
      <c r="A332" s="1575"/>
      <c r="B332" s="1576"/>
      <c r="C332" s="1576"/>
      <c r="D332" s="1576"/>
      <c r="E332" s="1576"/>
      <c r="F332" s="1582"/>
    </row>
    <row r="333" spans="1:6" ht="15">
      <c r="A333" s="1574">
        <v>3305</v>
      </c>
      <c r="B333" s="1574"/>
      <c r="C333" s="1577" t="s">
        <v>201</v>
      </c>
      <c r="D333" s="1578"/>
      <c r="E333" s="1579"/>
      <c r="F333" s="941">
        <f>SUM('3c.m.'!G403)</f>
        <v>17573</v>
      </c>
    </row>
    <row r="334" spans="1:6" ht="15">
      <c r="A334" s="1574">
        <v>3310</v>
      </c>
      <c r="B334" s="1574"/>
      <c r="C334" s="1577" t="s">
        <v>402</v>
      </c>
      <c r="D334" s="1578"/>
      <c r="E334" s="1579"/>
      <c r="F334" s="941">
        <f>SUM('3c.m.'!G429)</f>
        <v>14000</v>
      </c>
    </row>
    <row r="335" spans="1:6" ht="15">
      <c r="A335" s="1574">
        <v>3311</v>
      </c>
      <c r="B335" s="1574"/>
      <c r="C335" s="1577" t="s">
        <v>137</v>
      </c>
      <c r="D335" s="1578"/>
      <c r="E335" s="1579"/>
      <c r="F335" s="941">
        <f>SUM('3c.m.'!G437)</f>
        <v>9006</v>
      </c>
    </row>
    <row r="336" spans="1:6" ht="15">
      <c r="A336" s="1574">
        <v>3315</v>
      </c>
      <c r="B336" s="1574"/>
      <c r="C336" s="1577" t="s">
        <v>11</v>
      </c>
      <c r="D336" s="1578"/>
      <c r="E336" s="1579"/>
      <c r="F336" s="941">
        <f>SUM('3c.m.'!G461)</f>
        <v>10000</v>
      </c>
    </row>
    <row r="337" spans="1:6" ht="15">
      <c r="A337" s="1574">
        <v>3316</v>
      </c>
      <c r="B337" s="1574"/>
      <c r="C337" s="1577" t="s">
        <v>138</v>
      </c>
      <c r="D337" s="1578"/>
      <c r="E337" s="1579"/>
      <c r="F337" s="941">
        <f>SUM('3c.m.'!G469)</f>
        <v>5000</v>
      </c>
    </row>
    <row r="338" spans="1:6" ht="12.75">
      <c r="A338" s="1575" t="s">
        <v>951</v>
      </c>
      <c r="B338" s="1576" t="s">
        <v>952</v>
      </c>
      <c r="C338" s="1576"/>
      <c r="D338" s="1576"/>
      <c r="E338" s="1576"/>
      <c r="F338" s="1580">
        <f>SUM(F341:F342)</f>
        <v>26761</v>
      </c>
    </row>
    <row r="339" spans="1:6" ht="12.75">
      <c r="A339" s="1575"/>
      <c r="B339" s="1576"/>
      <c r="C339" s="1576"/>
      <c r="D339" s="1576"/>
      <c r="E339" s="1576"/>
      <c r="F339" s="1581"/>
    </row>
    <row r="340" spans="1:6" ht="12.75">
      <c r="A340" s="1575"/>
      <c r="B340" s="1576"/>
      <c r="C340" s="1576"/>
      <c r="D340" s="1576"/>
      <c r="E340" s="1576"/>
      <c r="F340" s="1582"/>
    </row>
    <row r="341" spans="1:6" ht="15">
      <c r="A341" s="1574">
        <v>3343</v>
      </c>
      <c r="B341" s="1574"/>
      <c r="C341" s="1577" t="s">
        <v>953</v>
      </c>
      <c r="D341" s="1578"/>
      <c r="E341" s="1579"/>
      <c r="F341" s="941">
        <f>SUM('3c.m.'!G584)</f>
        <v>0</v>
      </c>
    </row>
    <row r="342" spans="1:6" ht="15">
      <c r="A342" s="1574">
        <v>2875</v>
      </c>
      <c r="B342" s="1574"/>
      <c r="C342" s="943" t="s">
        <v>308</v>
      </c>
      <c r="D342" s="944"/>
      <c r="E342" s="945"/>
      <c r="F342" s="948">
        <v>26761</v>
      </c>
    </row>
    <row r="343" spans="1:6" ht="12.6" customHeight="1">
      <c r="A343" s="1575" t="s">
        <v>954</v>
      </c>
      <c r="B343" s="1576" t="s">
        <v>955</v>
      </c>
      <c r="C343" s="1576"/>
      <c r="D343" s="1576"/>
      <c r="E343" s="1576"/>
      <c r="F343" s="1580">
        <f>SUM(F346:F346)</f>
        <v>2053</v>
      </c>
    </row>
    <row r="344" spans="1:6" ht="12.6" customHeight="1">
      <c r="A344" s="1575"/>
      <c r="B344" s="1576"/>
      <c r="C344" s="1576"/>
      <c r="D344" s="1576"/>
      <c r="E344" s="1576"/>
      <c r="F344" s="1581"/>
    </row>
    <row r="345" spans="1:6" ht="12.6" customHeight="1">
      <c r="A345" s="1575"/>
      <c r="B345" s="1576"/>
      <c r="C345" s="1576"/>
      <c r="D345" s="1576"/>
      <c r="E345" s="1576"/>
      <c r="F345" s="1582"/>
    </row>
    <row r="346" spans="1:6" ht="15">
      <c r="A346" s="1574">
        <v>3344</v>
      </c>
      <c r="B346" s="1574"/>
      <c r="C346" s="1577" t="s">
        <v>273</v>
      </c>
      <c r="D346" s="1578"/>
      <c r="E346" s="1579"/>
      <c r="F346" s="941">
        <f>SUM('3c.m.'!G592)</f>
        <v>2053</v>
      </c>
    </row>
    <row r="347" spans="1:6" ht="12.75">
      <c r="A347" s="1575" t="s">
        <v>956</v>
      </c>
      <c r="B347" s="1576" t="s">
        <v>957</v>
      </c>
      <c r="C347" s="1576"/>
      <c r="D347" s="1576"/>
      <c r="E347" s="1576"/>
      <c r="F347" s="1580">
        <f>SUM(F350:F350)</f>
        <v>4433</v>
      </c>
    </row>
    <row r="348" spans="1:6" ht="12.75">
      <c r="A348" s="1575"/>
      <c r="B348" s="1576"/>
      <c r="C348" s="1576"/>
      <c r="D348" s="1576"/>
      <c r="E348" s="1576"/>
      <c r="F348" s="1581"/>
    </row>
    <row r="349" spans="1:6" ht="12.75">
      <c r="A349" s="1575"/>
      <c r="B349" s="1576"/>
      <c r="C349" s="1576"/>
      <c r="D349" s="1576"/>
      <c r="E349" s="1576"/>
      <c r="F349" s="1582"/>
    </row>
    <row r="350" spans="1:6" ht="15">
      <c r="A350" s="1574">
        <v>3346</v>
      </c>
      <c r="B350" s="1574"/>
      <c r="C350" s="1577" t="s">
        <v>117</v>
      </c>
      <c r="D350" s="1578"/>
      <c r="E350" s="1579"/>
      <c r="F350" s="941">
        <f>SUM('3c.m.'!G608)</f>
        <v>4433</v>
      </c>
    </row>
    <row r="351" spans="1:6" ht="12.75">
      <c r="A351" s="1575" t="s">
        <v>958</v>
      </c>
      <c r="B351" s="1576" t="s">
        <v>486</v>
      </c>
      <c r="C351" s="1576"/>
      <c r="D351" s="1576"/>
      <c r="E351" s="1576"/>
      <c r="F351" s="1580">
        <f>SUM(F354)</f>
        <v>8079</v>
      </c>
    </row>
    <row r="352" spans="1:6" ht="12.75">
      <c r="A352" s="1575"/>
      <c r="B352" s="1576"/>
      <c r="C352" s="1576"/>
      <c r="D352" s="1576"/>
      <c r="E352" s="1576"/>
      <c r="F352" s="1581"/>
    </row>
    <row r="353" spans="1:6" ht="12.75">
      <c r="A353" s="1575"/>
      <c r="B353" s="1576"/>
      <c r="C353" s="1576"/>
      <c r="D353" s="1576"/>
      <c r="E353" s="1576"/>
      <c r="F353" s="1582"/>
    </row>
    <row r="354" spans="1:6" ht="15">
      <c r="A354" s="1574">
        <v>3340</v>
      </c>
      <c r="B354" s="1574"/>
      <c r="C354" s="1577" t="s">
        <v>486</v>
      </c>
      <c r="D354" s="1578"/>
      <c r="E354" s="1579"/>
      <c r="F354" s="941">
        <f>SUM('3c.m.'!G559)</f>
        <v>8079</v>
      </c>
    </row>
    <row r="355" spans="1:6" ht="12.75">
      <c r="A355" s="1575" t="s">
        <v>959</v>
      </c>
      <c r="B355" s="1576" t="s">
        <v>960</v>
      </c>
      <c r="C355" s="1576"/>
      <c r="D355" s="1576"/>
      <c r="E355" s="1576"/>
      <c r="F355" s="1580">
        <f>SUM(F358:F375)</f>
        <v>408136</v>
      </c>
    </row>
    <row r="356" spans="1:6" ht="12.75">
      <c r="A356" s="1575"/>
      <c r="B356" s="1576"/>
      <c r="C356" s="1576"/>
      <c r="D356" s="1576"/>
      <c r="E356" s="1576"/>
      <c r="F356" s="1581"/>
    </row>
    <row r="357" spans="1:6" ht="12.75">
      <c r="A357" s="1575"/>
      <c r="B357" s="1576"/>
      <c r="C357" s="1576"/>
      <c r="D357" s="1576"/>
      <c r="E357" s="1576"/>
      <c r="F357" s="1582"/>
    </row>
    <row r="358" spans="1:6" ht="15">
      <c r="A358" s="1574">
        <v>3081</v>
      </c>
      <c r="B358" s="1574"/>
      <c r="C358" s="1577" t="s">
        <v>143</v>
      </c>
      <c r="D358" s="1578"/>
      <c r="E358" s="1579"/>
      <c r="F358" s="941">
        <f>SUM('3c.m.'!G68)</f>
        <v>31972</v>
      </c>
    </row>
    <row r="359" spans="1:6" ht="15">
      <c r="A359" s="1574">
        <v>3144</v>
      </c>
      <c r="B359" s="1574"/>
      <c r="C359" s="1577" t="s">
        <v>387</v>
      </c>
      <c r="D359" s="1578"/>
      <c r="E359" s="1579"/>
      <c r="F359" s="941">
        <f>SUM('3c.m.'!G179)</f>
        <v>1500</v>
      </c>
    </row>
    <row r="360" spans="1:6" ht="15">
      <c r="A360" s="1574">
        <v>3304</v>
      </c>
      <c r="B360" s="1574"/>
      <c r="C360" s="1215" t="s">
        <v>1258</v>
      </c>
      <c r="D360" s="1216"/>
      <c r="E360" s="1217"/>
      <c r="F360" s="941">
        <v>11000</v>
      </c>
    </row>
    <row r="361" spans="1:6" ht="15">
      <c r="A361" s="1574">
        <v>3306</v>
      </c>
      <c r="B361" s="1574"/>
      <c r="C361" s="1577" t="s">
        <v>202</v>
      </c>
      <c r="D361" s="1578"/>
      <c r="E361" s="1579"/>
      <c r="F361" s="941">
        <f>SUM('3c.m.'!G412)</f>
        <v>10012</v>
      </c>
    </row>
    <row r="362" spans="1:6" ht="15">
      <c r="A362" s="1574">
        <v>3312</v>
      </c>
      <c r="B362" s="1574"/>
      <c r="C362" s="1577" t="s">
        <v>385</v>
      </c>
      <c r="D362" s="1578"/>
      <c r="E362" s="1579"/>
      <c r="F362" s="941">
        <f>SUM('3c.m.'!G445)</f>
        <v>42225</v>
      </c>
    </row>
    <row r="363" spans="1:6" ht="15">
      <c r="A363" s="1574">
        <v>3313</v>
      </c>
      <c r="B363" s="1574"/>
      <c r="C363" s="1577" t="s">
        <v>10</v>
      </c>
      <c r="D363" s="1578"/>
      <c r="E363" s="1579"/>
      <c r="F363" s="941">
        <f>SUM('3c.m.'!G453)</f>
        <v>7020</v>
      </c>
    </row>
    <row r="364" spans="1:6" ht="15">
      <c r="A364" s="1574">
        <v>3317</v>
      </c>
      <c r="B364" s="1574"/>
      <c r="C364" s="1577" t="s">
        <v>386</v>
      </c>
      <c r="D364" s="1578"/>
      <c r="E364" s="1579"/>
      <c r="F364" s="941">
        <f>SUM('3c.m.'!G477)</f>
        <v>90267</v>
      </c>
    </row>
    <row r="365" spans="1:6" ht="15">
      <c r="A365" s="1574">
        <v>3322</v>
      </c>
      <c r="B365" s="1574"/>
      <c r="C365" s="1577" t="s">
        <v>400</v>
      </c>
      <c r="D365" s="1578"/>
      <c r="E365" s="1579"/>
      <c r="F365" s="941">
        <f>SUM('3c.m.'!G503)</f>
        <v>9538</v>
      </c>
    </row>
    <row r="366" spans="1:6" ht="15">
      <c r="A366" s="1574">
        <v>3324</v>
      </c>
      <c r="B366" s="1574"/>
      <c r="C366" s="1577" t="s">
        <v>451</v>
      </c>
      <c r="D366" s="1578"/>
      <c r="E366" s="1579"/>
      <c r="F366" s="941">
        <f>SUM('3c.m.'!G519)</f>
        <v>3550</v>
      </c>
    </row>
    <row r="367" spans="1:6" ht="15">
      <c r="A367" s="1574">
        <v>3325</v>
      </c>
      <c r="B367" s="1574"/>
      <c r="C367" s="943" t="s">
        <v>1039</v>
      </c>
      <c r="D367" s="944"/>
      <c r="E367" s="945"/>
      <c r="F367" s="941">
        <f>SUM('3c.m.'!G527)</f>
        <v>40252</v>
      </c>
    </row>
    <row r="368" spans="1:6" ht="15">
      <c r="A368" s="1574">
        <v>3326</v>
      </c>
      <c r="B368" s="1574"/>
      <c r="C368" s="943" t="s">
        <v>1040</v>
      </c>
      <c r="D368" s="944"/>
      <c r="E368" s="945"/>
      <c r="F368" s="941">
        <f>SUM('3c.m.'!G535)</f>
        <v>6500</v>
      </c>
    </row>
    <row r="369" spans="1:6" ht="15">
      <c r="A369" s="1574">
        <v>3327</v>
      </c>
      <c r="B369" s="1574"/>
      <c r="C369" s="943" t="s">
        <v>1041</v>
      </c>
      <c r="D369" s="944"/>
      <c r="E369" s="945"/>
      <c r="F369" s="941">
        <f>SUM('3c.m.'!G543)</f>
        <v>1000</v>
      </c>
    </row>
    <row r="370" spans="1:6" ht="15">
      <c r="A370" s="1574">
        <v>3329</v>
      </c>
      <c r="B370" s="1574"/>
      <c r="C370" s="1187" t="s">
        <v>1197</v>
      </c>
      <c r="D370" s="1188"/>
      <c r="E370" s="1189"/>
      <c r="F370" s="941">
        <f>SUM('3c.m.'!G551)</f>
        <v>107059</v>
      </c>
    </row>
    <row r="371" spans="1:6" ht="15">
      <c r="A371" s="1574">
        <v>3351</v>
      </c>
      <c r="B371" s="1574"/>
      <c r="C371" s="1577" t="s">
        <v>401</v>
      </c>
      <c r="D371" s="1578"/>
      <c r="E371" s="1579"/>
      <c r="F371" s="941">
        <f>SUM('3c.m.'!G648)</f>
        <v>15500</v>
      </c>
    </row>
    <row r="372" spans="1:6" ht="15">
      <c r="A372" s="1574">
        <v>3352</v>
      </c>
      <c r="B372" s="1574"/>
      <c r="C372" s="1577" t="s">
        <v>472</v>
      </c>
      <c r="D372" s="1578"/>
      <c r="E372" s="1579"/>
      <c r="F372" s="941">
        <f>SUM('3c.m.'!G657)</f>
        <v>21741</v>
      </c>
    </row>
    <row r="373" spans="1:6" ht="15">
      <c r="A373" s="1574">
        <v>3358</v>
      </c>
      <c r="B373" s="1574"/>
      <c r="C373" s="1577" t="s">
        <v>764</v>
      </c>
      <c r="D373" s="1578"/>
      <c r="E373" s="1579"/>
      <c r="F373" s="941">
        <f>SUM('3c.m.'!G689)</f>
        <v>0</v>
      </c>
    </row>
    <row r="374" spans="1:6" ht="15">
      <c r="A374" s="1574">
        <v>3942</v>
      </c>
      <c r="B374" s="1574"/>
      <c r="C374" s="1577" t="s">
        <v>961</v>
      </c>
      <c r="D374" s="1578"/>
      <c r="E374" s="1579"/>
      <c r="F374" s="941">
        <f>SUM('3d.m.'!G32)</f>
        <v>8000</v>
      </c>
    </row>
    <row r="375" spans="1:6" ht="15">
      <c r="A375" s="1574">
        <v>3943</v>
      </c>
      <c r="B375" s="1574"/>
      <c r="C375" s="1577" t="s">
        <v>6</v>
      </c>
      <c r="D375" s="1578"/>
      <c r="E375" s="1579"/>
      <c r="F375" s="941">
        <f>SUM('3d.m.'!G33)</f>
        <v>1000</v>
      </c>
    </row>
    <row r="376" spans="1:6" ht="12" customHeight="1">
      <c r="A376" s="1591" t="s">
        <v>962</v>
      </c>
      <c r="B376" s="1594" t="s">
        <v>963</v>
      </c>
      <c r="C376" s="1595"/>
      <c r="D376" s="1595"/>
      <c r="E376" s="1596"/>
      <c r="F376" s="1580">
        <f>SUM(F379)</f>
        <v>15646</v>
      </c>
    </row>
    <row r="377" spans="1:6" ht="12.6" customHeight="1">
      <c r="A377" s="1592"/>
      <c r="B377" s="1597"/>
      <c r="C377" s="1598"/>
      <c r="D377" s="1598"/>
      <c r="E377" s="1599"/>
      <c r="F377" s="1581"/>
    </row>
    <row r="378" spans="1:6" ht="12.6" customHeight="1">
      <c r="A378" s="1593"/>
      <c r="B378" s="1600"/>
      <c r="C378" s="1601"/>
      <c r="D378" s="1601"/>
      <c r="E378" s="1602"/>
      <c r="F378" s="1582"/>
    </row>
    <row r="379" spans="1:6" ht="15">
      <c r="A379" s="1574">
        <v>3202</v>
      </c>
      <c r="B379" s="1574"/>
      <c r="C379" s="1577" t="s">
        <v>285</v>
      </c>
      <c r="D379" s="1578"/>
      <c r="E379" s="1579"/>
      <c r="F379" s="941">
        <f>SUM('3c.m.'!G230)</f>
        <v>15646</v>
      </c>
    </row>
    <row r="380" spans="1:6" ht="14.1" customHeight="1">
      <c r="A380" s="1591" t="s">
        <v>964</v>
      </c>
      <c r="B380" s="1594" t="s">
        <v>965</v>
      </c>
      <c r="C380" s="1595"/>
      <c r="D380" s="1595"/>
      <c r="E380" s="1596"/>
      <c r="F380" s="1580"/>
    </row>
    <row r="381" spans="1:6" ht="14.1" customHeight="1">
      <c r="A381" s="1592"/>
      <c r="B381" s="1597"/>
      <c r="C381" s="1598"/>
      <c r="D381" s="1598"/>
      <c r="E381" s="1599"/>
      <c r="F381" s="1603"/>
    </row>
    <row r="382" spans="1:6" ht="14.1" customHeight="1">
      <c r="A382" s="1593"/>
      <c r="B382" s="1600"/>
      <c r="C382" s="1601"/>
      <c r="D382" s="1601"/>
      <c r="E382" s="1602"/>
      <c r="F382" s="1604"/>
    </row>
    <row r="383" spans="1:6" ht="12.75">
      <c r="A383" s="1591" t="s">
        <v>813</v>
      </c>
      <c r="B383" s="1594" t="s">
        <v>814</v>
      </c>
      <c r="C383" s="1595"/>
      <c r="D383" s="1595"/>
      <c r="E383" s="1596"/>
      <c r="F383" s="1580">
        <f>SUM(F386:F395)</f>
        <v>935686</v>
      </c>
    </row>
    <row r="384" spans="1:6" ht="12.75">
      <c r="A384" s="1592"/>
      <c r="B384" s="1597"/>
      <c r="C384" s="1598"/>
      <c r="D384" s="1598"/>
      <c r="E384" s="1599"/>
      <c r="F384" s="1581"/>
    </row>
    <row r="385" spans="1:6" ht="12.75">
      <c r="A385" s="1593"/>
      <c r="B385" s="1600"/>
      <c r="C385" s="1601"/>
      <c r="D385" s="1601"/>
      <c r="E385" s="1602"/>
      <c r="F385" s="1582"/>
    </row>
    <row r="386" spans="1:6" ht="15">
      <c r="A386" s="1574">
        <v>1806</v>
      </c>
      <c r="B386" s="1574"/>
      <c r="C386" s="1577" t="s">
        <v>1028</v>
      </c>
      <c r="D386" s="1578"/>
      <c r="E386" s="1579"/>
      <c r="F386" s="950">
        <f>SUM('1c.mell '!G82)</f>
        <v>21257</v>
      </c>
    </row>
    <row r="387" spans="1:6" ht="15">
      <c r="A387" s="1574">
        <v>1843</v>
      </c>
      <c r="B387" s="1574"/>
      <c r="C387" s="1577" t="s">
        <v>1029</v>
      </c>
      <c r="D387" s="1578"/>
      <c r="E387" s="1579"/>
      <c r="F387" s="950">
        <f>SUM('1c.mell '!G105)</f>
        <v>63789</v>
      </c>
    </row>
    <row r="388" spans="1:6" ht="15">
      <c r="A388" s="1574">
        <v>1973</v>
      </c>
      <c r="B388" s="1574"/>
      <c r="C388" s="1577" t="s">
        <v>1299</v>
      </c>
      <c r="D388" s="1578"/>
      <c r="E388" s="1579"/>
      <c r="F388" s="950">
        <v>400837</v>
      </c>
    </row>
    <row r="389" spans="1:6" ht="15">
      <c r="A389" s="1574">
        <v>6110</v>
      </c>
      <c r="B389" s="1574"/>
      <c r="C389" s="1577" t="s">
        <v>966</v>
      </c>
      <c r="D389" s="1578"/>
      <c r="E389" s="1579"/>
      <c r="F389" s="941">
        <f>SUM('6.mell. '!G12)</f>
        <v>110340</v>
      </c>
    </row>
    <row r="390" spans="1:6" ht="15">
      <c r="A390" s="1574">
        <v>6121</v>
      </c>
      <c r="B390" s="1574"/>
      <c r="C390" s="1577" t="s">
        <v>967</v>
      </c>
      <c r="D390" s="1578"/>
      <c r="E390" s="1579"/>
      <c r="F390" s="941">
        <f>SUM('6.mell. '!G21)</f>
        <v>16463</v>
      </c>
    </row>
    <row r="391" spans="1:6" ht="15">
      <c r="A391" s="1574">
        <v>6122</v>
      </c>
      <c r="B391" s="1574"/>
      <c r="C391" s="1577" t="s">
        <v>1114</v>
      </c>
      <c r="D391" s="1578"/>
      <c r="E391" s="1579"/>
      <c r="F391" s="978">
        <f>SUM('6.mell. '!G22)</f>
        <v>0</v>
      </c>
    </row>
    <row r="392" spans="1:6" ht="15">
      <c r="A392" s="1574">
        <v>6134</v>
      </c>
      <c r="B392" s="1574"/>
      <c r="C392" s="1577" t="s">
        <v>1127</v>
      </c>
      <c r="D392" s="1578"/>
      <c r="E392" s="1579"/>
      <c r="F392" s="978">
        <f>SUM('6.mell. '!G35)</f>
        <v>10000</v>
      </c>
    </row>
    <row r="393" spans="1:6" ht="15">
      <c r="A393" s="1574">
        <v>6130</v>
      </c>
      <c r="B393" s="1574"/>
      <c r="C393" s="943" t="s">
        <v>1137</v>
      </c>
      <c r="D393" s="944"/>
      <c r="E393" s="945"/>
      <c r="F393" s="978"/>
    </row>
    <row r="394" spans="1:6" ht="15">
      <c r="A394" s="1574" t="s">
        <v>1198</v>
      </c>
      <c r="B394" s="1574"/>
      <c r="C394" s="1187" t="s">
        <v>1200</v>
      </c>
      <c r="D394" s="1188"/>
      <c r="E394" s="1189"/>
      <c r="F394" s="978">
        <v>313000</v>
      </c>
    </row>
    <row r="395" spans="1:6" ht="15">
      <c r="A395" s="1574">
        <v>6128</v>
      </c>
      <c r="B395" s="1574"/>
      <c r="C395" s="1577" t="s">
        <v>1128</v>
      </c>
      <c r="D395" s="1578"/>
      <c r="E395" s="1579"/>
      <c r="F395" s="978"/>
    </row>
    <row r="396" spans="1:6" ht="12.95" customHeight="1">
      <c r="A396" s="1583" t="s">
        <v>151</v>
      </c>
      <c r="B396" s="1584"/>
      <c r="C396" s="1584"/>
      <c r="D396" s="1584"/>
      <c r="E396" s="1585"/>
      <c r="F396" s="1589">
        <f>SUM(F383+F376+F355+F351+F347+F343+F338+F330+F323+F311+F307+F303+F299+F292+F288+F284+F277+F269+F265+F260+F256+F252+F246+F239+F233+F218+F214+F205+F199+F175+F164+F160+F156+F152+F148+F142+F106+F102+F94+F90+F86+F82+F78+F74+F69+F64+F17+F5++F273+F171+F194+F190+F186+F182+F51+F59+F210+F315+F319+F380+F98+F55)</f>
        <v>22545280</v>
      </c>
    </row>
    <row r="397" spans="1:6" ht="12.95" customHeight="1">
      <c r="A397" s="1586"/>
      <c r="B397" s="1587"/>
      <c r="C397" s="1587"/>
      <c r="D397" s="1587"/>
      <c r="E397" s="1588"/>
      <c r="F397" s="1590"/>
    </row>
  </sheetData>
  <mergeCells count="578">
    <mergeCell ref="A49:B49"/>
    <mergeCell ref="A101:B101"/>
    <mergeCell ref="C101:E101"/>
    <mergeCell ref="A139:B139"/>
    <mergeCell ref="A282:B282"/>
    <mergeCell ref="A203:B203"/>
    <mergeCell ref="A113:B113"/>
    <mergeCell ref="A51:A53"/>
    <mergeCell ref="B51:E53"/>
    <mergeCell ref="A67:B67"/>
    <mergeCell ref="C67:E67"/>
    <mergeCell ref="A74:A76"/>
    <mergeCell ref="B74:E76"/>
    <mergeCell ref="A86:A88"/>
    <mergeCell ref="B86:E88"/>
    <mergeCell ref="A118:B118"/>
    <mergeCell ref="C118:E118"/>
    <mergeCell ref="A119:B119"/>
    <mergeCell ref="C119:E119"/>
    <mergeCell ref="A123:B123"/>
    <mergeCell ref="C123:E123"/>
    <mergeCell ref="A105:B105"/>
    <mergeCell ref="A186:A188"/>
    <mergeCell ref="B186:E188"/>
    <mergeCell ref="B182:E184"/>
    <mergeCell ref="A194:A196"/>
    <mergeCell ref="B194:E196"/>
    <mergeCell ref="A127:B127"/>
    <mergeCell ref="A128:B128"/>
    <mergeCell ref="B148:E150"/>
    <mergeCell ref="A156:A158"/>
    <mergeCell ref="B156:E158"/>
    <mergeCell ref="B164:E166"/>
    <mergeCell ref="C179:E179"/>
    <mergeCell ref="A170:B170"/>
    <mergeCell ref="C170:E170"/>
    <mergeCell ref="A171:A173"/>
    <mergeCell ref="B171:E173"/>
    <mergeCell ref="A175:A177"/>
    <mergeCell ref="B175:E177"/>
    <mergeCell ref="A174:B174"/>
    <mergeCell ref="C174:E174"/>
    <mergeCell ref="A142:A144"/>
    <mergeCell ref="B142:E144"/>
    <mergeCell ref="A131:B131"/>
    <mergeCell ref="C131:E131"/>
    <mergeCell ref="A1:F1"/>
    <mergeCell ref="A2:F2"/>
    <mergeCell ref="A3:F3"/>
    <mergeCell ref="A5:A7"/>
    <mergeCell ref="B5:E7"/>
    <mergeCell ref="F5:F7"/>
    <mergeCell ref="B102:E104"/>
    <mergeCell ref="A106:A108"/>
    <mergeCell ref="B106:E108"/>
    <mergeCell ref="A10:B10"/>
    <mergeCell ref="C10:E10"/>
    <mergeCell ref="A11:B11"/>
    <mergeCell ref="C11:E11"/>
    <mergeCell ref="A12:B12"/>
    <mergeCell ref="C12:E12"/>
    <mergeCell ref="A8:B8"/>
    <mergeCell ref="C8:E8"/>
    <mergeCell ref="A9:B9"/>
    <mergeCell ref="C9:E9"/>
    <mergeCell ref="A17:A19"/>
    <mergeCell ref="B17:E19"/>
    <mergeCell ref="F17:F19"/>
    <mergeCell ref="A20:B20"/>
    <mergeCell ref="C20:E20"/>
    <mergeCell ref="A13:B13"/>
    <mergeCell ref="C13:E13"/>
    <mergeCell ref="A14:B14"/>
    <mergeCell ref="C14:E14"/>
    <mergeCell ref="A25:B25"/>
    <mergeCell ref="C25:E25"/>
    <mergeCell ref="A26:B26"/>
    <mergeCell ref="C26:E26"/>
    <mergeCell ref="A15:B15"/>
    <mergeCell ref="C15:E15"/>
    <mergeCell ref="A21:B21"/>
    <mergeCell ref="C21:E21"/>
    <mergeCell ref="A22:B22"/>
    <mergeCell ref="C22:E22"/>
    <mergeCell ref="A24:B24"/>
    <mergeCell ref="C24:E24"/>
    <mergeCell ref="A23:B23"/>
    <mergeCell ref="C23:E23"/>
    <mergeCell ref="A16:B16"/>
    <mergeCell ref="C16:E16"/>
    <mergeCell ref="A31:B31"/>
    <mergeCell ref="C31:E31"/>
    <mergeCell ref="A28:B28"/>
    <mergeCell ref="C28:E28"/>
    <mergeCell ref="A29:B29"/>
    <mergeCell ref="C29:E29"/>
    <mergeCell ref="A30:B30"/>
    <mergeCell ref="C30:E30"/>
    <mergeCell ref="A27:B27"/>
    <mergeCell ref="C27:E27"/>
    <mergeCell ref="A36:B36"/>
    <mergeCell ref="C36:E36"/>
    <mergeCell ref="A37:B37"/>
    <mergeCell ref="C37:E37"/>
    <mergeCell ref="A38:B38"/>
    <mergeCell ref="C38:E38"/>
    <mergeCell ref="A32:B32"/>
    <mergeCell ref="C32:E32"/>
    <mergeCell ref="A33:B33"/>
    <mergeCell ref="C33:E33"/>
    <mergeCell ref="A34:B34"/>
    <mergeCell ref="C34:E34"/>
    <mergeCell ref="A45:B45"/>
    <mergeCell ref="C45:E45"/>
    <mergeCell ref="A47:B47"/>
    <mergeCell ref="C47:E47"/>
    <mergeCell ref="A46:B46"/>
    <mergeCell ref="C46:E46"/>
    <mergeCell ref="A48:B48"/>
    <mergeCell ref="C48:E48"/>
    <mergeCell ref="A39:B39"/>
    <mergeCell ref="C39:E39"/>
    <mergeCell ref="A40:B40"/>
    <mergeCell ref="C40:E40"/>
    <mergeCell ref="A44:B44"/>
    <mergeCell ref="C44:E44"/>
    <mergeCell ref="A41:B41"/>
    <mergeCell ref="A42:B42"/>
    <mergeCell ref="A43:B43"/>
    <mergeCell ref="F51:F53"/>
    <mergeCell ref="A54:B54"/>
    <mergeCell ref="C54:E54"/>
    <mergeCell ref="A55:A57"/>
    <mergeCell ref="B55:E57"/>
    <mergeCell ref="F55:F57"/>
    <mergeCell ref="A50:B50"/>
    <mergeCell ref="C50:E50"/>
    <mergeCell ref="A64:A66"/>
    <mergeCell ref="B64:E66"/>
    <mergeCell ref="F64:F66"/>
    <mergeCell ref="A58:B58"/>
    <mergeCell ref="C58:E58"/>
    <mergeCell ref="A59:A61"/>
    <mergeCell ref="B59:E61"/>
    <mergeCell ref="F59:F61"/>
    <mergeCell ref="A62:B62"/>
    <mergeCell ref="C62:E62"/>
    <mergeCell ref="F74:F76"/>
    <mergeCell ref="A77:B77"/>
    <mergeCell ref="C77:E77"/>
    <mergeCell ref="A78:A80"/>
    <mergeCell ref="B78:E80"/>
    <mergeCell ref="F78:F80"/>
    <mergeCell ref="A69:A71"/>
    <mergeCell ref="B69:E71"/>
    <mergeCell ref="F69:F71"/>
    <mergeCell ref="A72:B72"/>
    <mergeCell ref="C72:E72"/>
    <mergeCell ref="F86:F88"/>
    <mergeCell ref="A89:B89"/>
    <mergeCell ref="C89:E89"/>
    <mergeCell ref="A90:A92"/>
    <mergeCell ref="B90:E92"/>
    <mergeCell ref="F90:F92"/>
    <mergeCell ref="A81:B81"/>
    <mergeCell ref="C81:E81"/>
    <mergeCell ref="A82:A84"/>
    <mergeCell ref="B82:E84"/>
    <mergeCell ref="F82:F84"/>
    <mergeCell ref="A85:B85"/>
    <mergeCell ref="C85:E85"/>
    <mergeCell ref="F94:F96"/>
    <mergeCell ref="A97:B97"/>
    <mergeCell ref="C97:E97"/>
    <mergeCell ref="A98:A100"/>
    <mergeCell ref="B98:E100"/>
    <mergeCell ref="F98:F100"/>
    <mergeCell ref="A102:A104"/>
    <mergeCell ref="A93:B93"/>
    <mergeCell ref="C93:E93"/>
    <mergeCell ref="A94:A96"/>
    <mergeCell ref="B94:E96"/>
    <mergeCell ref="F102:F104"/>
    <mergeCell ref="C105:E105"/>
    <mergeCell ref="C114:E114"/>
    <mergeCell ref="A116:B116"/>
    <mergeCell ref="C116:E116"/>
    <mergeCell ref="F106:F108"/>
    <mergeCell ref="A109:B109"/>
    <mergeCell ref="C109:E109"/>
    <mergeCell ref="A111:B111"/>
    <mergeCell ref="C111:E111"/>
    <mergeCell ref="A114:B114"/>
    <mergeCell ref="A112:B112"/>
    <mergeCell ref="A110:B110"/>
    <mergeCell ref="C110:E110"/>
    <mergeCell ref="C112:E112"/>
    <mergeCell ref="A115:B115"/>
    <mergeCell ref="C115:E115"/>
    <mergeCell ref="A120:B120"/>
    <mergeCell ref="C120:E120"/>
    <mergeCell ref="A121:B121"/>
    <mergeCell ref="C121:E121"/>
    <mergeCell ref="C159:E159"/>
    <mergeCell ref="A160:A162"/>
    <mergeCell ref="B160:E162"/>
    <mergeCell ref="A163:B163"/>
    <mergeCell ref="C163:E163"/>
    <mergeCell ref="C129:E129"/>
    <mergeCell ref="C141:E141"/>
    <mergeCell ref="A122:B122"/>
    <mergeCell ref="C122:E122"/>
    <mergeCell ref="A135:B135"/>
    <mergeCell ref="A132:B132"/>
    <mergeCell ref="C132:E132"/>
    <mergeCell ref="A141:B141"/>
    <mergeCell ref="A147:B147"/>
    <mergeCell ref="C147:E147"/>
    <mergeCell ref="A148:A150"/>
    <mergeCell ref="C145:E145"/>
    <mergeCell ref="A130:B130"/>
    <mergeCell ref="C130:E130"/>
    <mergeCell ref="A136:B136"/>
    <mergeCell ref="F182:F184"/>
    <mergeCell ref="A185:B185"/>
    <mergeCell ref="C185:E185"/>
    <mergeCell ref="F175:F177"/>
    <mergeCell ref="F148:F150"/>
    <mergeCell ref="A151:B151"/>
    <mergeCell ref="C151:E151"/>
    <mergeCell ref="A152:A154"/>
    <mergeCell ref="B152:E154"/>
    <mergeCell ref="F152:F154"/>
    <mergeCell ref="A155:B155"/>
    <mergeCell ref="C155:E155"/>
    <mergeCell ref="F156:F158"/>
    <mergeCell ref="F164:F166"/>
    <mergeCell ref="A167:B167"/>
    <mergeCell ref="C167:E167"/>
    <mergeCell ref="A168:B168"/>
    <mergeCell ref="C168:E168"/>
    <mergeCell ref="A159:B159"/>
    <mergeCell ref="F160:F162"/>
    <mergeCell ref="A169:B169"/>
    <mergeCell ref="C169:E169"/>
    <mergeCell ref="A164:A166"/>
    <mergeCell ref="A182:A184"/>
    <mergeCell ref="F186:F188"/>
    <mergeCell ref="A35:B35"/>
    <mergeCell ref="C35:E35"/>
    <mergeCell ref="A63:B63"/>
    <mergeCell ref="C63:E63"/>
    <mergeCell ref="A180:B180"/>
    <mergeCell ref="C180:E180"/>
    <mergeCell ref="A68:B68"/>
    <mergeCell ref="A146:B146"/>
    <mergeCell ref="C146:E146"/>
    <mergeCell ref="C68:E68"/>
    <mergeCell ref="F171:F173"/>
    <mergeCell ref="A181:B181"/>
    <mergeCell ref="C181:E181"/>
    <mergeCell ref="A178:B178"/>
    <mergeCell ref="C178:E178"/>
    <mergeCell ref="A179:B179"/>
    <mergeCell ref="A117:B117"/>
    <mergeCell ref="C117:E117"/>
    <mergeCell ref="C140:E140"/>
    <mergeCell ref="A124:B124"/>
    <mergeCell ref="C124:E124"/>
    <mergeCell ref="F142:F144"/>
    <mergeCell ref="A145:B145"/>
    <mergeCell ref="F194:F196"/>
    <mergeCell ref="A197:B197"/>
    <mergeCell ref="C197:E197"/>
    <mergeCell ref="A198:B198"/>
    <mergeCell ref="C198:E198"/>
    <mergeCell ref="A189:B189"/>
    <mergeCell ref="C189:E189"/>
    <mergeCell ref="A190:A192"/>
    <mergeCell ref="B190:E192"/>
    <mergeCell ref="F190:F192"/>
    <mergeCell ref="A193:B193"/>
    <mergeCell ref="C193:E193"/>
    <mergeCell ref="A205:A207"/>
    <mergeCell ref="B205:E207"/>
    <mergeCell ref="F205:F207"/>
    <mergeCell ref="A208:B208"/>
    <mergeCell ref="C208:E208"/>
    <mergeCell ref="A209:B209"/>
    <mergeCell ref="C209:E209"/>
    <mergeCell ref="A199:A201"/>
    <mergeCell ref="B199:E201"/>
    <mergeCell ref="F199:F201"/>
    <mergeCell ref="A202:B202"/>
    <mergeCell ref="C202:E202"/>
    <mergeCell ref="A204:B204"/>
    <mergeCell ref="C204:E204"/>
    <mergeCell ref="F218:F220"/>
    <mergeCell ref="A221:B221"/>
    <mergeCell ref="C221:E221"/>
    <mergeCell ref="A210:A212"/>
    <mergeCell ref="B210:E212"/>
    <mergeCell ref="F210:F212"/>
    <mergeCell ref="A213:B213"/>
    <mergeCell ref="C213:E213"/>
    <mergeCell ref="A214:A216"/>
    <mergeCell ref="B214:E216"/>
    <mergeCell ref="F214:F216"/>
    <mergeCell ref="A222:B222"/>
    <mergeCell ref="C222:E222"/>
    <mergeCell ref="A223:B223"/>
    <mergeCell ref="C223:E223"/>
    <mergeCell ref="A224:B224"/>
    <mergeCell ref="C224:E224"/>
    <mergeCell ref="A217:B217"/>
    <mergeCell ref="C217:E217"/>
    <mergeCell ref="A218:A220"/>
    <mergeCell ref="B218:E220"/>
    <mergeCell ref="A228:B228"/>
    <mergeCell ref="C228:E228"/>
    <mergeCell ref="A229:B229"/>
    <mergeCell ref="C229:E229"/>
    <mergeCell ref="A230:B230"/>
    <mergeCell ref="C230:E230"/>
    <mergeCell ref="A225:B225"/>
    <mergeCell ref="C225:E225"/>
    <mergeCell ref="A226:B226"/>
    <mergeCell ref="C226:E226"/>
    <mergeCell ref="A227:B227"/>
    <mergeCell ref="C227:E227"/>
    <mergeCell ref="F233:F235"/>
    <mergeCell ref="A236:B236"/>
    <mergeCell ref="C236:E236"/>
    <mergeCell ref="A237:B237"/>
    <mergeCell ref="C237:E237"/>
    <mergeCell ref="A238:B238"/>
    <mergeCell ref="C238:E238"/>
    <mergeCell ref="A231:B231"/>
    <mergeCell ref="C231:E231"/>
    <mergeCell ref="A232:B232"/>
    <mergeCell ref="C232:E232"/>
    <mergeCell ref="A233:A235"/>
    <mergeCell ref="B233:E235"/>
    <mergeCell ref="C245:E245"/>
    <mergeCell ref="A246:A248"/>
    <mergeCell ref="B246:E248"/>
    <mergeCell ref="A239:A241"/>
    <mergeCell ref="B239:E241"/>
    <mergeCell ref="F239:F241"/>
    <mergeCell ref="A242:B242"/>
    <mergeCell ref="C242:E242"/>
    <mergeCell ref="A243:B243"/>
    <mergeCell ref="C243:E243"/>
    <mergeCell ref="F252:F254"/>
    <mergeCell ref="A255:B255"/>
    <mergeCell ref="C255:E255"/>
    <mergeCell ref="A256:A258"/>
    <mergeCell ref="B256:E258"/>
    <mergeCell ref="F256:F258"/>
    <mergeCell ref="F246:F248"/>
    <mergeCell ref="A249:B249"/>
    <mergeCell ref="C249:E249"/>
    <mergeCell ref="A250:B250"/>
    <mergeCell ref="C250:E250"/>
    <mergeCell ref="A251:B251"/>
    <mergeCell ref="C251:E251"/>
    <mergeCell ref="F265:F267"/>
    <mergeCell ref="A268:B268"/>
    <mergeCell ref="C268:E268"/>
    <mergeCell ref="A269:A271"/>
    <mergeCell ref="B269:E271"/>
    <mergeCell ref="F269:F271"/>
    <mergeCell ref="A259:B259"/>
    <mergeCell ref="C259:E259"/>
    <mergeCell ref="A260:A262"/>
    <mergeCell ref="B260:E262"/>
    <mergeCell ref="F260:F262"/>
    <mergeCell ref="A263:B263"/>
    <mergeCell ref="C263:E263"/>
    <mergeCell ref="F277:F279"/>
    <mergeCell ref="A280:B280"/>
    <mergeCell ref="C280:E280"/>
    <mergeCell ref="A281:B281"/>
    <mergeCell ref="C281:E281"/>
    <mergeCell ref="A272:B272"/>
    <mergeCell ref="C272:E272"/>
    <mergeCell ref="A273:A275"/>
    <mergeCell ref="B273:E275"/>
    <mergeCell ref="F273:F275"/>
    <mergeCell ref="A276:B276"/>
    <mergeCell ref="C276:E276"/>
    <mergeCell ref="A277:A279"/>
    <mergeCell ref="F288:F290"/>
    <mergeCell ref="A291:B291"/>
    <mergeCell ref="C291:E291"/>
    <mergeCell ref="A292:A294"/>
    <mergeCell ref="B292:E294"/>
    <mergeCell ref="F292:F294"/>
    <mergeCell ref="A283:B283"/>
    <mergeCell ref="C283:E283"/>
    <mergeCell ref="A284:A286"/>
    <mergeCell ref="B284:E286"/>
    <mergeCell ref="F284:F286"/>
    <mergeCell ref="A287:B287"/>
    <mergeCell ref="C287:E287"/>
    <mergeCell ref="B288:E290"/>
    <mergeCell ref="F299:F301"/>
    <mergeCell ref="A302:B302"/>
    <mergeCell ref="C302:E302"/>
    <mergeCell ref="A303:A305"/>
    <mergeCell ref="B303:E305"/>
    <mergeCell ref="F303:F305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F311:F313"/>
    <mergeCell ref="A314:B314"/>
    <mergeCell ref="C314:E314"/>
    <mergeCell ref="A315:A317"/>
    <mergeCell ref="B315:E317"/>
    <mergeCell ref="F315:F317"/>
    <mergeCell ref="A306:B306"/>
    <mergeCell ref="C306:E306"/>
    <mergeCell ref="A307:A309"/>
    <mergeCell ref="B307:E309"/>
    <mergeCell ref="F307:F309"/>
    <mergeCell ref="A310:B310"/>
    <mergeCell ref="C310:E310"/>
    <mergeCell ref="F323:F325"/>
    <mergeCell ref="A326:B326"/>
    <mergeCell ref="C326:E326"/>
    <mergeCell ref="A327:B327"/>
    <mergeCell ref="C327:E327"/>
    <mergeCell ref="A318:B318"/>
    <mergeCell ref="C318:E318"/>
    <mergeCell ref="A319:A321"/>
    <mergeCell ref="B319:E321"/>
    <mergeCell ref="F319:F321"/>
    <mergeCell ref="A322:B322"/>
    <mergeCell ref="C322:E322"/>
    <mergeCell ref="F330:F332"/>
    <mergeCell ref="A333:B333"/>
    <mergeCell ref="C333:E333"/>
    <mergeCell ref="A334:B334"/>
    <mergeCell ref="C334:E334"/>
    <mergeCell ref="A335:B335"/>
    <mergeCell ref="C335:E335"/>
    <mergeCell ref="A328:B328"/>
    <mergeCell ref="C328:E328"/>
    <mergeCell ref="A329:B329"/>
    <mergeCell ref="C329:E329"/>
    <mergeCell ref="A330:A332"/>
    <mergeCell ref="B330:E332"/>
    <mergeCell ref="F338:F340"/>
    <mergeCell ref="A341:B341"/>
    <mergeCell ref="C341:E341"/>
    <mergeCell ref="A343:A345"/>
    <mergeCell ref="B343:E345"/>
    <mergeCell ref="F343:F345"/>
    <mergeCell ref="A342:B342"/>
    <mergeCell ref="A336:B336"/>
    <mergeCell ref="C336:E336"/>
    <mergeCell ref="A337:B337"/>
    <mergeCell ref="C337:E337"/>
    <mergeCell ref="A338:A340"/>
    <mergeCell ref="B338:E340"/>
    <mergeCell ref="B355:E357"/>
    <mergeCell ref="F355:F357"/>
    <mergeCell ref="A346:B346"/>
    <mergeCell ref="C346:E346"/>
    <mergeCell ref="A347:A349"/>
    <mergeCell ref="B347:E349"/>
    <mergeCell ref="F347:F349"/>
    <mergeCell ref="A350:B350"/>
    <mergeCell ref="C350:E350"/>
    <mergeCell ref="A355:A357"/>
    <mergeCell ref="A354:B354"/>
    <mergeCell ref="C354:E354"/>
    <mergeCell ref="A380:A382"/>
    <mergeCell ref="B380:E382"/>
    <mergeCell ref="F380:F382"/>
    <mergeCell ref="A376:A378"/>
    <mergeCell ref="B376:E378"/>
    <mergeCell ref="C359:E359"/>
    <mergeCell ref="A361:B361"/>
    <mergeCell ref="C361:E361"/>
    <mergeCell ref="A374:B374"/>
    <mergeCell ref="C374:E374"/>
    <mergeCell ref="A375:B375"/>
    <mergeCell ref="C371:E371"/>
    <mergeCell ref="A372:B372"/>
    <mergeCell ref="C372:E372"/>
    <mergeCell ref="A373:B373"/>
    <mergeCell ref="C373:E373"/>
    <mergeCell ref="C364:E364"/>
    <mergeCell ref="A366:B366"/>
    <mergeCell ref="C366:E366"/>
    <mergeCell ref="A362:B362"/>
    <mergeCell ref="C362:E362"/>
    <mergeCell ref="A367:B367"/>
    <mergeCell ref="A368:B368"/>
    <mergeCell ref="A369:B369"/>
    <mergeCell ref="A396:E397"/>
    <mergeCell ref="F396:F397"/>
    <mergeCell ref="A383:A385"/>
    <mergeCell ref="B383:E385"/>
    <mergeCell ref="F383:F385"/>
    <mergeCell ref="A389:B389"/>
    <mergeCell ref="C389:E389"/>
    <mergeCell ref="A395:B395"/>
    <mergeCell ref="C395:E395"/>
    <mergeCell ref="A386:B386"/>
    <mergeCell ref="A393:B393"/>
    <mergeCell ref="A391:B391"/>
    <mergeCell ref="C391:E391"/>
    <mergeCell ref="A392:B392"/>
    <mergeCell ref="C392:E392"/>
    <mergeCell ref="A390:B390"/>
    <mergeCell ref="C390:E390"/>
    <mergeCell ref="A387:B387"/>
    <mergeCell ref="C387:E387"/>
    <mergeCell ref="C386:E386"/>
    <mergeCell ref="A394:B394"/>
    <mergeCell ref="A388:B388"/>
    <mergeCell ref="C388:E388"/>
    <mergeCell ref="A379:B379"/>
    <mergeCell ref="C379:E379"/>
    <mergeCell ref="A265:A267"/>
    <mergeCell ref="F376:F378"/>
    <mergeCell ref="C244:E244"/>
    <mergeCell ref="A245:B245"/>
    <mergeCell ref="C375:E375"/>
    <mergeCell ref="A371:B371"/>
    <mergeCell ref="A264:B264"/>
    <mergeCell ref="C264:E264"/>
    <mergeCell ref="A365:B365"/>
    <mergeCell ref="C365:E365"/>
    <mergeCell ref="C363:E363"/>
    <mergeCell ref="A364:B364"/>
    <mergeCell ref="A351:A353"/>
    <mergeCell ref="B351:E353"/>
    <mergeCell ref="A323:A325"/>
    <mergeCell ref="B323:E325"/>
    <mergeCell ref="A311:A313"/>
    <mergeCell ref="B265:E267"/>
    <mergeCell ref="A252:A254"/>
    <mergeCell ref="B252:E254"/>
    <mergeCell ref="A244:B244"/>
    <mergeCell ref="F351:F353"/>
    <mergeCell ref="A360:B360"/>
    <mergeCell ref="A140:B140"/>
    <mergeCell ref="A299:A301"/>
    <mergeCell ref="B299:E301"/>
    <mergeCell ref="A288:A290"/>
    <mergeCell ref="A370:B370"/>
    <mergeCell ref="A73:B73"/>
    <mergeCell ref="A359:B359"/>
    <mergeCell ref="A137:B137"/>
    <mergeCell ref="C137:E137"/>
    <mergeCell ref="A138:B138"/>
    <mergeCell ref="C138:E138"/>
    <mergeCell ref="A363:B363"/>
    <mergeCell ref="A126:B126"/>
    <mergeCell ref="A125:B125"/>
    <mergeCell ref="C125:E125"/>
    <mergeCell ref="C126:E126"/>
    <mergeCell ref="B311:E313"/>
    <mergeCell ref="A358:B358"/>
    <mergeCell ref="C358:E358"/>
    <mergeCell ref="A129:B129"/>
    <mergeCell ref="A133:B133"/>
    <mergeCell ref="A134:B134"/>
    <mergeCell ref="B277:E279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3" r:id="rId1"/>
  <headerFooter>
    <oddFooter>&amp;C&amp;P.oldal</oddFooter>
  </headerFooter>
  <rowBreaks count="6" manualBreakCount="6">
    <brk id="58" max="16383" man="1"/>
    <brk id="123" max="16383" man="1"/>
    <brk id="189" max="16383" man="1"/>
    <brk id="251" max="16383" man="1"/>
    <brk id="314" max="16383" man="1"/>
    <brk id="37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 topLeftCell="A61">
      <selection activeCell="F38" sqref="F38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607" t="s">
        <v>968</v>
      </c>
      <c r="B1" s="1607"/>
      <c r="C1" s="1607"/>
      <c r="D1" s="1607"/>
      <c r="E1" s="1607"/>
      <c r="F1" s="1607"/>
    </row>
    <row r="2" spans="1:6" ht="12.75">
      <c r="A2" s="1607" t="s">
        <v>969</v>
      </c>
      <c r="B2" s="1607"/>
      <c r="C2" s="1607"/>
      <c r="D2" s="1607"/>
      <c r="E2" s="1607"/>
      <c r="F2" s="1607"/>
    </row>
    <row r="3" spans="1:6" ht="12.75">
      <c r="A3" s="1607" t="s">
        <v>1112</v>
      </c>
      <c r="B3" s="1607"/>
      <c r="C3" s="1607"/>
      <c r="D3" s="1607"/>
      <c r="E3" s="1607"/>
      <c r="F3" s="1607"/>
    </row>
    <row r="4" ht="12.75">
      <c r="F4" s="936" t="s">
        <v>368</v>
      </c>
    </row>
    <row r="5" spans="1:6" ht="12.75">
      <c r="A5" s="1575" t="s">
        <v>813</v>
      </c>
      <c r="B5" s="1576" t="s">
        <v>814</v>
      </c>
      <c r="C5" s="1576"/>
      <c r="D5" s="1576"/>
      <c r="E5" s="1576"/>
      <c r="F5" s="1608">
        <f>SUM(F8:F44)</f>
        <v>2367992</v>
      </c>
    </row>
    <row r="6" spans="1:6" ht="12.75">
      <c r="A6" s="1575"/>
      <c r="B6" s="1576"/>
      <c r="C6" s="1576"/>
      <c r="D6" s="1576"/>
      <c r="E6" s="1576"/>
      <c r="F6" s="1609"/>
    </row>
    <row r="7" spans="1:6" ht="12.75">
      <c r="A7" s="1575"/>
      <c r="B7" s="1576"/>
      <c r="C7" s="1576"/>
      <c r="D7" s="1576"/>
      <c r="E7" s="1576"/>
      <c r="F7" s="1610"/>
    </row>
    <row r="8" spans="1:6" ht="15">
      <c r="A8" s="1611">
        <v>1030</v>
      </c>
      <c r="B8" s="1611"/>
      <c r="C8" s="1612" t="s">
        <v>429</v>
      </c>
      <c r="D8" s="1613"/>
      <c r="E8" s="1614"/>
      <c r="F8" s="1049">
        <v>70425</v>
      </c>
    </row>
    <row r="9" spans="1:6" ht="15">
      <c r="A9" s="1611">
        <v>1016</v>
      </c>
      <c r="B9" s="1611"/>
      <c r="C9" s="938" t="s">
        <v>1047</v>
      </c>
      <c r="D9" s="939"/>
      <c r="E9" s="940"/>
      <c r="F9" s="1049"/>
    </row>
    <row r="10" spans="1:6" ht="15">
      <c r="A10" s="1611">
        <v>1071</v>
      </c>
      <c r="B10" s="1611"/>
      <c r="C10" s="1612" t="s">
        <v>970</v>
      </c>
      <c r="D10" s="1613"/>
      <c r="E10" s="1614"/>
      <c r="F10" s="941">
        <f>SUM('1b.mell '!G29)</f>
        <v>10000</v>
      </c>
    </row>
    <row r="11" spans="1:6" ht="15">
      <c r="A11" s="1611">
        <v>1073</v>
      </c>
      <c r="B11" s="1611"/>
      <c r="C11" s="1224" t="s">
        <v>1262</v>
      </c>
      <c r="D11" s="1225"/>
      <c r="E11" s="1226"/>
      <c r="F11" s="941">
        <f>SUM('1b.mell '!G30)</f>
        <v>11452</v>
      </c>
    </row>
    <row r="12" spans="1:6" ht="15">
      <c r="A12" s="1611">
        <v>1074</v>
      </c>
      <c r="B12" s="1611"/>
      <c r="C12" s="1612" t="s">
        <v>971</v>
      </c>
      <c r="D12" s="1613"/>
      <c r="E12" s="1614"/>
      <c r="F12" s="941"/>
    </row>
    <row r="13" spans="1:6" ht="15">
      <c r="A13" s="1611">
        <v>1078</v>
      </c>
      <c r="B13" s="1611"/>
      <c r="C13" s="1612" t="s">
        <v>972</v>
      </c>
      <c r="D13" s="1613"/>
      <c r="E13" s="1614"/>
      <c r="F13" s="941">
        <f>SUM('1b.mell '!G35)</f>
        <v>5000</v>
      </c>
    </row>
    <row r="14" spans="1:6" ht="15">
      <c r="A14" s="1611">
        <v>1093</v>
      </c>
      <c r="B14" s="1611"/>
      <c r="C14" s="1612" t="s">
        <v>973</v>
      </c>
      <c r="D14" s="1613"/>
      <c r="E14" s="1614"/>
      <c r="F14" s="941">
        <f>SUM('1b.mell '!G43)</f>
        <v>10000</v>
      </c>
    </row>
    <row r="15" spans="1:6" ht="15">
      <c r="A15" s="1611">
        <v>1101</v>
      </c>
      <c r="B15" s="1611"/>
      <c r="C15" s="1612" t="s">
        <v>974</v>
      </c>
      <c r="D15" s="1613"/>
      <c r="E15" s="1614"/>
      <c r="F15" s="941">
        <f>SUM('1b.mell '!G50)</f>
        <v>20000</v>
      </c>
    </row>
    <row r="16" spans="1:6" ht="15">
      <c r="A16" s="1611">
        <v>1121</v>
      </c>
      <c r="B16" s="1611"/>
      <c r="C16" s="1612" t="s">
        <v>975</v>
      </c>
      <c r="D16" s="1613"/>
      <c r="E16" s="1614"/>
      <c r="F16" s="941">
        <f>SUM('1b.mell '!G56)</f>
        <v>74957</v>
      </c>
    </row>
    <row r="17" spans="1:6" ht="15">
      <c r="A17" s="1611">
        <v>1122</v>
      </c>
      <c r="B17" s="1611"/>
      <c r="C17" s="1612" t="s">
        <v>976</v>
      </c>
      <c r="D17" s="1613"/>
      <c r="E17" s="1614"/>
      <c r="F17" s="941">
        <f>SUM('1b.mell '!G57)</f>
        <v>166400</v>
      </c>
    </row>
    <row r="18" spans="1:6" ht="15">
      <c r="A18" s="1611">
        <v>1123</v>
      </c>
      <c r="B18" s="1611"/>
      <c r="C18" s="1612" t="s">
        <v>977</v>
      </c>
      <c r="D18" s="1613"/>
      <c r="E18" s="1614"/>
      <c r="F18" s="941">
        <f>SUM('1b.mell '!G58)</f>
        <v>198935</v>
      </c>
    </row>
    <row r="19" spans="1:6" ht="15">
      <c r="A19" s="1611">
        <v>1141</v>
      </c>
      <c r="B19" s="1611"/>
      <c r="C19" s="1612" t="s">
        <v>456</v>
      </c>
      <c r="D19" s="1613"/>
      <c r="E19" s="1614"/>
      <c r="F19" s="941">
        <f>SUM('1b.mell '!G61)</f>
        <v>6000</v>
      </c>
    </row>
    <row r="20" spans="1:6" ht="15">
      <c r="A20" s="1611">
        <v>1150</v>
      </c>
      <c r="B20" s="1611"/>
      <c r="C20" s="1612" t="s">
        <v>229</v>
      </c>
      <c r="D20" s="1613"/>
      <c r="E20" s="1614"/>
      <c r="F20" s="941">
        <f>SUM('1b.mell '!G62)</f>
        <v>32337</v>
      </c>
    </row>
    <row r="21" spans="1:6" ht="15">
      <c r="A21" s="1611">
        <v>1151</v>
      </c>
      <c r="B21" s="1611"/>
      <c r="C21" s="1612" t="s">
        <v>434</v>
      </c>
      <c r="D21" s="1613"/>
      <c r="E21" s="1614"/>
      <c r="F21" s="941">
        <f>SUM('1b.mell '!G63)</f>
        <v>16000</v>
      </c>
    </row>
    <row r="22" spans="1:6" ht="15">
      <c r="A22" s="1611">
        <v>1160</v>
      </c>
      <c r="B22" s="1611"/>
      <c r="C22" s="1612" t="s">
        <v>230</v>
      </c>
      <c r="D22" s="1613"/>
      <c r="E22" s="1614"/>
      <c r="F22" s="941">
        <v>12670</v>
      </c>
    </row>
    <row r="23" spans="1:6" ht="15">
      <c r="A23" s="1611">
        <v>1180</v>
      </c>
      <c r="B23" s="1611"/>
      <c r="C23" s="1612" t="s">
        <v>404</v>
      </c>
      <c r="D23" s="1613"/>
      <c r="E23" s="1614"/>
      <c r="F23" s="941">
        <v>400000</v>
      </c>
    </row>
    <row r="24" spans="1:6" ht="15">
      <c r="A24" s="1611">
        <v>1185</v>
      </c>
      <c r="B24" s="1611"/>
      <c r="C24" s="1612" t="s">
        <v>462</v>
      </c>
      <c r="D24" s="1613"/>
      <c r="E24" s="1614"/>
      <c r="F24" s="941"/>
    </row>
    <row r="25" spans="1:6" ht="15">
      <c r="A25" s="1611">
        <v>1165</v>
      </c>
      <c r="B25" s="1611"/>
      <c r="C25" s="996" t="s">
        <v>232</v>
      </c>
      <c r="D25" s="939"/>
      <c r="E25" s="940"/>
      <c r="F25" s="941">
        <v>740000</v>
      </c>
    </row>
    <row r="26" spans="1:6" ht="15">
      <c r="A26" s="1611">
        <v>1210</v>
      </c>
      <c r="B26" s="1611"/>
      <c r="C26" s="996" t="s">
        <v>241</v>
      </c>
      <c r="D26" s="939"/>
      <c r="E26" s="940"/>
      <c r="F26" s="941"/>
    </row>
    <row r="27" spans="1:6" ht="15">
      <c r="A27" s="1611">
        <v>1231</v>
      </c>
      <c r="B27" s="1611"/>
      <c r="C27" s="1612" t="s">
        <v>212</v>
      </c>
      <c r="D27" s="1613"/>
      <c r="E27" s="1614"/>
      <c r="F27" s="941"/>
    </row>
    <row r="28" spans="1:6" ht="15">
      <c r="A28" s="1611">
        <v>1241</v>
      </c>
      <c r="B28" s="1611"/>
      <c r="C28" s="1612" t="s">
        <v>973</v>
      </c>
      <c r="D28" s="1613"/>
      <c r="E28" s="1614"/>
      <c r="F28" s="941">
        <f>SUM('1b.mell '!G110)</f>
        <v>8000</v>
      </c>
    </row>
    <row r="29" spans="1:6" ht="15">
      <c r="A29" s="1611">
        <v>1250</v>
      </c>
      <c r="B29" s="1611"/>
      <c r="C29" s="1612" t="s">
        <v>223</v>
      </c>
      <c r="D29" s="1613"/>
      <c r="E29" s="1614"/>
      <c r="F29" s="941">
        <f>SUM('1b.mell '!G112)</f>
        <v>15000</v>
      </c>
    </row>
    <row r="30" spans="1:6" ht="15">
      <c r="A30" s="1611">
        <v>1260</v>
      </c>
      <c r="B30" s="1611"/>
      <c r="C30" s="1612" t="s">
        <v>227</v>
      </c>
      <c r="D30" s="1613"/>
      <c r="E30" s="1614"/>
      <c r="F30" s="941">
        <v>6210</v>
      </c>
    </row>
    <row r="31" spans="1:6" ht="15">
      <c r="A31" s="1611">
        <v>1262</v>
      </c>
      <c r="B31" s="1611"/>
      <c r="C31" s="1612" t="s">
        <v>456</v>
      </c>
      <c r="D31" s="1613"/>
      <c r="E31" s="1614"/>
      <c r="F31" s="941">
        <v>10</v>
      </c>
    </row>
    <row r="32" spans="1:6" ht="15">
      <c r="A32" s="1611">
        <v>1270</v>
      </c>
      <c r="B32" s="1611"/>
      <c r="C32" s="1612" t="s">
        <v>229</v>
      </c>
      <c r="D32" s="1613"/>
      <c r="E32" s="1614"/>
      <c r="F32" s="941">
        <v>1000</v>
      </c>
    </row>
    <row r="33" spans="1:6" ht="15">
      <c r="A33" s="1611">
        <v>1560</v>
      </c>
      <c r="B33" s="1611"/>
      <c r="C33" s="938" t="s">
        <v>978</v>
      </c>
      <c r="D33" s="939"/>
      <c r="E33" s="940"/>
      <c r="F33" s="941">
        <v>23000</v>
      </c>
    </row>
    <row r="34" spans="1:6" ht="15">
      <c r="A34" s="1611">
        <v>1401</v>
      </c>
      <c r="B34" s="1611"/>
      <c r="C34" s="938" t="s">
        <v>1045</v>
      </c>
      <c r="D34" s="939"/>
      <c r="E34" s="940"/>
      <c r="F34" s="941">
        <v>46602</v>
      </c>
    </row>
    <row r="35" spans="1:6" ht="15">
      <c r="A35" s="1611">
        <v>1409</v>
      </c>
      <c r="B35" s="1611"/>
      <c r="C35" s="938" t="s">
        <v>417</v>
      </c>
      <c r="D35" s="939"/>
      <c r="E35" s="940"/>
      <c r="F35" s="941"/>
    </row>
    <row r="36" spans="1:6" ht="15">
      <c r="A36" s="1611">
        <v>1436</v>
      </c>
      <c r="B36" s="1611"/>
      <c r="C36" s="938" t="s">
        <v>1046</v>
      </c>
      <c r="D36" s="939"/>
      <c r="E36" s="940"/>
      <c r="F36" s="941"/>
    </row>
    <row r="37" spans="1:6" ht="15">
      <c r="A37" s="1611">
        <v>1445</v>
      </c>
      <c r="B37" s="1611"/>
      <c r="C37" s="132" t="s">
        <v>241</v>
      </c>
      <c r="D37" s="939"/>
      <c r="E37" s="940"/>
      <c r="F37" s="941">
        <v>1500</v>
      </c>
    </row>
    <row r="38" spans="1:6" ht="15">
      <c r="A38" s="1611">
        <v>1411</v>
      </c>
      <c r="B38" s="1611"/>
      <c r="C38" s="1612" t="s">
        <v>973</v>
      </c>
      <c r="D38" s="1613"/>
      <c r="E38" s="1614"/>
      <c r="F38" s="941">
        <f>SUM('1b.mell '!G198)</f>
        <v>15689</v>
      </c>
    </row>
    <row r="39" spans="1:6" ht="15">
      <c r="A39" s="1611">
        <v>1420</v>
      </c>
      <c r="B39" s="1611"/>
      <c r="C39" s="1612" t="s">
        <v>223</v>
      </c>
      <c r="D39" s="1613"/>
      <c r="E39" s="1614"/>
      <c r="F39" s="941">
        <f>SUM('1b.mell '!G200)</f>
        <v>9134</v>
      </c>
    </row>
    <row r="40" spans="1:6" ht="15">
      <c r="A40" s="1611">
        <v>1422</v>
      </c>
      <c r="B40" s="1611"/>
      <c r="C40" s="1612" t="s">
        <v>227</v>
      </c>
      <c r="D40" s="1613"/>
      <c r="E40" s="1614"/>
      <c r="F40" s="941">
        <f>SUM('1b.mell '!G202)</f>
        <v>50651</v>
      </c>
    </row>
    <row r="41" spans="1:6" ht="15">
      <c r="A41" s="1611">
        <v>1424</v>
      </c>
      <c r="B41" s="1611"/>
      <c r="C41" s="1612" t="s">
        <v>456</v>
      </c>
      <c r="D41" s="1613"/>
      <c r="E41" s="1614"/>
      <c r="F41" s="941"/>
    </row>
    <row r="42" spans="1:6" ht="15">
      <c r="A42" s="1611">
        <v>1425</v>
      </c>
      <c r="B42" s="1611"/>
      <c r="C42" s="1612" t="s">
        <v>1050</v>
      </c>
      <c r="D42" s="1613"/>
      <c r="E42" s="1614"/>
      <c r="F42" s="941">
        <v>2303</v>
      </c>
    </row>
    <row r="43" spans="1:6" ht="15">
      <c r="A43" s="1611">
        <v>1572</v>
      </c>
      <c r="B43" s="1611"/>
      <c r="C43" s="1612" t="s">
        <v>1300</v>
      </c>
      <c r="D43" s="1613"/>
      <c r="E43" s="1614"/>
      <c r="F43" s="941">
        <v>400837</v>
      </c>
    </row>
    <row r="44" spans="1:6" ht="15">
      <c r="A44" s="1611">
        <v>1423</v>
      </c>
      <c r="B44" s="1611"/>
      <c r="C44" s="1612" t="s">
        <v>228</v>
      </c>
      <c r="D44" s="1613"/>
      <c r="E44" s="1614"/>
      <c r="F44" s="941">
        <v>13880</v>
      </c>
    </row>
    <row r="45" spans="1:6" ht="18" customHeight="1">
      <c r="A45" s="1575" t="s">
        <v>979</v>
      </c>
      <c r="B45" s="1576" t="s">
        <v>980</v>
      </c>
      <c r="C45" s="1576"/>
      <c r="D45" s="1576"/>
      <c r="E45" s="1576"/>
      <c r="F45" s="1608">
        <f>SUM(F48:F55)</f>
        <v>7527515</v>
      </c>
    </row>
    <row r="46" spans="1:6" ht="18.95" customHeight="1">
      <c r="A46" s="1575"/>
      <c r="B46" s="1576"/>
      <c r="C46" s="1576"/>
      <c r="D46" s="1576"/>
      <c r="E46" s="1576"/>
      <c r="F46" s="1609"/>
    </row>
    <row r="47" spans="1:6" ht="21.95" customHeight="1">
      <c r="A47" s="1575"/>
      <c r="B47" s="1576"/>
      <c r="C47" s="1576"/>
      <c r="D47" s="1576"/>
      <c r="E47" s="1576"/>
      <c r="F47" s="1610"/>
    </row>
    <row r="48" spans="1:6" ht="15">
      <c r="A48" s="1611">
        <v>1041</v>
      </c>
      <c r="B48" s="1611"/>
      <c r="C48" s="1612" t="s">
        <v>616</v>
      </c>
      <c r="D48" s="1613"/>
      <c r="E48" s="1614"/>
      <c r="F48" s="941">
        <f>SUM('1b.mell '!G22)</f>
        <v>2959000</v>
      </c>
    </row>
    <row r="49" spans="1:6" ht="15">
      <c r="A49" s="1611">
        <v>1042</v>
      </c>
      <c r="B49" s="1611"/>
      <c r="C49" s="1612" t="s">
        <v>619</v>
      </c>
      <c r="D49" s="1613"/>
      <c r="E49" s="1614"/>
      <c r="F49" s="941">
        <f>SUM('1b.mell '!G23)</f>
        <v>435000</v>
      </c>
    </row>
    <row r="50" spans="1:6" ht="15">
      <c r="A50" s="1611">
        <v>1051</v>
      </c>
      <c r="B50" s="1611"/>
      <c r="C50" s="1612" t="s">
        <v>981</v>
      </c>
      <c r="D50" s="1613"/>
      <c r="E50" s="1614"/>
      <c r="F50" s="941">
        <f>SUM('1b.mell '!G25)</f>
        <v>4050087</v>
      </c>
    </row>
    <row r="51" spans="1:6" ht="15">
      <c r="A51" s="1611">
        <v>1052</v>
      </c>
      <c r="B51" s="1611"/>
      <c r="C51" s="1612" t="s">
        <v>982</v>
      </c>
      <c r="D51" s="1613"/>
      <c r="E51" s="1614"/>
      <c r="F51" s="941">
        <f>SUM('1b.mell '!F26)</f>
        <v>0</v>
      </c>
    </row>
    <row r="52" spans="1:6" ht="15">
      <c r="A52" s="1611">
        <v>1053</v>
      </c>
      <c r="B52" s="1611"/>
      <c r="C52" s="1612" t="s">
        <v>983</v>
      </c>
      <c r="D52" s="1613"/>
      <c r="E52" s="1614"/>
      <c r="F52" s="941">
        <f>SUM('1b.mell '!G27)</f>
        <v>57835</v>
      </c>
    </row>
    <row r="53" spans="1:6" ht="15">
      <c r="A53" s="1611">
        <v>1075</v>
      </c>
      <c r="B53" s="1611"/>
      <c r="C53" s="1612" t="s">
        <v>984</v>
      </c>
      <c r="D53" s="1613"/>
      <c r="E53" s="1614"/>
      <c r="F53" s="941">
        <f>SUM('1b.mell '!G32)</f>
        <v>5000</v>
      </c>
    </row>
    <row r="54" spans="1:6" ht="15">
      <c r="A54" s="1611">
        <v>1076</v>
      </c>
      <c r="B54" s="1611"/>
      <c r="C54" s="1612" t="s">
        <v>985</v>
      </c>
      <c r="D54" s="1613"/>
      <c r="E54" s="1614"/>
      <c r="F54" s="941">
        <v>5593</v>
      </c>
    </row>
    <row r="55" spans="1:6" ht="15">
      <c r="A55" s="1611">
        <v>1305</v>
      </c>
      <c r="B55" s="1611"/>
      <c r="C55" s="1612" t="s">
        <v>9</v>
      </c>
      <c r="D55" s="1613"/>
      <c r="E55" s="1614"/>
      <c r="F55" s="941">
        <f>SUM('1b.mell '!G152)</f>
        <v>15000</v>
      </c>
    </row>
    <row r="56" spans="1:6" ht="12.75">
      <c r="A56" s="1575" t="s">
        <v>818</v>
      </c>
      <c r="B56" s="1576" t="s">
        <v>819</v>
      </c>
      <c r="C56" s="1576"/>
      <c r="D56" s="1576"/>
      <c r="E56" s="1576"/>
      <c r="F56" s="1608">
        <f>SUM(F59:F68)</f>
        <v>1520287</v>
      </c>
    </row>
    <row r="57" spans="1:6" ht="12.75">
      <c r="A57" s="1575"/>
      <c r="B57" s="1576"/>
      <c r="C57" s="1576"/>
      <c r="D57" s="1576"/>
      <c r="E57" s="1576"/>
      <c r="F57" s="1609"/>
    </row>
    <row r="58" spans="1:6" ht="12.75">
      <c r="A58" s="1591"/>
      <c r="B58" s="1576"/>
      <c r="C58" s="1576"/>
      <c r="D58" s="1576"/>
      <c r="E58" s="1576"/>
      <c r="F58" s="1610"/>
    </row>
    <row r="59" spans="1:6" ht="15">
      <c r="A59" s="1611">
        <v>1091</v>
      </c>
      <c r="B59" s="1611"/>
      <c r="C59" s="1612" t="s">
        <v>986</v>
      </c>
      <c r="D59" s="1613"/>
      <c r="E59" s="1614"/>
      <c r="F59" s="941">
        <f>SUM('1b.mell '!G41)</f>
        <v>239843</v>
      </c>
    </row>
    <row r="60" spans="1:6" ht="15">
      <c r="A60" s="1611">
        <v>1094</v>
      </c>
      <c r="B60" s="1611"/>
      <c r="C60" s="1612" t="s">
        <v>987</v>
      </c>
      <c r="D60" s="1613"/>
      <c r="E60" s="1614"/>
      <c r="F60" s="941">
        <f>SUM('1b.mell '!G44)</f>
        <v>12000</v>
      </c>
    </row>
    <row r="61" spans="1:6" ht="15">
      <c r="A61" s="1611">
        <v>1095</v>
      </c>
      <c r="B61" s="1611"/>
      <c r="C61" s="1612" t="s">
        <v>988</v>
      </c>
      <c r="D61" s="1613"/>
      <c r="E61" s="1614"/>
      <c r="F61" s="941">
        <f>SUM('1b.mell '!G45)</f>
        <v>265000</v>
      </c>
    </row>
    <row r="62" spans="1:6" ht="15">
      <c r="A62" s="1611">
        <v>1096</v>
      </c>
      <c r="B62" s="1611"/>
      <c r="C62" s="1612" t="s">
        <v>624</v>
      </c>
      <c r="D62" s="1613"/>
      <c r="E62" s="1614"/>
      <c r="F62" s="941">
        <f>SUM('1b.mell '!G46)</f>
        <v>241000</v>
      </c>
    </row>
    <row r="63" spans="1:6" ht="15">
      <c r="A63" s="1611">
        <v>1097</v>
      </c>
      <c r="B63" s="1611"/>
      <c r="C63" s="1612" t="s">
        <v>989</v>
      </c>
      <c r="D63" s="1613"/>
      <c r="E63" s="1614"/>
      <c r="F63" s="941">
        <v>3000</v>
      </c>
    </row>
    <row r="64" spans="1:6" ht="15">
      <c r="A64" s="1611">
        <v>1102</v>
      </c>
      <c r="B64" s="1611"/>
      <c r="C64" s="1612" t="s">
        <v>990</v>
      </c>
      <c r="D64" s="1613"/>
      <c r="E64" s="1614"/>
      <c r="F64" s="941">
        <f>SUM('1b.mell '!G51)</f>
        <v>85500</v>
      </c>
    </row>
    <row r="65" spans="1:6" ht="15">
      <c r="A65" s="1611">
        <v>1191</v>
      </c>
      <c r="B65" s="1611"/>
      <c r="C65" s="1612" t="s">
        <v>991</v>
      </c>
      <c r="D65" s="1613"/>
      <c r="E65" s="1614"/>
      <c r="F65" s="941">
        <f>SUM('1b.mell '!G81)</f>
        <v>344000</v>
      </c>
    </row>
    <row r="66" spans="1:6" ht="15">
      <c r="A66" s="1611">
        <v>1194</v>
      </c>
      <c r="B66" s="1611"/>
      <c r="C66" s="1612" t="s">
        <v>992</v>
      </c>
      <c r="D66" s="1613"/>
      <c r="E66" s="1614"/>
      <c r="F66" s="941">
        <f>SUM('1b.mell '!G82)</f>
        <v>50000</v>
      </c>
    </row>
    <row r="67" spans="1:6" ht="15">
      <c r="A67" s="1611">
        <v>1195</v>
      </c>
      <c r="B67" s="1611"/>
      <c r="C67" s="1612" t="s">
        <v>993</v>
      </c>
      <c r="D67" s="1613"/>
      <c r="E67" s="1614"/>
      <c r="F67" s="941">
        <f>SUM('1b.mell '!G83)</f>
        <v>255000</v>
      </c>
    </row>
    <row r="68" spans="1:6" ht="15">
      <c r="A68" s="1611">
        <v>1412</v>
      </c>
      <c r="B68" s="1611"/>
      <c r="C68" s="1612" t="s">
        <v>987</v>
      </c>
      <c r="D68" s="1613"/>
      <c r="E68" s="1614"/>
      <c r="F68" s="941">
        <f>SUM('1b.mell '!G199)</f>
        <v>24944</v>
      </c>
    </row>
    <row r="69" spans="1:6" ht="12.75">
      <c r="A69" s="1575" t="s">
        <v>994</v>
      </c>
      <c r="B69" s="1576" t="s">
        <v>995</v>
      </c>
      <c r="C69" s="1576"/>
      <c r="D69" s="1576"/>
      <c r="E69" s="1576"/>
      <c r="F69" s="1608">
        <f>SUM(F72:F72)</f>
        <v>1930545</v>
      </c>
    </row>
    <row r="70" spans="1:6" ht="12.75">
      <c r="A70" s="1575"/>
      <c r="B70" s="1576"/>
      <c r="C70" s="1576"/>
      <c r="D70" s="1576"/>
      <c r="E70" s="1576"/>
      <c r="F70" s="1609"/>
    </row>
    <row r="71" spans="1:6" ht="12.75">
      <c r="A71" s="1591"/>
      <c r="B71" s="1576"/>
      <c r="C71" s="1576"/>
      <c r="D71" s="1576"/>
      <c r="E71" s="1576"/>
      <c r="F71" s="1610"/>
    </row>
    <row r="72" spans="1:6" ht="15">
      <c r="A72" s="1611">
        <v>1010</v>
      </c>
      <c r="B72" s="1611"/>
      <c r="C72" s="1612" t="s">
        <v>207</v>
      </c>
      <c r="D72" s="1613"/>
      <c r="E72" s="1614"/>
      <c r="F72" s="941">
        <f>SUM('1b.mell '!G10)</f>
        <v>1930545</v>
      </c>
    </row>
    <row r="73" spans="1:6" ht="12.75">
      <c r="A73" s="1575" t="s">
        <v>996</v>
      </c>
      <c r="B73" s="1576" t="s">
        <v>997</v>
      </c>
      <c r="C73" s="1576"/>
      <c r="D73" s="1576"/>
      <c r="E73" s="1576"/>
      <c r="F73" s="1608">
        <f>SUM(F76:F77)</f>
        <v>8088978</v>
      </c>
    </row>
    <row r="74" spans="1:6" ht="12.75">
      <c r="A74" s="1575"/>
      <c r="B74" s="1576"/>
      <c r="C74" s="1576"/>
      <c r="D74" s="1576"/>
      <c r="E74" s="1576"/>
      <c r="F74" s="1609"/>
    </row>
    <row r="75" spans="1:6" ht="12.75">
      <c r="A75" s="1591"/>
      <c r="B75" s="1576"/>
      <c r="C75" s="1576"/>
      <c r="D75" s="1576"/>
      <c r="E75" s="1576"/>
      <c r="F75" s="1610"/>
    </row>
    <row r="76" spans="1:6" ht="15">
      <c r="A76" s="1611">
        <v>1570.1581</v>
      </c>
      <c r="B76" s="1611"/>
      <c r="C76" s="1612" t="s">
        <v>998</v>
      </c>
      <c r="D76" s="1613"/>
      <c r="E76" s="1614"/>
      <c r="F76" s="941">
        <f>SUM('1b.mell '!G268+'1b.mell '!G273)</f>
        <v>8088978</v>
      </c>
    </row>
    <row r="77" spans="1:6" ht="15">
      <c r="A77" s="1611">
        <v>1573</v>
      </c>
      <c r="B77" s="1611"/>
      <c r="C77" s="1612" t="s">
        <v>999</v>
      </c>
      <c r="D77" s="1613"/>
      <c r="E77" s="1614"/>
      <c r="F77" s="948"/>
    </row>
    <row r="78" spans="1:6" ht="12.75">
      <c r="A78" s="1575" t="s">
        <v>858</v>
      </c>
      <c r="B78" s="1576" t="s">
        <v>859</v>
      </c>
      <c r="C78" s="1576"/>
      <c r="D78" s="1576"/>
      <c r="E78" s="1576"/>
      <c r="F78" s="1608">
        <f>SUM(F81:F86)</f>
        <v>951779</v>
      </c>
    </row>
    <row r="79" spans="1:6" ht="12.75">
      <c r="A79" s="1575"/>
      <c r="B79" s="1576"/>
      <c r="C79" s="1576"/>
      <c r="D79" s="1576"/>
      <c r="E79" s="1576"/>
      <c r="F79" s="1609"/>
    </row>
    <row r="80" spans="1:6" ht="12.75">
      <c r="A80" s="1575"/>
      <c r="B80" s="1576"/>
      <c r="C80" s="1576"/>
      <c r="D80" s="1576"/>
      <c r="E80" s="1576"/>
      <c r="F80" s="1610"/>
    </row>
    <row r="81" spans="1:6" ht="15">
      <c r="A81" s="1611">
        <v>1077</v>
      </c>
      <c r="B81" s="1611"/>
      <c r="C81" s="1612" t="s">
        <v>1000</v>
      </c>
      <c r="D81" s="1613"/>
      <c r="E81" s="1614"/>
      <c r="F81" s="941">
        <f>SUM('1b.mell '!G34)</f>
        <v>194500</v>
      </c>
    </row>
    <row r="82" spans="1:6" ht="15">
      <c r="A82" s="1611">
        <v>1079</v>
      </c>
      <c r="B82" s="1611"/>
      <c r="C82" s="1612" t="s">
        <v>1001</v>
      </c>
      <c r="D82" s="1613"/>
      <c r="E82" s="1614"/>
      <c r="F82" s="941">
        <f>SUM('1b.mell '!G36)</f>
        <v>3000</v>
      </c>
    </row>
    <row r="83" spans="1:6" ht="15">
      <c r="A83" s="1611">
        <v>1306</v>
      </c>
      <c r="B83" s="1611"/>
      <c r="C83" s="1612" t="s">
        <v>1002</v>
      </c>
      <c r="D83" s="1613"/>
      <c r="E83" s="1614"/>
      <c r="F83" s="941">
        <f>SUM('1b.mell '!G153)</f>
        <v>15000</v>
      </c>
    </row>
    <row r="84" spans="1:6" ht="15">
      <c r="A84" s="1611">
        <v>1092</v>
      </c>
      <c r="B84" s="1611"/>
      <c r="C84" s="1612" t="s">
        <v>1003</v>
      </c>
      <c r="D84" s="1613"/>
      <c r="E84" s="1614"/>
      <c r="F84" s="941">
        <f>SUM('1b.mell '!G42)</f>
        <v>716279</v>
      </c>
    </row>
    <row r="85" spans="1:6" ht="15">
      <c r="A85" s="1611">
        <v>1098</v>
      </c>
      <c r="B85" s="1611"/>
      <c r="C85" s="1612" t="s">
        <v>1004</v>
      </c>
      <c r="D85" s="1613"/>
      <c r="E85" s="1614"/>
      <c r="F85" s="941">
        <v>15000</v>
      </c>
    </row>
    <row r="86" spans="1:6" ht="15">
      <c r="A86" s="1611">
        <v>1103</v>
      </c>
      <c r="B86" s="1611"/>
      <c r="C86" s="1612" t="s">
        <v>1005</v>
      </c>
      <c r="D86" s="1613"/>
      <c r="E86" s="1614"/>
      <c r="F86" s="941">
        <f>SUM('1b.mell '!G52)</f>
        <v>8000</v>
      </c>
    </row>
    <row r="87" spans="1:6" ht="12.75">
      <c r="A87" s="1575" t="s">
        <v>922</v>
      </c>
      <c r="B87" s="1576" t="s">
        <v>923</v>
      </c>
      <c r="C87" s="1576"/>
      <c r="D87" s="1576"/>
      <c r="E87" s="1576"/>
      <c r="F87" s="1608">
        <f>SUM(F90)</f>
        <v>158184</v>
      </c>
    </row>
    <row r="88" spans="1:6" ht="12.75">
      <c r="A88" s="1575"/>
      <c r="B88" s="1576"/>
      <c r="C88" s="1576"/>
      <c r="D88" s="1576"/>
      <c r="E88" s="1576"/>
      <c r="F88" s="1609"/>
    </row>
    <row r="89" spans="1:6" ht="12.75">
      <c r="A89" s="1575"/>
      <c r="B89" s="1576"/>
      <c r="C89" s="1576"/>
      <c r="D89" s="1576"/>
      <c r="E89" s="1576"/>
      <c r="F89" s="1610"/>
    </row>
    <row r="90" spans="1:6" ht="15">
      <c r="A90" s="1611">
        <v>1421</v>
      </c>
      <c r="B90" s="1611"/>
      <c r="C90" s="1612" t="s">
        <v>226</v>
      </c>
      <c r="D90" s="1613"/>
      <c r="E90" s="1614"/>
      <c r="F90" s="941">
        <v>158184</v>
      </c>
    </row>
    <row r="91" spans="1:6" ht="12.75">
      <c r="A91" s="1617" t="s">
        <v>151</v>
      </c>
      <c r="B91" s="1618"/>
      <c r="C91" s="1618"/>
      <c r="D91" s="1618"/>
      <c r="E91" s="1618"/>
      <c r="F91" s="1615">
        <f>SUM(F87+F78+F73+F69+F56+F45+F5)</f>
        <v>22545280</v>
      </c>
    </row>
    <row r="92" spans="1:6" ht="12.75">
      <c r="A92" s="1619"/>
      <c r="B92" s="1620"/>
      <c r="C92" s="1620"/>
      <c r="D92" s="1620"/>
      <c r="E92" s="1620"/>
      <c r="F92" s="1616"/>
    </row>
  </sheetData>
  <mergeCells count="147">
    <mergeCell ref="A43:B43"/>
    <mergeCell ref="C43:E43"/>
    <mergeCell ref="A1:F1"/>
    <mergeCell ref="A2:F2"/>
    <mergeCell ref="A3:F3"/>
    <mergeCell ref="A5:A7"/>
    <mergeCell ref="B5:E7"/>
    <mergeCell ref="F5:F7"/>
    <mergeCell ref="A34:B34"/>
    <mergeCell ref="A36:B36"/>
    <mergeCell ref="A9:B9"/>
    <mergeCell ref="A22:B22"/>
    <mergeCell ref="C22:E22"/>
    <mergeCell ref="A26:B26"/>
    <mergeCell ref="A10:B10"/>
    <mergeCell ref="C10:E10"/>
    <mergeCell ref="A12:B12"/>
    <mergeCell ref="C12:E12"/>
    <mergeCell ref="A15:B15"/>
    <mergeCell ref="C15:E15"/>
    <mergeCell ref="A16:B16"/>
    <mergeCell ref="C16:E16"/>
    <mergeCell ref="A17:B17"/>
    <mergeCell ref="C17:E17"/>
    <mergeCell ref="A13:B13"/>
    <mergeCell ref="C13:E13"/>
    <mergeCell ref="A8:B8"/>
    <mergeCell ref="C8:E8"/>
    <mergeCell ref="A14:B14"/>
    <mergeCell ref="C14:E14"/>
    <mergeCell ref="A31:B31"/>
    <mergeCell ref="C31:E31"/>
    <mergeCell ref="A24:B24"/>
    <mergeCell ref="C24:E24"/>
    <mergeCell ref="A18:B18"/>
    <mergeCell ref="C18:E18"/>
    <mergeCell ref="A19:B19"/>
    <mergeCell ref="C19:E19"/>
    <mergeCell ref="C30:E30"/>
    <mergeCell ref="A23:B23"/>
    <mergeCell ref="C23:E23"/>
    <mergeCell ref="A20:B20"/>
    <mergeCell ref="C20:E20"/>
    <mergeCell ref="A21:B21"/>
    <mergeCell ref="A28:B28"/>
    <mergeCell ref="C28:E28"/>
    <mergeCell ref="A29:B29"/>
    <mergeCell ref="C29:E29"/>
    <mergeCell ref="A30:B30"/>
    <mergeCell ref="C21:E21"/>
    <mergeCell ref="A33:B33"/>
    <mergeCell ref="A35:B35"/>
    <mergeCell ref="A37:B37"/>
    <mergeCell ref="A41:B41"/>
    <mergeCell ref="C41:E41"/>
    <mergeCell ref="A42:B42"/>
    <mergeCell ref="C42:E42"/>
    <mergeCell ref="A40:B40"/>
    <mergeCell ref="C40:E40"/>
    <mergeCell ref="F45:F47"/>
    <mergeCell ref="A48:B48"/>
    <mergeCell ref="C48:E48"/>
    <mergeCell ref="A49:B49"/>
    <mergeCell ref="C49:E49"/>
    <mergeCell ref="A50:B50"/>
    <mergeCell ref="C50:E50"/>
    <mergeCell ref="A45:A47"/>
    <mergeCell ref="B45:E47"/>
    <mergeCell ref="F56:F58"/>
    <mergeCell ref="A59:B59"/>
    <mergeCell ref="C59:E59"/>
    <mergeCell ref="A60:B60"/>
    <mergeCell ref="C60:E60"/>
    <mergeCell ref="A61:B61"/>
    <mergeCell ref="C61:E61"/>
    <mergeCell ref="A54:B54"/>
    <mergeCell ref="C54:E54"/>
    <mergeCell ref="A55:B55"/>
    <mergeCell ref="C55:E55"/>
    <mergeCell ref="A56:A58"/>
    <mergeCell ref="B56:E58"/>
    <mergeCell ref="F69:F71"/>
    <mergeCell ref="A72:B72"/>
    <mergeCell ref="C72:E72"/>
    <mergeCell ref="A68:B68"/>
    <mergeCell ref="C68:E68"/>
    <mergeCell ref="A65:B65"/>
    <mergeCell ref="C65:E65"/>
    <mergeCell ref="A66:B66"/>
    <mergeCell ref="C66:E66"/>
    <mergeCell ref="A67:B67"/>
    <mergeCell ref="C67:E67"/>
    <mergeCell ref="A69:A71"/>
    <mergeCell ref="B69:E71"/>
    <mergeCell ref="F78:F80"/>
    <mergeCell ref="A81:B81"/>
    <mergeCell ref="C81:E81"/>
    <mergeCell ref="A82:B82"/>
    <mergeCell ref="C82:E82"/>
    <mergeCell ref="A73:A75"/>
    <mergeCell ref="B73:E75"/>
    <mergeCell ref="F73:F75"/>
    <mergeCell ref="A76:B76"/>
    <mergeCell ref="C76:E76"/>
    <mergeCell ref="A77:B77"/>
    <mergeCell ref="C77:E77"/>
    <mergeCell ref="A78:A80"/>
    <mergeCell ref="B78:E80"/>
    <mergeCell ref="F91:F92"/>
    <mergeCell ref="A86:B86"/>
    <mergeCell ref="C86:E86"/>
    <mergeCell ref="A87:A89"/>
    <mergeCell ref="B87:E89"/>
    <mergeCell ref="F87:F89"/>
    <mergeCell ref="A90:B90"/>
    <mergeCell ref="C90:E90"/>
    <mergeCell ref="A83:B83"/>
    <mergeCell ref="C83:E83"/>
    <mergeCell ref="A84:B84"/>
    <mergeCell ref="C84:E84"/>
    <mergeCell ref="A85:B85"/>
    <mergeCell ref="C85:E85"/>
    <mergeCell ref="A91:E92"/>
    <mergeCell ref="A11:B11"/>
    <mergeCell ref="A62:B62"/>
    <mergeCell ref="C62:E62"/>
    <mergeCell ref="A63:B63"/>
    <mergeCell ref="C63:E63"/>
    <mergeCell ref="A64:B64"/>
    <mergeCell ref="C64:E64"/>
    <mergeCell ref="A51:B51"/>
    <mergeCell ref="C51:E51"/>
    <mergeCell ref="A52:B52"/>
    <mergeCell ref="C52:E52"/>
    <mergeCell ref="A53:B53"/>
    <mergeCell ref="C53:E53"/>
    <mergeCell ref="A27:B27"/>
    <mergeCell ref="C27:E27"/>
    <mergeCell ref="A25:B25"/>
    <mergeCell ref="A44:B44"/>
    <mergeCell ref="C44:E44"/>
    <mergeCell ref="A38:B38"/>
    <mergeCell ref="C38:E38"/>
    <mergeCell ref="A39:B39"/>
    <mergeCell ref="C39:E39"/>
    <mergeCell ref="A32:B32"/>
    <mergeCell ref="C32:E32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showZeros="0" view="pageBreakPreview" zoomScaleSheetLayoutView="100" workbookViewId="0" topLeftCell="A114">
      <selection activeCell="H149" sqref="H149"/>
    </sheetView>
  </sheetViews>
  <sheetFormatPr defaultColWidth="9.125" defaultRowHeight="12.75"/>
  <cols>
    <col min="1" max="1" width="8.00390625" style="17" customWidth="1"/>
    <col min="2" max="2" width="71.625" style="17" customWidth="1"/>
    <col min="3" max="7" width="12.125" style="17" customWidth="1"/>
    <col min="8" max="8" width="9.00390625" style="17" customWidth="1"/>
    <col min="9" max="16384" width="9.125" style="17" customWidth="1"/>
  </cols>
  <sheetData>
    <row r="1" spans="1:8" ht="12.75">
      <c r="A1" s="1318" t="s">
        <v>274</v>
      </c>
      <c r="B1" s="1318"/>
      <c r="C1" s="1308"/>
      <c r="D1" s="1308"/>
      <c r="E1" s="1308"/>
      <c r="F1" s="1308"/>
      <c r="G1" s="1308"/>
      <c r="H1" s="1308"/>
    </row>
    <row r="2" spans="1:8" ht="12.75">
      <c r="A2" s="1318" t="s">
        <v>1061</v>
      </c>
      <c r="B2" s="1318"/>
      <c r="C2" s="1308"/>
      <c r="D2" s="1308"/>
      <c r="E2" s="1308"/>
      <c r="F2" s="1308"/>
      <c r="G2" s="1308"/>
      <c r="H2" s="1308"/>
    </row>
    <row r="3" spans="1:2" ht="9" customHeight="1">
      <c r="A3" s="88"/>
      <c r="B3" s="88"/>
    </row>
    <row r="4" spans="1:8" ht="12" customHeight="1">
      <c r="A4" s="78"/>
      <c r="B4" s="77"/>
      <c r="C4" s="75"/>
      <c r="D4" s="75"/>
      <c r="E4" s="75"/>
      <c r="F4" s="75"/>
      <c r="G4" s="75"/>
      <c r="H4" s="75" t="s">
        <v>181</v>
      </c>
    </row>
    <row r="5" spans="1:8" s="19" customFormat="1" ht="12" customHeight="1">
      <c r="A5" s="81"/>
      <c r="B5" s="18"/>
      <c r="C5" s="1300" t="s">
        <v>1193</v>
      </c>
      <c r="D5" s="1300" t="s">
        <v>1226</v>
      </c>
      <c r="E5" s="1300" t="s">
        <v>1264</v>
      </c>
      <c r="F5" s="1300" t="s">
        <v>1273</v>
      </c>
      <c r="G5" s="1300" t="s">
        <v>1277</v>
      </c>
      <c r="H5" s="1315" t="s">
        <v>1279</v>
      </c>
    </row>
    <row r="6" spans="1:8" s="19" customFormat="1" ht="12" customHeight="1">
      <c r="A6" s="1" t="s">
        <v>189</v>
      </c>
      <c r="B6" s="1" t="s">
        <v>162</v>
      </c>
      <c r="C6" s="1319"/>
      <c r="D6" s="1319"/>
      <c r="E6" s="1319"/>
      <c r="F6" s="1319"/>
      <c r="G6" s="1319"/>
      <c r="H6" s="1316"/>
    </row>
    <row r="7" spans="1:8" s="19" customFormat="1" ht="12.75" customHeight="1" thickBot="1">
      <c r="A7" s="20"/>
      <c r="B7" s="20"/>
      <c r="C7" s="1320"/>
      <c r="D7" s="1320"/>
      <c r="E7" s="1320"/>
      <c r="F7" s="1320"/>
      <c r="G7" s="1320"/>
      <c r="H7" s="1317"/>
    </row>
    <row r="8" spans="1:8" ht="12" customHeight="1">
      <c r="A8" s="2" t="s">
        <v>163</v>
      </c>
      <c r="B8" s="3" t="s">
        <v>164</v>
      </c>
      <c r="C8" s="13" t="s">
        <v>165</v>
      </c>
      <c r="D8" s="13" t="s">
        <v>166</v>
      </c>
      <c r="E8" s="13" t="s">
        <v>167</v>
      </c>
      <c r="F8" s="13" t="s">
        <v>43</v>
      </c>
      <c r="G8" s="13" t="s">
        <v>369</v>
      </c>
      <c r="H8" s="13" t="s">
        <v>570</v>
      </c>
    </row>
    <row r="9" spans="1:8" ht="15" customHeight="1">
      <c r="A9" s="2"/>
      <c r="B9" s="98" t="s">
        <v>275</v>
      </c>
      <c r="C9" s="6"/>
      <c r="D9" s="6"/>
      <c r="E9" s="6"/>
      <c r="F9" s="6"/>
      <c r="G9" s="6"/>
      <c r="H9" s="5"/>
    </row>
    <row r="10" spans="1:8" ht="12.75">
      <c r="A10" s="2"/>
      <c r="B10" s="86"/>
      <c r="C10" s="296"/>
      <c r="D10" s="296"/>
      <c r="E10" s="296"/>
      <c r="F10" s="296"/>
      <c r="G10" s="296"/>
      <c r="H10" s="5"/>
    </row>
    <row r="11" spans="1:8" ht="12.75">
      <c r="A11" s="4">
        <v>1710</v>
      </c>
      <c r="B11" s="4" t="s">
        <v>321</v>
      </c>
      <c r="C11" s="299">
        <f>SUM(C12:C19)</f>
        <v>2075684</v>
      </c>
      <c r="D11" s="299">
        <f>SUM(D12:D19)</f>
        <v>2068684</v>
      </c>
      <c r="E11" s="299">
        <f>SUM(E12:E19)</f>
        <v>2322559</v>
      </c>
      <c r="F11" s="299">
        <f>SUM(F12:F19)</f>
        <v>2322709</v>
      </c>
      <c r="G11" s="299">
        <f>SUM(G12:G19)</f>
        <v>2322846</v>
      </c>
      <c r="H11" s="186">
        <f>SUM(G11/F11)</f>
        <v>1.0000589828514894</v>
      </c>
    </row>
    <row r="12" spans="1:8" ht="12.75">
      <c r="A12" s="6">
        <v>1711</v>
      </c>
      <c r="B12" s="6" t="s">
        <v>276</v>
      </c>
      <c r="C12" s="296">
        <f>SUM('3a.m.'!C42)</f>
        <v>1352406</v>
      </c>
      <c r="D12" s="296">
        <f>SUM('3a.m.'!D42)</f>
        <v>1352406</v>
      </c>
      <c r="E12" s="296">
        <f>SUM('3a.m.'!E42)</f>
        <v>1462358</v>
      </c>
      <c r="F12" s="296">
        <f>SUM('3a.m.'!F42)</f>
        <v>1462486</v>
      </c>
      <c r="G12" s="296">
        <f>SUM('3a.m.'!G42)</f>
        <v>1462604</v>
      </c>
      <c r="H12" s="1062">
        <f>SUM(G12/F12)</f>
        <v>1.0000806845330485</v>
      </c>
    </row>
    <row r="13" spans="1:8" ht="12.75">
      <c r="A13" s="6">
        <v>1712</v>
      </c>
      <c r="B13" s="6" t="s">
        <v>108</v>
      </c>
      <c r="C13" s="296">
        <f>SUM('3a.m.'!C43)</f>
        <v>260042</v>
      </c>
      <c r="D13" s="296">
        <f>SUM('3a.m.'!D43)</f>
        <v>260042</v>
      </c>
      <c r="E13" s="296">
        <f>SUM('3a.m.'!E43)</f>
        <v>292248</v>
      </c>
      <c r="F13" s="296">
        <f>SUM('3a.m.'!F43)</f>
        <v>292270</v>
      </c>
      <c r="G13" s="296">
        <f>SUM('3a.m.'!G43)</f>
        <v>292289</v>
      </c>
      <c r="H13" s="1062">
        <f aca="true" t="shared" si="0" ref="H13:H76">SUM(G13/F13)</f>
        <v>1.0000650083826599</v>
      </c>
    </row>
    <row r="14" spans="1:8" ht="12.75">
      <c r="A14" s="6">
        <v>1713</v>
      </c>
      <c r="B14" s="6" t="s">
        <v>109</v>
      </c>
      <c r="C14" s="296">
        <f>SUM('3a.m.'!C44)</f>
        <v>373236</v>
      </c>
      <c r="D14" s="296">
        <f>SUM('3a.m.'!D44)</f>
        <v>373236</v>
      </c>
      <c r="E14" s="296">
        <f>SUM('3a.m.'!E44)</f>
        <v>470194</v>
      </c>
      <c r="F14" s="296">
        <f>SUM('3a.m.'!F44)</f>
        <v>470194</v>
      </c>
      <c r="G14" s="296">
        <f>SUM('3a.m.'!G44)</f>
        <v>473194</v>
      </c>
      <c r="H14" s="1062">
        <f t="shared" si="0"/>
        <v>1.0063803451341362</v>
      </c>
    </row>
    <row r="15" spans="1:8" ht="12.75">
      <c r="A15" s="6">
        <v>1714</v>
      </c>
      <c r="B15" s="6" t="s">
        <v>119</v>
      </c>
      <c r="C15" s="296">
        <f>SUM('3a.m.'!C45)</f>
        <v>0</v>
      </c>
      <c r="D15" s="296">
        <f>SUM('3a.m.'!D45)</f>
        <v>0</v>
      </c>
      <c r="E15" s="296">
        <f>SUM('3a.m.'!E45)</f>
        <v>0</v>
      </c>
      <c r="F15" s="296">
        <f>SUM('3a.m.'!F45)</f>
        <v>0</v>
      </c>
      <c r="G15" s="296">
        <f>SUM('3a.m.'!G45)</f>
        <v>0</v>
      </c>
      <c r="H15" s="1062"/>
    </row>
    <row r="16" spans="1:8" ht="12.75">
      <c r="A16" s="6">
        <v>1715</v>
      </c>
      <c r="B16" s="5" t="s">
        <v>292</v>
      </c>
      <c r="C16" s="296">
        <f>SUM('3a.m.'!C46)</f>
        <v>0</v>
      </c>
      <c r="D16" s="296">
        <f>SUM('3a.m.'!D46)</f>
        <v>0</v>
      </c>
      <c r="E16" s="296">
        <f>SUM('3a.m.'!E46)</f>
        <v>0</v>
      </c>
      <c r="F16" s="296">
        <f>SUM('3a.m.'!F46)</f>
        <v>0</v>
      </c>
      <c r="G16" s="296">
        <f>SUM('3a.m.'!G46)</f>
        <v>0</v>
      </c>
      <c r="H16" s="1062"/>
    </row>
    <row r="17" spans="1:8" ht="12.75">
      <c r="A17" s="6">
        <v>1716</v>
      </c>
      <c r="B17" s="42" t="s">
        <v>248</v>
      </c>
      <c r="C17" s="296">
        <f>SUM('3a.m.'!C50)</f>
        <v>82000</v>
      </c>
      <c r="D17" s="296">
        <f>SUM('3a.m.'!D50)</f>
        <v>75000</v>
      </c>
      <c r="E17" s="296">
        <f>SUM('3a.m.'!E50)</f>
        <v>89759</v>
      </c>
      <c r="F17" s="296">
        <f>SUM('3a.m.'!F50)</f>
        <v>89759</v>
      </c>
      <c r="G17" s="296">
        <f>SUM('3a.m.'!G50)</f>
        <v>86759</v>
      </c>
      <c r="H17" s="1062">
        <f t="shared" si="0"/>
        <v>0.9665771677491951</v>
      </c>
    </row>
    <row r="18" spans="1:8" ht="12.75">
      <c r="A18" s="6">
        <v>1717</v>
      </c>
      <c r="B18" s="43" t="s">
        <v>249</v>
      </c>
      <c r="C18" s="296">
        <f>SUM('3a.m.'!C49)</f>
        <v>0</v>
      </c>
      <c r="D18" s="296">
        <f>SUM('3a.m.'!D49)</f>
        <v>0</v>
      </c>
      <c r="E18" s="296">
        <f>SUM('3a.m.'!E49)</f>
        <v>0</v>
      </c>
      <c r="F18" s="296">
        <f>SUM('3a.m.'!F49)</f>
        <v>0</v>
      </c>
      <c r="G18" s="296">
        <f>SUM('3a.m.'!G49)</f>
        <v>0</v>
      </c>
      <c r="H18" s="1062"/>
    </row>
    <row r="19" spans="1:8" ht="12.75">
      <c r="A19" s="6">
        <v>1718</v>
      </c>
      <c r="B19" s="43" t="s">
        <v>446</v>
      </c>
      <c r="C19" s="296">
        <f>SUM('3a.m.'!C51)</f>
        <v>8000</v>
      </c>
      <c r="D19" s="296">
        <f>SUM('3a.m.'!D51)</f>
        <v>8000</v>
      </c>
      <c r="E19" s="296">
        <f>SUM('3a.m.'!E51)</f>
        <v>8000</v>
      </c>
      <c r="F19" s="296">
        <f>SUM('3a.m.'!F51)</f>
        <v>8000</v>
      </c>
      <c r="G19" s="296">
        <f>SUM('3a.m.'!G51)</f>
        <v>8000</v>
      </c>
      <c r="H19" s="1062">
        <f t="shared" si="0"/>
        <v>1</v>
      </c>
    </row>
    <row r="20" spans="1:8" ht="12.75">
      <c r="A20" s="6"/>
      <c r="B20" s="6"/>
      <c r="C20" s="296"/>
      <c r="D20" s="296"/>
      <c r="E20" s="296"/>
      <c r="F20" s="296"/>
      <c r="G20" s="296"/>
      <c r="H20" s="1062"/>
    </row>
    <row r="21" spans="1:8" ht="12.75">
      <c r="A21" s="6"/>
      <c r="B21" s="99" t="s">
        <v>313</v>
      </c>
      <c r="C21" s="296"/>
      <c r="D21" s="296"/>
      <c r="E21" s="296"/>
      <c r="F21" s="296"/>
      <c r="G21" s="296"/>
      <c r="H21" s="1062"/>
    </row>
    <row r="22" spans="1:8" ht="6.75" customHeight="1">
      <c r="A22" s="6"/>
      <c r="B22" s="6"/>
      <c r="C22" s="296"/>
      <c r="D22" s="296"/>
      <c r="E22" s="296"/>
      <c r="F22" s="296"/>
      <c r="G22" s="296"/>
      <c r="H22" s="1062"/>
    </row>
    <row r="23" spans="1:8" ht="12.75">
      <c r="A23" s="71">
        <v>1740</v>
      </c>
      <c r="B23" s="71" t="s">
        <v>77</v>
      </c>
      <c r="C23" s="300">
        <f>SUM(C24:C31)</f>
        <v>744664</v>
      </c>
      <c r="D23" s="300">
        <f>SUM(D24:D31)</f>
        <v>744664</v>
      </c>
      <c r="E23" s="300">
        <f>SUM(E24:E31)</f>
        <v>846772</v>
      </c>
      <c r="F23" s="300">
        <f>SUM(F24:F31)</f>
        <v>846772</v>
      </c>
      <c r="G23" s="300">
        <f>SUM(G24:G31)</f>
        <v>846772</v>
      </c>
      <c r="H23" s="186">
        <f t="shared" si="0"/>
        <v>1</v>
      </c>
    </row>
    <row r="24" spans="1:8" ht="12.75">
      <c r="A24" s="6">
        <v>1741</v>
      </c>
      <c r="B24" s="6" t="s">
        <v>276</v>
      </c>
      <c r="C24" s="296">
        <f>SUM('3b.m.'!C37)</f>
        <v>452533</v>
      </c>
      <c r="D24" s="296">
        <f>SUM('3b.m.'!D37)</f>
        <v>452533</v>
      </c>
      <c r="E24" s="296">
        <f>SUM('3b.m.'!E37)</f>
        <v>462257</v>
      </c>
      <c r="F24" s="296">
        <f>SUM('3b.m.'!F37)</f>
        <v>462257</v>
      </c>
      <c r="G24" s="296">
        <f>SUM('3b.m.'!G37)</f>
        <v>462257</v>
      </c>
      <c r="H24" s="1062">
        <f t="shared" si="0"/>
        <v>1</v>
      </c>
    </row>
    <row r="25" spans="1:8" ht="12.75">
      <c r="A25" s="6">
        <v>1742</v>
      </c>
      <c r="B25" s="6" t="s">
        <v>108</v>
      </c>
      <c r="C25" s="296">
        <f>SUM('3b.m.'!C38)</f>
        <v>80856</v>
      </c>
      <c r="D25" s="296">
        <f>SUM('3b.m.'!D38)</f>
        <v>80856</v>
      </c>
      <c r="E25" s="296">
        <f>SUM('3b.m.'!E38)</f>
        <v>86003</v>
      </c>
      <c r="F25" s="296">
        <f>SUM('3b.m.'!F38)</f>
        <v>86003</v>
      </c>
      <c r="G25" s="296">
        <f>SUM('3b.m.'!G38)</f>
        <v>86003</v>
      </c>
      <c r="H25" s="1062">
        <f t="shared" si="0"/>
        <v>1</v>
      </c>
    </row>
    <row r="26" spans="1:8" ht="12.75">
      <c r="A26" s="6">
        <v>1743</v>
      </c>
      <c r="B26" s="6" t="s">
        <v>109</v>
      </c>
      <c r="C26" s="296">
        <f>SUM('3b.m.'!C39)</f>
        <v>185955</v>
      </c>
      <c r="D26" s="296">
        <f>SUM('3b.m.'!D39)</f>
        <v>185955</v>
      </c>
      <c r="E26" s="296">
        <f>SUM('3b.m.'!E39)</f>
        <v>262635</v>
      </c>
      <c r="F26" s="296">
        <f>SUM('3b.m.'!F39)</f>
        <v>262635</v>
      </c>
      <c r="G26" s="296">
        <f>SUM('3b.m.'!G39)</f>
        <v>262635</v>
      </c>
      <c r="H26" s="1062">
        <f t="shared" si="0"/>
        <v>1</v>
      </c>
    </row>
    <row r="27" spans="1:8" ht="12.75">
      <c r="A27" s="6">
        <v>1744</v>
      </c>
      <c r="B27" s="6" t="s">
        <v>119</v>
      </c>
      <c r="C27" s="296">
        <f>SUM('3b.m.'!C40)</f>
        <v>0</v>
      </c>
      <c r="D27" s="296">
        <f>SUM('3b.m.'!D40)</f>
        <v>0</v>
      </c>
      <c r="E27" s="296">
        <f>SUM('3b.m.'!E40)</f>
        <v>0</v>
      </c>
      <c r="F27" s="296">
        <f>SUM('3b.m.'!F40)</f>
        <v>0</v>
      </c>
      <c r="G27" s="296">
        <f>SUM('3b.m.'!G40)</f>
        <v>0</v>
      </c>
      <c r="H27" s="1062"/>
    </row>
    <row r="28" spans="1:8" ht="12.75">
      <c r="A28" s="6">
        <v>1745</v>
      </c>
      <c r="B28" s="6" t="s">
        <v>292</v>
      </c>
      <c r="C28" s="296">
        <f>SUM('3b.m.'!C41)</f>
        <v>0</v>
      </c>
      <c r="D28" s="296">
        <f>SUM('3b.m.'!D41)</f>
        <v>0</v>
      </c>
      <c r="E28" s="296">
        <f>SUM('3b.m.'!E41)</f>
        <v>0</v>
      </c>
      <c r="F28" s="296">
        <f>SUM('3b.m.'!F41)</f>
        <v>0</v>
      </c>
      <c r="G28" s="296">
        <f>SUM('3b.m.'!G41)</f>
        <v>0</v>
      </c>
      <c r="H28" s="1062"/>
    </row>
    <row r="29" spans="1:8" ht="12.75">
      <c r="A29" s="6">
        <v>1746</v>
      </c>
      <c r="B29" s="6" t="s">
        <v>248</v>
      </c>
      <c r="C29" s="296">
        <f>SUM('3b.m.'!C45)</f>
        <v>25320</v>
      </c>
      <c r="D29" s="296">
        <f>SUM('3b.m.'!D45)</f>
        <v>25320</v>
      </c>
      <c r="E29" s="296">
        <f>SUM('3b.m.'!E45)</f>
        <v>35877</v>
      </c>
      <c r="F29" s="296">
        <f>SUM('3b.m.'!F45)</f>
        <v>35877</v>
      </c>
      <c r="G29" s="296">
        <f>SUM('3b.m.'!G45)</f>
        <v>35877</v>
      </c>
      <c r="H29" s="1062">
        <f t="shared" si="0"/>
        <v>1</v>
      </c>
    </row>
    <row r="30" spans="1:8" ht="12.75">
      <c r="A30" s="6">
        <v>1747</v>
      </c>
      <c r="B30" s="6" t="s">
        <v>249</v>
      </c>
      <c r="C30" s="296">
        <f>SUM('3b.m.'!C46)</f>
        <v>0</v>
      </c>
      <c r="D30" s="296">
        <f>SUM('3b.m.'!D46)</f>
        <v>0</v>
      </c>
      <c r="E30" s="296">
        <f>SUM('3b.m.'!E46)</f>
        <v>0</v>
      </c>
      <c r="F30" s="296">
        <f>SUM('3b.m.'!F46)</f>
        <v>0</v>
      </c>
      <c r="G30" s="296">
        <f>SUM('3b.m.'!G46)</f>
        <v>0</v>
      </c>
      <c r="H30" s="1062"/>
    </row>
    <row r="31" spans="1:8" ht="12.75">
      <c r="A31" s="6">
        <v>1748</v>
      </c>
      <c r="B31" s="5" t="s">
        <v>326</v>
      </c>
      <c r="C31" s="296"/>
      <c r="D31" s="296"/>
      <c r="E31" s="296"/>
      <c r="F31" s="296"/>
      <c r="G31" s="296"/>
      <c r="H31" s="1062"/>
    </row>
    <row r="32" spans="1:8" ht="7.5" customHeight="1">
      <c r="A32" s="6"/>
      <c r="B32" s="6"/>
      <c r="C32" s="296"/>
      <c r="D32" s="296"/>
      <c r="E32" s="296"/>
      <c r="F32" s="296"/>
      <c r="G32" s="296"/>
      <c r="H32" s="1062"/>
    </row>
    <row r="33" spans="1:8" ht="12.75">
      <c r="A33" s="6"/>
      <c r="B33" s="99" t="s">
        <v>314</v>
      </c>
      <c r="C33" s="296"/>
      <c r="D33" s="296"/>
      <c r="E33" s="296"/>
      <c r="F33" s="296"/>
      <c r="G33" s="296"/>
      <c r="H33" s="1062"/>
    </row>
    <row r="34" spans="1:8" ht="7.5" customHeight="1">
      <c r="A34" s="2"/>
      <c r="B34" s="86"/>
      <c r="C34" s="296"/>
      <c r="D34" s="296"/>
      <c r="E34" s="296"/>
      <c r="F34" s="296"/>
      <c r="G34" s="296"/>
      <c r="H34" s="1062"/>
    </row>
    <row r="35" spans="1:8" ht="12.75">
      <c r="A35" s="7">
        <v>1750</v>
      </c>
      <c r="B35" s="7" t="s">
        <v>46</v>
      </c>
      <c r="C35" s="301">
        <f>SUM(C36:C44)</f>
        <v>4422924</v>
      </c>
      <c r="D35" s="301">
        <f>SUM(D36:D44)</f>
        <v>4517424</v>
      </c>
      <c r="E35" s="301">
        <f>SUM(E36:E44)</f>
        <v>5364564</v>
      </c>
      <c r="F35" s="301">
        <f>SUM(F36:F44)</f>
        <v>5369859</v>
      </c>
      <c r="G35" s="301">
        <f>SUM(G36:G44)</f>
        <v>5387681</v>
      </c>
      <c r="H35" s="186">
        <f t="shared" si="0"/>
        <v>1.0033188953378478</v>
      </c>
    </row>
    <row r="36" spans="1:8" ht="12.75">
      <c r="A36" s="6">
        <v>1751</v>
      </c>
      <c r="B36" s="6" t="s">
        <v>276</v>
      </c>
      <c r="C36" s="296">
        <f>SUM('3c.m.'!C848)</f>
        <v>227339</v>
      </c>
      <c r="D36" s="296">
        <f>SUM('3c.m.'!D848)</f>
        <v>200639</v>
      </c>
      <c r="E36" s="296">
        <f>SUM('3c.m.'!E848)</f>
        <v>227231</v>
      </c>
      <c r="F36" s="296">
        <f>SUM('3c.m.'!F848)</f>
        <v>227231</v>
      </c>
      <c r="G36" s="296">
        <f>SUM('3c.m.'!G848)</f>
        <v>242055</v>
      </c>
      <c r="H36" s="1062">
        <f t="shared" si="0"/>
        <v>1.0652375776192509</v>
      </c>
    </row>
    <row r="37" spans="1:8" ht="12.75">
      <c r="A37" s="6">
        <v>1752</v>
      </c>
      <c r="B37" s="6" t="s">
        <v>108</v>
      </c>
      <c r="C37" s="296">
        <f>SUM('3c.m.'!C849)</f>
        <v>54461</v>
      </c>
      <c r="D37" s="296">
        <f>SUM('3c.m.'!D849)</f>
        <v>45661</v>
      </c>
      <c r="E37" s="296">
        <f>SUM('3c.m.'!E849)</f>
        <v>53285</v>
      </c>
      <c r="F37" s="296">
        <f>SUM('3c.m.'!F849)</f>
        <v>53285</v>
      </c>
      <c r="G37" s="296">
        <f>SUM('3c.m.'!G849)</f>
        <v>55718</v>
      </c>
      <c r="H37" s="1062">
        <f t="shared" si="0"/>
        <v>1.0456601294923524</v>
      </c>
    </row>
    <row r="38" spans="1:8" ht="12.75">
      <c r="A38" s="6">
        <v>1753</v>
      </c>
      <c r="B38" s="6" t="s">
        <v>109</v>
      </c>
      <c r="C38" s="296">
        <f>SUM('3c.m.'!C850)</f>
        <v>3316224</v>
      </c>
      <c r="D38" s="296">
        <f>SUM('3c.m.'!D850)</f>
        <v>3191724</v>
      </c>
      <c r="E38" s="296">
        <f>SUM('3c.m.'!E850)</f>
        <v>3785622</v>
      </c>
      <c r="F38" s="296">
        <f>SUM('3c.m.'!F850)</f>
        <v>3822622</v>
      </c>
      <c r="G38" s="296">
        <f>SUM('3c.m.'!G850)</f>
        <v>3807102</v>
      </c>
      <c r="H38" s="1062">
        <f t="shared" si="0"/>
        <v>0.9959399595356276</v>
      </c>
    </row>
    <row r="39" spans="1:8" ht="12.75">
      <c r="A39" s="6">
        <v>1754</v>
      </c>
      <c r="B39" s="6" t="s">
        <v>119</v>
      </c>
      <c r="C39" s="296">
        <f>SUM('3c.m.'!C851)</f>
        <v>268400</v>
      </c>
      <c r="D39" s="296">
        <f>SUM('3c.m.'!D851)</f>
        <v>567900</v>
      </c>
      <c r="E39" s="296">
        <f>SUM('3c.m.'!E851)</f>
        <v>583422</v>
      </c>
      <c r="F39" s="296">
        <f>SUM('3c.m.'!F851)</f>
        <v>537422</v>
      </c>
      <c r="G39" s="296">
        <f>SUM('3c.m.'!G851)</f>
        <v>411793</v>
      </c>
      <c r="H39" s="1062">
        <f t="shared" si="0"/>
        <v>0.7662377051925675</v>
      </c>
    </row>
    <row r="40" spans="1:8" ht="12.75">
      <c r="A40" s="6">
        <v>1755</v>
      </c>
      <c r="B40" s="6" t="s">
        <v>292</v>
      </c>
      <c r="C40" s="296">
        <f>SUM('3c.m.'!C852)</f>
        <v>89200</v>
      </c>
      <c r="D40" s="296">
        <f>SUM('3c.m.'!D852)</f>
        <v>89200</v>
      </c>
      <c r="E40" s="296">
        <f>SUM('3c.m.'!E852)</f>
        <v>112667</v>
      </c>
      <c r="F40" s="296">
        <f>SUM('3c.m.'!F852)</f>
        <v>115958</v>
      </c>
      <c r="G40" s="296">
        <f>SUM('3c.m.'!G852)</f>
        <v>135680</v>
      </c>
      <c r="H40" s="1062">
        <f t="shared" si="0"/>
        <v>1.1700788216423188</v>
      </c>
    </row>
    <row r="41" spans="1:8" ht="12.75">
      <c r="A41" s="6">
        <v>1756</v>
      </c>
      <c r="B41" s="6" t="s">
        <v>248</v>
      </c>
      <c r="C41" s="296">
        <f>SUM('3c.m.'!C855)</f>
        <v>91100</v>
      </c>
      <c r="D41" s="296">
        <f>SUM('3c.m.'!D855)</f>
        <v>51100</v>
      </c>
      <c r="E41" s="296">
        <f>SUM('3c.m.'!E855)</f>
        <v>111918</v>
      </c>
      <c r="F41" s="296">
        <f>SUM('3c.m.'!F855)</f>
        <v>111918</v>
      </c>
      <c r="G41" s="296">
        <f>SUM('3c.m.'!G855)</f>
        <v>126605</v>
      </c>
      <c r="H41" s="1062">
        <f t="shared" si="0"/>
        <v>1.1312300076841975</v>
      </c>
    </row>
    <row r="42" spans="1:8" ht="12.75">
      <c r="A42" s="5">
        <v>1757</v>
      </c>
      <c r="B42" s="5" t="s">
        <v>249</v>
      </c>
      <c r="C42" s="296">
        <f>SUM('3c.m.'!C856)</f>
        <v>139700</v>
      </c>
      <c r="D42" s="296">
        <f>SUM('3c.m.'!D856)</f>
        <v>139700</v>
      </c>
      <c r="E42" s="296">
        <f>SUM('3c.m.'!E856)</f>
        <v>160223</v>
      </c>
      <c r="F42" s="296">
        <f>SUM('3c.m.'!F856)</f>
        <v>160223</v>
      </c>
      <c r="G42" s="296">
        <f>SUM('3c.m.'!G856)</f>
        <v>147988</v>
      </c>
      <c r="H42" s="1062">
        <f t="shared" si="0"/>
        <v>0.923637679983523</v>
      </c>
    </row>
    <row r="43" spans="1:8" ht="12.75">
      <c r="A43" s="6">
        <v>1758</v>
      </c>
      <c r="B43" s="6" t="s">
        <v>447</v>
      </c>
      <c r="C43" s="296">
        <f>SUM('3c.m.'!C857)</f>
        <v>236500</v>
      </c>
      <c r="D43" s="296">
        <f>SUM('3c.m.'!D857)</f>
        <v>231500</v>
      </c>
      <c r="E43" s="296">
        <f>SUM('3c.m.'!E857)</f>
        <v>330196</v>
      </c>
      <c r="F43" s="296">
        <f>SUM('3c.m.'!F857)</f>
        <v>341200</v>
      </c>
      <c r="G43" s="296">
        <f>SUM('3c.m.'!G857)</f>
        <v>460740</v>
      </c>
      <c r="H43" s="1062">
        <f t="shared" si="0"/>
        <v>1.3503516998827667</v>
      </c>
    </row>
    <row r="44" spans="1:8" ht="12.75">
      <c r="A44" s="6"/>
      <c r="B44" s="6"/>
      <c r="C44" s="296"/>
      <c r="D44" s="296"/>
      <c r="E44" s="296"/>
      <c r="F44" s="296"/>
      <c r="G44" s="296"/>
      <c r="H44" s="1062"/>
    </row>
    <row r="45" spans="1:8" ht="12.75">
      <c r="A45" s="4">
        <v>1760</v>
      </c>
      <c r="B45" s="4" t="s">
        <v>324</v>
      </c>
      <c r="C45" s="299">
        <f>SUM(C46:C52)</f>
        <v>1794520</v>
      </c>
      <c r="D45" s="299">
        <f>SUM(D46:D52)</f>
        <v>1492020</v>
      </c>
      <c r="E45" s="299">
        <f>SUM(E46:E52)</f>
        <v>1845699</v>
      </c>
      <c r="F45" s="299">
        <f>SUM(F46:F52)</f>
        <v>1976699</v>
      </c>
      <c r="G45" s="299">
        <f>SUM(G46:G52)</f>
        <v>1978077</v>
      </c>
      <c r="H45" s="186">
        <f t="shared" si="0"/>
        <v>1.0006971218177376</v>
      </c>
    </row>
    <row r="46" spans="1:8" ht="12.75">
      <c r="A46" s="6">
        <v>1761</v>
      </c>
      <c r="B46" s="6" t="s">
        <v>276</v>
      </c>
      <c r="C46" s="179">
        <f>SUM('3d.m.'!C61)</f>
        <v>350</v>
      </c>
      <c r="D46" s="179">
        <f>SUM('3d.m.'!D61)</f>
        <v>350</v>
      </c>
      <c r="E46" s="179">
        <f>SUM('3d.m.'!E61)</f>
        <v>350</v>
      </c>
      <c r="F46" s="179">
        <f>SUM('3d.m.'!F61)</f>
        <v>350</v>
      </c>
      <c r="G46" s="179">
        <f>SUM('3d.m.'!G61)</f>
        <v>350</v>
      </c>
      <c r="H46" s="1062">
        <f t="shared" si="0"/>
        <v>1</v>
      </c>
    </row>
    <row r="47" spans="1:8" ht="12.75">
      <c r="A47" s="5">
        <v>1762</v>
      </c>
      <c r="B47" s="5" t="s">
        <v>108</v>
      </c>
      <c r="C47" s="179">
        <f>SUM('3d.m.'!C62)</f>
        <v>150</v>
      </c>
      <c r="D47" s="179">
        <f>SUM('3d.m.'!D62)</f>
        <v>150</v>
      </c>
      <c r="E47" s="179">
        <f>SUM('3d.m.'!E62)</f>
        <v>150</v>
      </c>
      <c r="F47" s="179">
        <f>SUM('3d.m.'!F62)</f>
        <v>150</v>
      </c>
      <c r="G47" s="179">
        <f>SUM('3d.m.'!G62)</f>
        <v>150</v>
      </c>
      <c r="H47" s="1062">
        <f t="shared" si="0"/>
        <v>1</v>
      </c>
    </row>
    <row r="48" spans="1:8" ht="12.75">
      <c r="A48" s="6">
        <v>1763</v>
      </c>
      <c r="B48" s="6" t="s">
        <v>109</v>
      </c>
      <c r="C48" s="179">
        <f>SUM('3d.m.'!C63)</f>
        <v>7000</v>
      </c>
      <c r="D48" s="179">
        <f>SUM('3d.m.'!D63)</f>
        <v>7000</v>
      </c>
      <c r="E48" s="179">
        <f>SUM('3d.m.'!E63)</f>
        <v>8306</v>
      </c>
      <c r="F48" s="179">
        <f>SUM('3d.m.'!F63)</f>
        <v>8306</v>
      </c>
      <c r="G48" s="179">
        <f>SUM('3d.m.'!G63)</f>
        <v>8306</v>
      </c>
      <c r="H48" s="1062">
        <f t="shared" si="0"/>
        <v>1</v>
      </c>
    </row>
    <row r="49" spans="1:8" ht="12.75">
      <c r="A49" s="6">
        <v>1764</v>
      </c>
      <c r="B49" s="6" t="s">
        <v>292</v>
      </c>
      <c r="C49" s="179">
        <f>SUM('3d.m.'!C64)</f>
        <v>1467120</v>
      </c>
      <c r="D49" s="179">
        <f>SUM('3d.m.'!D64)</f>
        <v>1417620</v>
      </c>
      <c r="E49" s="179">
        <f>SUM('3d.m.'!E64)</f>
        <v>1445222</v>
      </c>
      <c r="F49" s="179">
        <f>SUM('3d.m.'!F64)</f>
        <v>1456222</v>
      </c>
      <c r="G49" s="179">
        <f>SUM('3d.m.'!G64)</f>
        <v>1457775</v>
      </c>
      <c r="H49" s="1062">
        <f t="shared" si="0"/>
        <v>1.0010664582735325</v>
      </c>
    </row>
    <row r="50" spans="1:8" ht="12.75">
      <c r="A50" s="6">
        <v>1765</v>
      </c>
      <c r="B50" s="6" t="s">
        <v>397</v>
      </c>
      <c r="C50" s="179">
        <f>SUM('3d.m.'!C67)</f>
        <v>10000</v>
      </c>
      <c r="D50" s="179">
        <f>SUM('3d.m.'!D67)</f>
        <v>10000</v>
      </c>
      <c r="E50" s="179">
        <f>SUM('3d.m.'!E67)</f>
        <v>10000</v>
      </c>
      <c r="F50" s="179">
        <f>SUM('3d.m.'!F67)</f>
        <v>10000</v>
      </c>
      <c r="G50" s="179">
        <f>SUM('3d.m.'!G67)</f>
        <v>10000</v>
      </c>
      <c r="H50" s="1062">
        <f t="shared" si="0"/>
        <v>1</v>
      </c>
    </row>
    <row r="51" spans="1:8" ht="12.75">
      <c r="A51" s="6">
        <v>1766</v>
      </c>
      <c r="B51" s="6" t="s">
        <v>326</v>
      </c>
      <c r="C51" s="179">
        <f>SUM('3d.m.'!C68)</f>
        <v>309900</v>
      </c>
      <c r="D51" s="179">
        <f>SUM('3d.m.'!D68)</f>
        <v>56900</v>
      </c>
      <c r="E51" s="179">
        <f>SUM('3d.m.'!E68)</f>
        <v>381671</v>
      </c>
      <c r="F51" s="179">
        <f>SUM('3d.m.'!F68)</f>
        <v>501671</v>
      </c>
      <c r="G51" s="179">
        <f>SUM('3d.m.'!G68)</f>
        <v>501496</v>
      </c>
      <c r="H51" s="1062">
        <f t="shared" si="0"/>
        <v>0.9996511658038835</v>
      </c>
    </row>
    <row r="52" spans="1:8" ht="12.75">
      <c r="A52" s="6"/>
      <c r="B52" s="6"/>
      <c r="C52" s="179"/>
      <c r="D52" s="179"/>
      <c r="E52" s="179"/>
      <c r="F52" s="179"/>
      <c r="G52" s="179"/>
      <c r="H52" s="1062"/>
    </row>
    <row r="53" spans="1:8" ht="12.75">
      <c r="A53" s="4">
        <v>1770</v>
      </c>
      <c r="B53" s="21" t="s">
        <v>315</v>
      </c>
      <c r="C53" s="299">
        <f>SUM(C54:C60)</f>
        <v>2453218</v>
      </c>
      <c r="D53" s="299">
        <f>SUM(D54:D60)</f>
        <v>2198218</v>
      </c>
      <c r="E53" s="299">
        <f>SUM(E54:E60)</f>
        <v>3530149</v>
      </c>
      <c r="F53" s="299">
        <f>SUM(F54:F60)</f>
        <v>3546649</v>
      </c>
      <c r="G53" s="299">
        <f>SUM(G54:G60)</f>
        <v>4346649</v>
      </c>
      <c r="H53" s="186">
        <f t="shared" si="0"/>
        <v>1.2255650333596586</v>
      </c>
    </row>
    <row r="54" spans="1:8" ht="12.75">
      <c r="A54" s="69">
        <v>1771</v>
      </c>
      <c r="B54" s="6" t="s">
        <v>276</v>
      </c>
      <c r="C54" s="179">
        <f>SUM('4.mell.'!C75)</f>
        <v>0</v>
      </c>
      <c r="D54" s="179">
        <f>SUM('4.mell.'!D75)</f>
        <v>0</v>
      </c>
      <c r="E54" s="179">
        <f>SUM('4.mell.'!E75)</f>
        <v>0</v>
      </c>
      <c r="F54" s="179">
        <f>SUM('4.mell.'!F75)</f>
        <v>0</v>
      </c>
      <c r="G54" s="179">
        <f>SUM('4.mell.'!G75)</f>
        <v>0</v>
      </c>
      <c r="H54" s="1062"/>
    </row>
    <row r="55" spans="1:8" ht="12.75">
      <c r="A55" s="69">
        <v>1772</v>
      </c>
      <c r="B55" s="6" t="s">
        <v>108</v>
      </c>
      <c r="C55" s="179">
        <f>SUM('4.mell.'!C76)</f>
        <v>0</v>
      </c>
      <c r="D55" s="179">
        <f>SUM('4.mell.'!D76)</f>
        <v>0</v>
      </c>
      <c r="E55" s="179">
        <f>SUM('4.mell.'!E76)</f>
        <v>0</v>
      </c>
      <c r="F55" s="179">
        <f>SUM('4.mell.'!F76)</f>
        <v>0</v>
      </c>
      <c r="G55" s="179">
        <f>SUM('4.mell.'!G76)</f>
        <v>6</v>
      </c>
      <c r="H55" s="1062"/>
    </row>
    <row r="56" spans="1:8" ht="12.75">
      <c r="A56" s="6">
        <v>1773</v>
      </c>
      <c r="B56" s="6" t="s">
        <v>109</v>
      </c>
      <c r="C56" s="179">
        <f>SUM('4.mell.'!C77)</f>
        <v>0</v>
      </c>
      <c r="D56" s="179">
        <f>SUM('4.mell.'!D77)</f>
        <v>0</v>
      </c>
      <c r="E56" s="179">
        <f>SUM('4.mell.'!E77)</f>
        <v>6066</v>
      </c>
      <c r="F56" s="179">
        <f>SUM('4.mell.'!F77)</f>
        <v>6066</v>
      </c>
      <c r="G56" s="179">
        <f>SUM('4.mell.'!G77)</f>
        <v>77368</v>
      </c>
      <c r="H56" s="1062">
        <f t="shared" si="0"/>
        <v>12.754368611935378</v>
      </c>
    </row>
    <row r="57" spans="1:8" ht="12.75">
      <c r="A57" s="6">
        <v>1774</v>
      </c>
      <c r="B57" s="6" t="s">
        <v>270</v>
      </c>
      <c r="C57" s="179">
        <f>SUM('4.mell.'!C78)</f>
        <v>0</v>
      </c>
      <c r="D57" s="179">
        <f>SUM('4.mell.'!D78)</f>
        <v>0</v>
      </c>
      <c r="E57" s="179">
        <f>SUM('4.mell.'!E78)</f>
        <v>0</v>
      </c>
      <c r="F57" s="179">
        <f>SUM('4.mell.'!F78)</f>
        <v>0</v>
      </c>
      <c r="G57" s="179">
        <f>SUM('4.mell.'!G78)</f>
        <v>0</v>
      </c>
      <c r="H57" s="1062"/>
    </row>
    <row r="58" spans="1:8" ht="12.75">
      <c r="A58" s="6">
        <v>1775</v>
      </c>
      <c r="B58" s="6" t="s">
        <v>248</v>
      </c>
      <c r="C58" s="179">
        <f>SUM('4.mell.'!C81)</f>
        <v>0</v>
      </c>
      <c r="D58" s="179">
        <f>SUM('4.mell.'!D81)</f>
        <v>0</v>
      </c>
      <c r="E58" s="179">
        <f>SUM('4.mell.'!E81)</f>
        <v>36684</v>
      </c>
      <c r="F58" s="179">
        <f>SUM('4.mell.'!F81)</f>
        <v>36684</v>
      </c>
      <c r="G58" s="179">
        <f>SUM('4.mell.'!G81)</f>
        <v>82880</v>
      </c>
      <c r="H58" s="1062">
        <f t="shared" si="0"/>
        <v>2.2592956057136626</v>
      </c>
    </row>
    <row r="59" spans="1:8" ht="12.75">
      <c r="A59" s="6">
        <v>1776</v>
      </c>
      <c r="B59" s="6" t="s">
        <v>249</v>
      </c>
      <c r="C59" s="302">
        <f>SUM('4.mell.'!C82)</f>
        <v>2433218</v>
      </c>
      <c r="D59" s="302">
        <f>SUM('4.mell.'!D82)</f>
        <v>2178218</v>
      </c>
      <c r="E59" s="302">
        <f>SUM('4.mell.'!E82)</f>
        <v>3455123</v>
      </c>
      <c r="F59" s="302">
        <f>SUM('4.mell.'!F82)</f>
        <v>3471623</v>
      </c>
      <c r="G59" s="302">
        <f>SUM('4.mell.'!G82)</f>
        <v>4154119</v>
      </c>
      <c r="H59" s="1062">
        <f t="shared" si="0"/>
        <v>1.196592775194772</v>
      </c>
    </row>
    <row r="60" spans="1:8" ht="12.75">
      <c r="A60" s="6">
        <v>1777</v>
      </c>
      <c r="B60" s="6" t="s">
        <v>326</v>
      </c>
      <c r="C60" s="302">
        <f>SUM('4.mell.'!C83)</f>
        <v>20000</v>
      </c>
      <c r="D60" s="302">
        <f>SUM('4.mell.'!D83)</f>
        <v>20000</v>
      </c>
      <c r="E60" s="302">
        <f>SUM('4.mell.'!E83)</f>
        <v>32276</v>
      </c>
      <c r="F60" s="302">
        <f>SUM('4.mell.'!F83)</f>
        <v>32276</v>
      </c>
      <c r="G60" s="302">
        <f>SUM('4.mell.'!G83)</f>
        <v>32276</v>
      </c>
      <c r="H60" s="1062">
        <f t="shared" si="0"/>
        <v>1</v>
      </c>
    </row>
    <row r="61" spans="1:8" ht="12.75">
      <c r="A61" s="6"/>
      <c r="B61" s="6"/>
      <c r="C61" s="296"/>
      <c r="D61" s="296"/>
      <c r="E61" s="296"/>
      <c r="F61" s="296"/>
      <c r="G61" s="296"/>
      <c r="H61" s="1062"/>
    </row>
    <row r="62" spans="1:8" ht="12.75">
      <c r="A62" s="4">
        <v>1780</v>
      </c>
      <c r="B62" s="4" t="s">
        <v>316</v>
      </c>
      <c r="C62" s="299">
        <f>SUM(C63:C69)</f>
        <v>850043</v>
      </c>
      <c r="D62" s="299">
        <f>SUM(D63:D69)</f>
        <v>813043</v>
      </c>
      <c r="E62" s="299">
        <f>SUM(E63:E69)</f>
        <v>900720</v>
      </c>
      <c r="F62" s="299">
        <f>SUM(F63:F69)</f>
        <v>925720</v>
      </c>
      <c r="G62" s="299">
        <f>SUM(G63:G69)</f>
        <v>925720</v>
      </c>
      <c r="H62" s="186">
        <f t="shared" si="0"/>
        <v>1</v>
      </c>
    </row>
    <row r="63" spans="1:8" ht="12.75">
      <c r="A63" s="69">
        <v>1781</v>
      </c>
      <c r="B63" s="6" t="s">
        <v>276</v>
      </c>
      <c r="C63" s="302">
        <f>SUM('5.mell. '!C41)</f>
        <v>0</v>
      </c>
      <c r="D63" s="302">
        <f>SUM('5.mell. '!D41)</f>
        <v>0</v>
      </c>
      <c r="E63" s="302">
        <f>SUM('5.mell. '!E41)</f>
        <v>0</v>
      </c>
      <c r="F63" s="302">
        <f>SUM('5.mell. '!F41)</f>
        <v>0</v>
      </c>
      <c r="G63" s="302">
        <f>SUM('5.mell. '!G41)</f>
        <v>0</v>
      </c>
      <c r="H63" s="1062"/>
    </row>
    <row r="64" spans="1:8" ht="12.75">
      <c r="A64" s="69">
        <v>1782</v>
      </c>
      <c r="B64" s="6" t="s">
        <v>108</v>
      </c>
      <c r="C64" s="302">
        <f>SUM('5.mell. '!C42)</f>
        <v>0</v>
      </c>
      <c r="D64" s="302">
        <f>SUM('5.mell. '!D42)</f>
        <v>0</v>
      </c>
      <c r="E64" s="302">
        <f>SUM('5.mell. '!E42)</f>
        <v>0</v>
      </c>
      <c r="F64" s="302">
        <f>SUM('5.mell. '!F42)</f>
        <v>0</v>
      </c>
      <c r="G64" s="302">
        <f>SUM('5.mell. '!G42)</f>
        <v>0</v>
      </c>
      <c r="H64" s="1062"/>
    </row>
    <row r="65" spans="1:8" ht="12.75">
      <c r="A65" s="6">
        <v>1783</v>
      </c>
      <c r="B65" s="6" t="s">
        <v>109</v>
      </c>
      <c r="C65" s="179">
        <f>SUM('5.mell. '!C43)</f>
        <v>0</v>
      </c>
      <c r="D65" s="179">
        <f>SUM('5.mell. '!D43)</f>
        <v>0</v>
      </c>
      <c r="E65" s="179">
        <f>SUM('5.mell. '!E43)</f>
        <v>7355</v>
      </c>
      <c r="F65" s="179">
        <f>SUM('5.mell. '!F43)</f>
        <v>7355</v>
      </c>
      <c r="G65" s="179">
        <f>SUM('5.mell. '!G43)</f>
        <v>26867</v>
      </c>
      <c r="H65" s="1062">
        <f t="shared" si="0"/>
        <v>3.6528891910265124</v>
      </c>
    </row>
    <row r="66" spans="1:8" ht="12.75">
      <c r="A66" s="6">
        <v>1784</v>
      </c>
      <c r="B66" s="6" t="s">
        <v>270</v>
      </c>
      <c r="C66" s="179">
        <f>SUM('5.mell. '!C44)</f>
        <v>0</v>
      </c>
      <c r="D66" s="179">
        <f>SUM('5.mell. '!D44)</f>
        <v>0</v>
      </c>
      <c r="E66" s="179">
        <f>SUM('5.mell. '!E44)</f>
        <v>0</v>
      </c>
      <c r="F66" s="179">
        <f>SUM('5.mell. '!F44)</f>
        <v>0</v>
      </c>
      <c r="G66" s="179">
        <f>SUM('5.mell. '!G44)</f>
        <v>0</v>
      </c>
      <c r="H66" s="1062"/>
    </row>
    <row r="67" spans="1:8" ht="12.75">
      <c r="A67" s="6">
        <v>1785</v>
      </c>
      <c r="B67" s="6" t="s">
        <v>248</v>
      </c>
      <c r="C67" s="179">
        <f>SUM('5.mell. '!C48)</f>
        <v>850043</v>
      </c>
      <c r="D67" s="179">
        <f>SUM('5.mell. '!D48)</f>
        <v>813043</v>
      </c>
      <c r="E67" s="179">
        <f>SUM('5.mell. '!E48)</f>
        <v>893365</v>
      </c>
      <c r="F67" s="179">
        <f>SUM('5.mell. '!F48)</f>
        <v>918365</v>
      </c>
      <c r="G67" s="179">
        <f>SUM('5.mell. '!G48)</f>
        <v>898853</v>
      </c>
      <c r="H67" s="1062">
        <f t="shared" si="0"/>
        <v>0.9787535457035057</v>
      </c>
    </row>
    <row r="68" spans="1:8" ht="12.75">
      <c r="A68" s="6">
        <v>1786</v>
      </c>
      <c r="B68" s="6" t="s">
        <v>249</v>
      </c>
      <c r="C68" s="179"/>
      <c r="D68" s="179"/>
      <c r="E68" s="179"/>
      <c r="F68" s="179"/>
      <c r="G68" s="179"/>
      <c r="H68" s="1062"/>
    </row>
    <row r="69" spans="1:8" ht="12.75">
      <c r="A69" s="5">
        <v>1787</v>
      </c>
      <c r="B69" s="6" t="s">
        <v>326</v>
      </c>
      <c r="C69" s="179"/>
      <c r="D69" s="179"/>
      <c r="E69" s="179"/>
      <c r="F69" s="179"/>
      <c r="G69" s="179"/>
      <c r="H69" s="1062"/>
    </row>
    <row r="70" spans="1:8" ht="12.75">
      <c r="A70" s="5"/>
      <c r="B70" s="6"/>
      <c r="C70" s="1109"/>
      <c r="D70" s="1109"/>
      <c r="E70" s="1109"/>
      <c r="F70" s="1109"/>
      <c r="G70" s="1109"/>
      <c r="H70" s="1062"/>
    </row>
    <row r="71" spans="1:8" ht="12.75">
      <c r="A71" s="70">
        <v>1790</v>
      </c>
      <c r="B71" s="125" t="s">
        <v>465</v>
      </c>
      <c r="C71" s="1047">
        <f>SUM(C72:C72)</f>
        <v>0</v>
      </c>
      <c r="D71" s="1047">
        <f>SUM(D72:D72)</f>
        <v>0</v>
      </c>
      <c r="E71" s="1047">
        <f>SUM(E72:E72)</f>
        <v>0</v>
      </c>
      <c r="F71" s="1047">
        <f>SUM(F72:F72)</f>
        <v>0</v>
      </c>
      <c r="G71" s="1047">
        <f>SUM(G72:G72)</f>
        <v>0</v>
      </c>
      <c r="H71" s="1062"/>
    </row>
    <row r="72" spans="1:8" ht="12.75">
      <c r="A72" s="5">
        <v>1795</v>
      </c>
      <c r="B72" s="5" t="s">
        <v>382</v>
      </c>
      <c r="C72" s="1110"/>
      <c r="D72" s="1110"/>
      <c r="E72" s="1110"/>
      <c r="F72" s="1110"/>
      <c r="G72" s="1110"/>
      <c r="H72" s="1062"/>
    </row>
    <row r="73" spans="1:8" s="19" customFormat="1" ht="12.75">
      <c r="A73" s="5"/>
      <c r="B73" s="66"/>
      <c r="C73" s="1109"/>
      <c r="D73" s="1109"/>
      <c r="E73" s="1109"/>
      <c r="F73" s="1109"/>
      <c r="G73" s="1109"/>
      <c r="H73" s="1062"/>
    </row>
    <row r="74" spans="1:8" s="22" customFormat="1" ht="14.1" customHeight="1">
      <c r="A74" s="4">
        <v>1801</v>
      </c>
      <c r="B74" s="7" t="s">
        <v>406</v>
      </c>
      <c r="C74" s="1048">
        <v>30000</v>
      </c>
      <c r="D74" s="1048">
        <v>30000</v>
      </c>
      <c r="E74" s="1048">
        <v>30000</v>
      </c>
      <c r="F74" s="1048">
        <v>30000</v>
      </c>
      <c r="G74" s="1048">
        <v>30000</v>
      </c>
      <c r="H74" s="186">
        <f t="shared" si="0"/>
        <v>1</v>
      </c>
    </row>
    <row r="75" spans="1:8" s="22" customFormat="1" ht="11.45" customHeight="1">
      <c r="A75" s="4"/>
      <c r="B75" s="7"/>
      <c r="C75" s="1048"/>
      <c r="D75" s="1048"/>
      <c r="E75" s="1048"/>
      <c r="F75" s="1048"/>
      <c r="G75" s="1048"/>
      <c r="H75" s="1062"/>
    </row>
    <row r="76" spans="1:8" s="22" customFormat="1" ht="14.1" customHeight="1">
      <c r="A76" s="4">
        <v>1802</v>
      </c>
      <c r="B76" s="7" t="s">
        <v>407</v>
      </c>
      <c r="C76" s="1048">
        <v>5500</v>
      </c>
      <c r="D76" s="1048">
        <v>5500</v>
      </c>
      <c r="E76" s="1048">
        <v>5500</v>
      </c>
      <c r="F76" s="1048">
        <v>5500</v>
      </c>
      <c r="G76" s="1048">
        <v>5500</v>
      </c>
      <c r="H76" s="186">
        <f t="shared" si="0"/>
        <v>1</v>
      </c>
    </row>
    <row r="77" spans="1:8" s="22" customFormat="1" ht="14.1" customHeight="1">
      <c r="A77" s="4"/>
      <c r="B77" s="7"/>
      <c r="C77" s="1048"/>
      <c r="D77" s="1048"/>
      <c r="E77" s="1048"/>
      <c r="F77" s="1048"/>
      <c r="G77" s="1048"/>
      <c r="H77" s="1062"/>
    </row>
    <row r="78" spans="1:8" s="22" customFormat="1" ht="14.1" customHeight="1">
      <c r="A78" s="4">
        <v>1803</v>
      </c>
      <c r="B78" s="7" t="s">
        <v>445</v>
      </c>
      <c r="C78" s="1048">
        <v>244872</v>
      </c>
      <c r="D78" s="1048">
        <v>244872</v>
      </c>
      <c r="E78" s="1048">
        <v>178150</v>
      </c>
      <c r="F78" s="1048">
        <v>178150</v>
      </c>
      <c r="G78" s="1048">
        <v>178150</v>
      </c>
      <c r="H78" s="186">
        <f aca="true" t="shared" si="1" ref="H78:H141">SUM(G78/F78)</f>
        <v>1</v>
      </c>
    </row>
    <row r="79" spans="1:8" s="22" customFormat="1" ht="11.1" customHeight="1">
      <c r="A79" s="4"/>
      <c r="B79" s="7"/>
      <c r="C79" s="1048"/>
      <c r="D79" s="1048"/>
      <c r="E79" s="1048"/>
      <c r="F79" s="1048"/>
      <c r="G79" s="1048"/>
      <c r="H79" s="1062"/>
    </row>
    <row r="80" spans="1:8" s="22" customFormat="1" ht="12.75">
      <c r="A80" s="4">
        <v>1804</v>
      </c>
      <c r="B80" s="7" t="s">
        <v>496</v>
      </c>
      <c r="C80" s="1048">
        <v>200000</v>
      </c>
      <c r="D80" s="1048">
        <v>200000</v>
      </c>
      <c r="E80" s="1048">
        <v>173000</v>
      </c>
      <c r="F80" s="1048">
        <v>173000</v>
      </c>
      <c r="G80" s="1048">
        <v>173000</v>
      </c>
      <c r="H80" s="186">
        <f t="shared" si="1"/>
        <v>1</v>
      </c>
    </row>
    <row r="81" spans="1:8" s="22" customFormat="1" ht="12.75">
      <c r="A81" s="4"/>
      <c r="B81" s="7"/>
      <c r="C81" s="1111"/>
      <c r="D81" s="1111"/>
      <c r="E81" s="1111"/>
      <c r="F81" s="1111"/>
      <c r="G81" s="1111"/>
      <c r="H81" s="1062"/>
    </row>
    <row r="82" spans="1:8" s="22" customFormat="1" ht="12.75">
      <c r="A82" s="4">
        <v>1806</v>
      </c>
      <c r="B82" s="4" t="s">
        <v>378</v>
      </c>
      <c r="C82" s="1044"/>
      <c r="D82" s="1044"/>
      <c r="E82" s="1044">
        <f>SUM(E83)</f>
        <v>21257</v>
      </c>
      <c r="F82" s="1044">
        <f>SUM(F83)</f>
        <v>21257</v>
      </c>
      <c r="G82" s="1044">
        <f>SUM(G83)</f>
        <v>21257</v>
      </c>
      <c r="H82" s="186">
        <f t="shared" si="1"/>
        <v>1</v>
      </c>
    </row>
    <row r="83" spans="1:8" s="22" customFormat="1" ht="12.75">
      <c r="A83" s="18"/>
      <c r="B83" s="74" t="s">
        <v>379</v>
      </c>
      <c r="C83" s="1112"/>
      <c r="D83" s="1112"/>
      <c r="E83" s="1112">
        <v>21257</v>
      </c>
      <c r="F83" s="1112">
        <v>21257</v>
      </c>
      <c r="G83" s="1112">
        <v>21257</v>
      </c>
      <c r="H83" s="1062">
        <f t="shared" si="1"/>
        <v>1</v>
      </c>
    </row>
    <row r="84" spans="1:8" s="22" customFormat="1" ht="12.75">
      <c r="A84" s="4"/>
      <c r="B84" s="4"/>
      <c r="C84" s="1048"/>
      <c r="D84" s="1048"/>
      <c r="E84" s="1048"/>
      <c r="F84" s="1048"/>
      <c r="G84" s="1048"/>
      <c r="H84" s="1062"/>
    </row>
    <row r="85" spans="1:8" s="22" customFormat="1" ht="12.75">
      <c r="A85" s="70">
        <v>1812</v>
      </c>
      <c r="B85" s="95" t="s">
        <v>47</v>
      </c>
      <c r="C85" s="1048">
        <f>SUM('6.mell. '!C12)</f>
        <v>42358</v>
      </c>
      <c r="D85" s="1048">
        <f>SUM('6.mell. '!D12)</f>
        <v>97358</v>
      </c>
      <c r="E85" s="1048">
        <f>SUM('6.mell. '!E12)</f>
        <v>27877</v>
      </c>
      <c r="F85" s="1048">
        <f>SUM('6.mell. '!F12)</f>
        <v>42914</v>
      </c>
      <c r="G85" s="1044">
        <f>SUM('6.mell. '!G12)</f>
        <v>110340</v>
      </c>
      <c r="H85" s="186">
        <f t="shared" si="1"/>
        <v>2.5711888894067205</v>
      </c>
    </row>
    <row r="86" spans="1:8" s="22" customFormat="1" ht="12.75">
      <c r="A86" s="70">
        <v>1813</v>
      </c>
      <c r="B86" s="90" t="s">
        <v>48</v>
      </c>
      <c r="C86" s="1048">
        <f>SUM('6.mell. '!C14)</f>
        <v>571500</v>
      </c>
      <c r="D86" s="1048">
        <f>SUM('6.mell. '!D14)</f>
        <v>1073500</v>
      </c>
      <c r="E86" s="1048">
        <f>SUM('6.mell. '!E14)</f>
        <v>522500</v>
      </c>
      <c r="F86" s="1048">
        <f>SUM('6.mell. '!F14)</f>
        <v>359463</v>
      </c>
      <c r="G86" s="1044">
        <f>SUM('6.mell. '!G14)</f>
        <v>339463</v>
      </c>
      <c r="H86" s="186">
        <f t="shared" si="1"/>
        <v>0.9443614502744372</v>
      </c>
    </row>
    <row r="87" spans="1:8" s="22" customFormat="1" ht="12.75">
      <c r="A87" s="18">
        <v>1816</v>
      </c>
      <c r="B87" s="70" t="s">
        <v>79</v>
      </c>
      <c r="C87" s="1044">
        <f>SUM(C85+C86)</f>
        <v>613858</v>
      </c>
      <c r="D87" s="1044">
        <f>SUM(D85+D86)</f>
        <v>1170858</v>
      </c>
      <c r="E87" s="1044">
        <f>SUM(E85+E86)</f>
        <v>550377</v>
      </c>
      <c r="F87" s="1044">
        <f>SUM(F85+F86)</f>
        <v>402377</v>
      </c>
      <c r="G87" s="1044">
        <f>SUM(G85+G86)</f>
        <v>449803</v>
      </c>
      <c r="H87" s="186">
        <f t="shared" si="1"/>
        <v>1.1178645896758512</v>
      </c>
    </row>
    <row r="88" spans="1:8" ht="12.75">
      <c r="A88" s="5"/>
      <c r="B88" s="5"/>
      <c r="C88" s="1044"/>
      <c r="D88" s="1044"/>
      <c r="E88" s="1044"/>
      <c r="F88" s="1044"/>
      <c r="G88" s="1044"/>
      <c r="H88" s="1062"/>
    </row>
    <row r="89" spans="1:8" s="24" customFormat="1" ht="14.1" customHeight="1">
      <c r="A89" s="79"/>
      <c r="B89" s="79" t="s">
        <v>70</v>
      </c>
      <c r="C89" s="1113"/>
      <c r="D89" s="1113"/>
      <c r="E89" s="1113"/>
      <c r="F89" s="1113"/>
      <c r="G89" s="1113"/>
      <c r="H89" s="1062"/>
    </row>
    <row r="90" spans="1:8" s="19" customFormat="1" ht="12" customHeight="1">
      <c r="A90" s="5">
        <v>1821</v>
      </c>
      <c r="B90" s="6" t="s">
        <v>276</v>
      </c>
      <c r="C90" s="1114">
        <f aca="true" t="shared" si="2" ref="C90:E91">SUM(C12+C24+C36+C46+C54+C63)</f>
        <v>2032628</v>
      </c>
      <c r="D90" s="1114">
        <f t="shared" si="2"/>
        <v>2005928</v>
      </c>
      <c r="E90" s="1114">
        <f t="shared" si="2"/>
        <v>2152196</v>
      </c>
      <c r="F90" s="1114">
        <f aca="true" t="shared" si="3" ref="F90">SUM(F12+F24+F36+F46+F54+F63)</f>
        <v>2152324</v>
      </c>
      <c r="G90" s="1114">
        <f>SUM(G12+G24+G36+G46+G54+G63)</f>
        <v>2167266</v>
      </c>
      <c r="H90" s="1062">
        <f t="shared" si="1"/>
        <v>1.0069422633395344</v>
      </c>
    </row>
    <row r="91" spans="1:8" s="19" customFormat="1" ht="12" customHeight="1">
      <c r="A91" s="5">
        <v>1822</v>
      </c>
      <c r="B91" s="6" t="s">
        <v>108</v>
      </c>
      <c r="C91" s="1115">
        <f t="shared" si="2"/>
        <v>395509</v>
      </c>
      <c r="D91" s="1115">
        <f t="shared" si="2"/>
        <v>386709</v>
      </c>
      <c r="E91" s="1115">
        <f t="shared" si="2"/>
        <v>431686</v>
      </c>
      <c r="F91" s="1115">
        <f aca="true" t="shared" si="4" ref="F91:G91">SUM(F13+F25+F37+F47+F55+F64)</f>
        <v>431708</v>
      </c>
      <c r="G91" s="1115">
        <f t="shared" si="4"/>
        <v>434166</v>
      </c>
      <c r="H91" s="1062">
        <f t="shared" si="1"/>
        <v>1.005693663309459</v>
      </c>
    </row>
    <row r="92" spans="1:8" s="19" customFormat="1" ht="12.75">
      <c r="A92" s="168">
        <v>1823</v>
      </c>
      <c r="B92" s="6" t="s">
        <v>109</v>
      </c>
      <c r="C92" s="1115">
        <f>SUM(C14+C26+C38+C48+C56+C65+C74+C80+C76)</f>
        <v>4117915</v>
      </c>
      <c r="D92" s="1115">
        <f>SUM(D14+D26+D38+D48+D56+D65+D74+D80+D76)</f>
        <v>3993415</v>
      </c>
      <c r="E92" s="1115">
        <f>SUM(E14+E26+E38+E48+E56+E65+E74+E80+E76)</f>
        <v>4748678</v>
      </c>
      <c r="F92" s="1115">
        <f>SUM(F14+F26+F38+F48+F56+F65+F74+F80+F76)</f>
        <v>4785678</v>
      </c>
      <c r="G92" s="1115">
        <f>SUM(G14+G26+G38+G48+G56+G65+G74+G80+G76)</f>
        <v>4863972</v>
      </c>
      <c r="H92" s="1062">
        <f t="shared" si="1"/>
        <v>1.0163600643419803</v>
      </c>
    </row>
    <row r="93" spans="1:8" s="19" customFormat="1" ht="12.75">
      <c r="A93" s="168">
        <v>1824</v>
      </c>
      <c r="B93" s="6" t="s">
        <v>119</v>
      </c>
      <c r="C93" s="1114">
        <f>SUM(C15+C27+C39)</f>
        <v>268400</v>
      </c>
      <c r="D93" s="1114">
        <f>SUM(D15+D27+D39)</f>
        <v>567900</v>
      </c>
      <c r="E93" s="1114">
        <f>SUM(E15+E27+E39)</f>
        <v>583422</v>
      </c>
      <c r="F93" s="1114">
        <f>SUM(F15+F27+F39)</f>
        <v>537422</v>
      </c>
      <c r="G93" s="1114">
        <f>SUM(G15+G27+G39)</f>
        <v>411793</v>
      </c>
      <c r="H93" s="1062">
        <f t="shared" si="1"/>
        <v>0.7662377051925675</v>
      </c>
    </row>
    <row r="94" spans="1:8" s="19" customFormat="1" ht="12.75">
      <c r="A94" s="5">
        <v>1825</v>
      </c>
      <c r="B94" s="6" t="s">
        <v>292</v>
      </c>
      <c r="C94" s="1115">
        <f>SUM(C16+C28+C40+C49+C57+C66+C85+C86+C83+C78)</f>
        <v>2415050</v>
      </c>
      <c r="D94" s="1115">
        <f>SUM(D16+D28+D40+D49+D57+D66+D85+D86+D83+D78)</f>
        <v>2922550</v>
      </c>
      <c r="E94" s="1115">
        <f>SUM(E16+E28+E40+E49+E57+E66+E85+E86+E83+E78)</f>
        <v>2307673</v>
      </c>
      <c r="F94" s="1115">
        <f>SUM(F16+F28+F40+F49+F57+F66+F85+F86+F83+F78)</f>
        <v>2173964</v>
      </c>
      <c r="G94" s="1115">
        <f>SUM(G16+G28+G40+G49+G57+G66+G85+G86+G83+G78)</f>
        <v>2242665</v>
      </c>
      <c r="H94" s="1062">
        <f t="shared" si="1"/>
        <v>1.0316017192557005</v>
      </c>
    </row>
    <row r="95" spans="1:8" s="19" customFormat="1" ht="12.75" thickBot="1">
      <c r="A95" s="94"/>
      <c r="B95" s="189" t="s">
        <v>85</v>
      </c>
      <c r="C95" s="1116">
        <f>SUM(C87)</f>
        <v>613858</v>
      </c>
      <c r="D95" s="1116">
        <f>SUM(D87)</f>
        <v>1170858</v>
      </c>
      <c r="E95" s="1116">
        <f>SUM(E87)</f>
        <v>550377</v>
      </c>
      <c r="F95" s="1116">
        <f>SUM(F87)</f>
        <v>402377</v>
      </c>
      <c r="G95" s="1116">
        <f>SUM(G87)</f>
        <v>449803</v>
      </c>
      <c r="H95" s="1284">
        <f t="shared" si="1"/>
        <v>1.1178645896758512</v>
      </c>
    </row>
    <row r="96" spans="1:8" s="19" customFormat="1" ht="17.25" customHeight="1" thickBot="1">
      <c r="A96" s="178">
        <v>1820</v>
      </c>
      <c r="B96" s="178" t="s">
        <v>60</v>
      </c>
      <c r="C96" s="1117">
        <f>SUM(C90:C95)-C95</f>
        <v>9229502</v>
      </c>
      <c r="D96" s="1117">
        <f>SUM(D90:D95)-D95</f>
        <v>9876502</v>
      </c>
      <c r="E96" s="1117">
        <f>SUM(E90:E95)-E95</f>
        <v>10223655</v>
      </c>
      <c r="F96" s="1117">
        <f>SUM(F90:F95)-F95</f>
        <v>10081096</v>
      </c>
      <c r="G96" s="1117">
        <f>SUM(G90:G95)-G95</f>
        <v>10119862</v>
      </c>
      <c r="H96" s="1063">
        <f t="shared" si="1"/>
        <v>1.003845415220726</v>
      </c>
    </row>
    <row r="97" spans="1:8" s="19" customFormat="1" ht="12.75">
      <c r="A97" s="71"/>
      <c r="B97" s="71"/>
      <c r="C97" s="1047"/>
      <c r="D97" s="1047"/>
      <c r="E97" s="1047"/>
      <c r="F97" s="1047"/>
      <c r="G97" s="1047"/>
      <c r="H97" s="1285"/>
    </row>
    <row r="98" spans="1:8" s="19" customFormat="1" ht="12.75">
      <c r="A98" s="5"/>
      <c r="B98" s="95" t="s">
        <v>71</v>
      </c>
      <c r="C98" s="1044"/>
      <c r="D98" s="1044"/>
      <c r="E98" s="1044"/>
      <c r="F98" s="1044"/>
      <c r="G98" s="1044"/>
      <c r="H98" s="1062"/>
    </row>
    <row r="99" spans="1:8" s="19" customFormat="1" ht="12.75">
      <c r="A99" s="5">
        <v>1831</v>
      </c>
      <c r="B99" s="6" t="s">
        <v>248</v>
      </c>
      <c r="C99" s="1114">
        <f>SUM(C17+C29+C41+C58+C67+C50)</f>
        <v>1058463</v>
      </c>
      <c r="D99" s="1114">
        <f>SUM(D17+D29+D41+D58+D67+D50)</f>
        <v>974463</v>
      </c>
      <c r="E99" s="1114">
        <f>SUM(E17+E29+E41+E58+E67+E50)</f>
        <v>1177603</v>
      </c>
      <c r="F99" s="1114">
        <f>SUM(F17+F29+F41+F58+F67+F50)</f>
        <v>1202603</v>
      </c>
      <c r="G99" s="1114">
        <f>SUM(G17+G29+G41+G58+G67+G50)</f>
        <v>1240974</v>
      </c>
      <c r="H99" s="1062">
        <f t="shared" si="1"/>
        <v>1.0319066225512492</v>
      </c>
    </row>
    <row r="100" spans="1:8" s="19" customFormat="1" ht="12.75">
      <c r="A100" s="5">
        <v>1832</v>
      </c>
      <c r="B100" s="6" t="s">
        <v>249</v>
      </c>
      <c r="C100" s="1114">
        <f>SUM(C18+C42+C30+C59+C68)</f>
        <v>2572918</v>
      </c>
      <c r="D100" s="1114">
        <f>SUM(D18+D42+D30+D59+D68)</f>
        <v>2317918</v>
      </c>
      <c r="E100" s="1114">
        <f>SUM(E18+E42+E30+E59+E68)</f>
        <v>3615346</v>
      </c>
      <c r="F100" s="1114">
        <f>SUM(F18+F42+F30+F59+F68)</f>
        <v>3631846</v>
      </c>
      <c r="G100" s="1114">
        <f>SUM(G18+G42+G30+G59+G68)</f>
        <v>4302107</v>
      </c>
      <c r="H100" s="1062">
        <f t="shared" si="1"/>
        <v>1.1845510519994515</v>
      </c>
    </row>
    <row r="101" spans="1:8" s="19" customFormat="1" ht="12.75" thickBot="1">
      <c r="A101" s="5">
        <v>1833</v>
      </c>
      <c r="B101" s="6" t="s">
        <v>326</v>
      </c>
      <c r="C101" s="1115">
        <f>SUM(C43+C60+C51+C69+C71+C19)</f>
        <v>574400</v>
      </c>
      <c r="D101" s="1115">
        <f>SUM(D43+D60+D51+D69+D71+D19)</f>
        <v>316400</v>
      </c>
      <c r="E101" s="1115">
        <f>SUM(E43+E60+E51+E69+E71+E19)</f>
        <v>752143</v>
      </c>
      <c r="F101" s="1115">
        <f>SUM(F43+F60+F51+F69+F71+F19)</f>
        <v>883147</v>
      </c>
      <c r="G101" s="1115">
        <f>SUM(G43+G60+G51+G69+G71+G19)</f>
        <v>1002512</v>
      </c>
      <c r="H101" s="1284">
        <f t="shared" si="1"/>
        <v>1.1351586995143503</v>
      </c>
    </row>
    <row r="102" spans="1:8" s="19" customFormat="1" ht="18.75" customHeight="1" thickBot="1">
      <c r="A102" s="162">
        <v>1830</v>
      </c>
      <c r="B102" s="162" t="s">
        <v>72</v>
      </c>
      <c r="C102" s="1118">
        <f>SUM(C99:C101)</f>
        <v>4205781</v>
      </c>
      <c r="D102" s="1118">
        <f>SUM(D99:D101)</f>
        <v>3608781</v>
      </c>
      <c r="E102" s="1118">
        <f>SUM(E99:E101)</f>
        <v>5545092</v>
      </c>
      <c r="F102" s="1118">
        <f>SUM(F99:F101)</f>
        <v>5717596</v>
      </c>
      <c r="G102" s="1118">
        <f>SUM(G99:G101)</f>
        <v>6545593</v>
      </c>
      <c r="H102" s="1287">
        <f t="shared" si="1"/>
        <v>1.1448155833325755</v>
      </c>
    </row>
    <row r="103" spans="1:8" s="19" customFormat="1" ht="18.75" customHeight="1">
      <c r="A103" s="1262"/>
      <c r="B103" s="1262"/>
      <c r="C103" s="1263"/>
      <c r="D103" s="1263"/>
      <c r="E103" s="1263"/>
      <c r="F103" s="1263"/>
      <c r="G103" s="1263"/>
      <c r="H103" s="1286"/>
    </row>
    <row r="104" spans="1:9" s="19" customFormat="1" ht="12.75">
      <c r="A104" s="74">
        <v>1842</v>
      </c>
      <c r="B104" s="120" t="s">
        <v>1290</v>
      </c>
      <c r="C104" s="1044"/>
      <c r="D104" s="1044"/>
      <c r="E104" s="1044"/>
      <c r="F104" s="1044"/>
      <c r="G104" s="1044">
        <v>400837</v>
      </c>
      <c r="H104" s="186"/>
      <c r="I104" s="1276"/>
    </row>
    <row r="105" spans="1:8" s="19" customFormat="1" ht="12.75">
      <c r="A105" s="74">
        <v>1843</v>
      </c>
      <c r="B105" s="120" t="s">
        <v>466</v>
      </c>
      <c r="C105" s="1047">
        <v>63789</v>
      </c>
      <c r="D105" s="1047">
        <v>63789</v>
      </c>
      <c r="E105" s="1047">
        <v>63789</v>
      </c>
      <c r="F105" s="1047">
        <v>63789</v>
      </c>
      <c r="G105" s="1047">
        <v>63789</v>
      </c>
      <c r="H105" s="186">
        <f t="shared" si="1"/>
        <v>1</v>
      </c>
    </row>
    <row r="106" spans="1:8" s="19" customFormat="1" ht="12.75">
      <c r="A106" s="74">
        <v>1844</v>
      </c>
      <c r="B106" s="120" t="s">
        <v>474</v>
      </c>
      <c r="C106" s="1047"/>
      <c r="D106" s="1047"/>
      <c r="E106" s="1047"/>
      <c r="F106" s="1047"/>
      <c r="G106" s="1047"/>
      <c r="H106" s="1062"/>
    </row>
    <row r="107" spans="1:8" s="19" customFormat="1" ht="12.75">
      <c r="A107" s="70">
        <v>1845</v>
      </c>
      <c r="B107" s="125" t="s">
        <v>477</v>
      </c>
      <c r="C107" s="1047">
        <f>SUM(C108:C111)</f>
        <v>7567703</v>
      </c>
      <c r="D107" s="1047">
        <f>SUM(D108:D111)</f>
        <v>7510703</v>
      </c>
      <c r="E107" s="1047">
        <f>SUM(E108:E111)</f>
        <v>7716986</v>
      </c>
      <c r="F107" s="1047">
        <f>SUM(F108:F111)</f>
        <v>7755041</v>
      </c>
      <c r="G107" s="1047">
        <f>SUM(G108:G111)</f>
        <v>7730031</v>
      </c>
      <c r="H107" s="1062">
        <f t="shared" si="1"/>
        <v>0.996775000931652</v>
      </c>
    </row>
    <row r="108" spans="1:8" s="19" customFormat="1" ht="12.75">
      <c r="A108" s="74">
        <v>1846</v>
      </c>
      <c r="B108" s="69" t="s">
        <v>373</v>
      </c>
      <c r="C108" s="998">
        <f>SUM('2.mell'!C604)</f>
        <v>4418537</v>
      </c>
      <c r="D108" s="998">
        <f>SUM('2.mell'!D604)</f>
        <v>4368537</v>
      </c>
      <c r="E108" s="998">
        <f>SUM('2.mell'!E604)</f>
        <v>4511365</v>
      </c>
      <c r="F108" s="998">
        <f>SUM('2.mell'!F604)</f>
        <v>4549270</v>
      </c>
      <c r="G108" s="998">
        <f>SUM('2.mell'!G604)</f>
        <v>4590525</v>
      </c>
      <c r="H108" s="1062">
        <f t="shared" si="1"/>
        <v>1.0090684879112473</v>
      </c>
    </row>
    <row r="109" spans="1:8" s="19" customFormat="1" ht="12.75">
      <c r="A109" s="74">
        <v>1847</v>
      </c>
      <c r="B109" s="74" t="s">
        <v>374</v>
      </c>
      <c r="C109" s="998">
        <f>SUM('2.mell'!C605)</f>
        <v>417038</v>
      </c>
      <c r="D109" s="998">
        <f>SUM('2.mell'!D605)</f>
        <v>417038</v>
      </c>
      <c r="E109" s="998">
        <f>SUM('2.mell'!E605)</f>
        <v>458038</v>
      </c>
      <c r="F109" s="998">
        <f>SUM('2.mell'!F605)</f>
        <v>458038</v>
      </c>
      <c r="G109" s="998">
        <f>SUM('2.mell'!G605)</f>
        <v>391636</v>
      </c>
      <c r="H109" s="1062">
        <f t="shared" si="1"/>
        <v>0.8550294953693799</v>
      </c>
    </row>
    <row r="110" spans="1:8" s="19" customFormat="1" ht="12.75">
      <c r="A110" s="74">
        <v>1848</v>
      </c>
      <c r="B110" s="69" t="s">
        <v>73</v>
      </c>
      <c r="C110" s="998">
        <f>SUM('3b.m.'!C32)</f>
        <v>694664</v>
      </c>
      <c r="D110" s="998">
        <f>SUM('3b.m.'!D32)</f>
        <v>694664</v>
      </c>
      <c r="E110" s="998">
        <f>SUM('3b.m.'!E32)</f>
        <v>714664</v>
      </c>
      <c r="F110" s="998">
        <f>SUM('3b.m.'!F32)</f>
        <v>714664</v>
      </c>
      <c r="G110" s="998">
        <f>SUM('3b.m.'!G32)</f>
        <v>714664</v>
      </c>
      <c r="H110" s="1062">
        <f t="shared" si="1"/>
        <v>1</v>
      </c>
    </row>
    <row r="111" spans="1:8" s="19" customFormat="1" ht="12.75" thickBot="1">
      <c r="A111" s="161">
        <v>1849</v>
      </c>
      <c r="B111" s="69" t="s">
        <v>352</v>
      </c>
      <c r="C111" s="1119">
        <f>SUM('1b.mell '!C137)</f>
        <v>2037464</v>
      </c>
      <c r="D111" s="1119">
        <f>SUM('1b.mell '!D137)</f>
        <v>2030464</v>
      </c>
      <c r="E111" s="1119">
        <f>SUM('1b.mell '!E137)</f>
        <v>2032919</v>
      </c>
      <c r="F111" s="1119">
        <f>SUM('1b.mell '!F137)</f>
        <v>2033069</v>
      </c>
      <c r="G111" s="1119">
        <f>SUM('1b.mell '!G137)</f>
        <v>2033206</v>
      </c>
      <c r="H111" s="1284">
        <f t="shared" si="1"/>
        <v>1.0000673858093356</v>
      </c>
    </row>
    <row r="112" spans="1:8" s="19" customFormat="1" ht="18.75" customHeight="1" thickBot="1">
      <c r="A112" s="177">
        <v>1840</v>
      </c>
      <c r="B112" s="162" t="s">
        <v>62</v>
      </c>
      <c r="C112" s="1120">
        <f>SUM(C107+C105+C106)</f>
        <v>7631492</v>
      </c>
      <c r="D112" s="1120">
        <f>SUM(D107+D105+D106)</f>
        <v>7574492</v>
      </c>
      <c r="E112" s="1120">
        <f>SUM(E107+E105+E106)</f>
        <v>7780775</v>
      </c>
      <c r="F112" s="1120">
        <f>SUM(F107+F105+F106)</f>
        <v>7818830</v>
      </c>
      <c r="G112" s="1120">
        <f>SUM(G107+G105+G106)+G104</f>
        <v>8194657</v>
      </c>
      <c r="H112" s="1063">
        <f t="shared" si="1"/>
        <v>1.0480669102666256</v>
      </c>
    </row>
    <row r="113" spans="1:8" s="19" customFormat="1" ht="12.75">
      <c r="A113" s="180"/>
      <c r="B113" s="180"/>
      <c r="C113" s="1047"/>
      <c r="D113" s="1047"/>
      <c r="E113" s="1047"/>
      <c r="F113" s="1047"/>
      <c r="G113" s="1047"/>
      <c r="H113" s="1285"/>
    </row>
    <row r="114" spans="1:8" s="19" customFormat="1" ht="12.75" thickBot="1">
      <c r="A114" s="69">
        <v>1851</v>
      </c>
      <c r="B114" s="124" t="s">
        <v>467</v>
      </c>
      <c r="C114" s="1119">
        <v>48000</v>
      </c>
      <c r="D114" s="1119">
        <v>48000</v>
      </c>
      <c r="E114" s="1119">
        <v>48000</v>
      </c>
      <c r="F114" s="1119">
        <v>48000</v>
      </c>
      <c r="G114" s="1119">
        <v>48000</v>
      </c>
      <c r="H114" s="1284">
        <f t="shared" si="1"/>
        <v>1</v>
      </c>
    </row>
    <row r="115" spans="1:8" s="19" customFormat="1" ht="18.75" customHeight="1" thickBot="1">
      <c r="A115" s="177">
        <v>1865</v>
      </c>
      <c r="B115" s="162" t="s">
        <v>64</v>
      </c>
      <c r="C115" s="1117">
        <f>SUM(C114)</f>
        <v>48000</v>
      </c>
      <c r="D115" s="1117">
        <f>SUM(D114)</f>
        <v>48000</v>
      </c>
      <c r="E115" s="1117">
        <f>SUM(E114)</f>
        <v>48000</v>
      </c>
      <c r="F115" s="1117">
        <f>SUM(F114)</f>
        <v>48000</v>
      </c>
      <c r="G115" s="1117">
        <f>SUM(G114)</f>
        <v>48000</v>
      </c>
      <c r="H115" s="1287">
        <f t="shared" si="1"/>
        <v>1</v>
      </c>
    </row>
    <row r="116" spans="1:8" s="19" customFormat="1" ht="18.75" customHeight="1" thickBot="1">
      <c r="A116" s="177"/>
      <c r="B116" s="219"/>
      <c r="C116" s="1117"/>
      <c r="D116" s="1117"/>
      <c r="E116" s="1117"/>
      <c r="F116" s="1117"/>
      <c r="G116" s="1117"/>
      <c r="H116" s="1288"/>
    </row>
    <row r="117" spans="1:8" s="19" customFormat="1" ht="18" customHeight="1" thickBot="1">
      <c r="A117" s="92">
        <v>1870</v>
      </c>
      <c r="B117" s="160" t="s">
        <v>74</v>
      </c>
      <c r="C117" s="689">
        <f>SUM(C115+C112+C102+C96)</f>
        <v>21114775</v>
      </c>
      <c r="D117" s="689">
        <f>SUM(D115+D112+D102+D96)</f>
        <v>21107775</v>
      </c>
      <c r="E117" s="1157">
        <f>SUM(E115+E112+E102+E96)</f>
        <v>23597522</v>
      </c>
      <c r="F117" s="1157">
        <f>SUM(F115+F112+F102+F96)</f>
        <v>23665522</v>
      </c>
      <c r="G117" s="1157">
        <f>SUM(G115+G112+G102+G96)</f>
        <v>24908112</v>
      </c>
      <c r="H117" s="1063">
        <f t="shared" si="1"/>
        <v>1.0525063423490089</v>
      </c>
    </row>
    <row r="118" spans="1:8" ht="7.5" customHeight="1">
      <c r="A118" s="7"/>
      <c r="B118" s="61"/>
      <c r="C118" s="301"/>
      <c r="D118" s="301"/>
      <c r="E118" s="1160"/>
      <c r="F118" s="1160"/>
      <c r="G118" s="1160"/>
      <c r="H118" s="1285"/>
    </row>
    <row r="119" spans="1:8" s="27" customFormat="1" ht="12" customHeight="1">
      <c r="A119" s="14"/>
      <c r="B119" s="26" t="s">
        <v>371</v>
      </c>
      <c r="C119" s="1055"/>
      <c r="D119" s="1055"/>
      <c r="E119" s="1227"/>
      <c r="F119" s="1227"/>
      <c r="G119" s="1227"/>
      <c r="H119" s="1062"/>
    </row>
    <row r="120" spans="1:8" s="27" customFormat="1" ht="9" customHeight="1">
      <c r="A120" s="14"/>
      <c r="B120" s="26"/>
      <c r="C120" s="1055"/>
      <c r="D120" s="1055"/>
      <c r="E120" s="1227"/>
      <c r="F120" s="1227"/>
      <c r="G120" s="1227"/>
      <c r="H120" s="1062"/>
    </row>
    <row r="121" spans="1:8" s="27" customFormat="1" ht="12" customHeight="1">
      <c r="A121" s="14"/>
      <c r="B121" s="79" t="s">
        <v>70</v>
      </c>
      <c r="C121" s="1055"/>
      <c r="D121" s="1055"/>
      <c r="E121" s="1227"/>
      <c r="F121" s="1227"/>
      <c r="G121" s="1227"/>
      <c r="H121" s="1062"/>
    </row>
    <row r="122" spans="1:8" s="19" customFormat="1" ht="12.75">
      <c r="A122" s="5">
        <v>1911</v>
      </c>
      <c r="B122" s="6" t="s">
        <v>276</v>
      </c>
      <c r="C122" s="179">
        <f>SUM('2.mell'!C610)</f>
        <v>2869785</v>
      </c>
      <c r="D122" s="179">
        <f>SUM('2.mell'!D610)</f>
        <v>2869785</v>
      </c>
      <c r="E122" s="1115">
        <f>SUM('2.mell'!E610)</f>
        <v>2918392</v>
      </c>
      <c r="F122" s="1115">
        <f>SUM('2.mell'!F610)</f>
        <v>2940554</v>
      </c>
      <c r="G122" s="1115">
        <f>SUM('2.mell'!G610)</f>
        <v>2982071</v>
      </c>
      <c r="H122" s="1062">
        <f t="shared" si="1"/>
        <v>1.01411876809608</v>
      </c>
    </row>
    <row r="123" spans="1:8" s="19" customFormat="1" ht="12.75">
      <c r="A123" s="5">
        <v>1912</v>
      </c>
      <c r="B123" s="6" t="s">
        <v>108</v>
      </c>
      <c r="C123" s="179">
        <f>SUM('2.mell'!C611)</f>
        <v>562121</v>
      </c>
      <c r="D123" s="179">
        <f>SUM('2.mell'!D611)</f>
        <v>562121</v>
      </c>
      <c r="E123" s="1115">
        <f>SUM('2.mell'!E611)</f>
        <v>579407</v>
      </c>
      <c r="F123" s="1115">
        <f>SUM('2.mell'!F611)</f>
        <v>582802</v>
      </c>
      <c r="G123" s="1115">
        <f>SUM('2.mell'!G611)</f>
        <v>589310</v>
      </c>
      <c r="H123" s="1062">
        <f t="shared" si="1"/>
        <v>1.011166742735955</v>
      </c>
    </row>
    <row r="124" spans="1:8" s="19" customFormat="1" ht="12.75">
      <c r="A124" s="5">
        <v>1913</v>
      </c>
      <c r="B124" s="5" t="s">
        <v>109</v>
      </c>
      <c r="C124" s="179">
        <f>SUM('2.mell'!C612)</f>
        <v>1699899</v>
      </c>
      <c r="D124" s="179">
        <f>SUM('2.mell'!D612)</f>
        <v>1649899</v>
      </c>
      <c r="E124" s="1115">
        <f>SUM('2.mell'!E612)</f>
        <v>1788134</v>
      </c>
      <c r="F124" s="1115">
        <f>SUM('2.mell'!F612)</f>
        <v>1780282</v>
      </c>
      <c r="G124" s="1115">
        <f>SUM('2.mell'!G612)</f>
        <v>1697024</v>
      </c>
      <c r="H124" s="1062">
        <f t="shared" si="1"/>
        <v>0.9532332518106682</v>
      </c>
    </row>
    <row r="125" spans="1:8" s="25" customFormat="1" ht="12.75">
      <c r="A125" s="74">
        <v>1915</v>
      </c>
      <c r="B125" s="6" t="s">
        <v>245</v>
      </c>
      <c r="C125" s="179">
        <f>SUM('2.mell'!C613)</f>
        <v>600</v>
      </c>
      <c r="D125" s="179">
        <f>SUM('2.mell'!D613)</f>
        <v>600</v>
      </c>
      <c r="E125" s="1115">
        <f>SUM('2.mell'!E613)</f>
        <v>600</v>
      </c>
      <c r="F125" s="1115">
        <f>SUM('2.mell'!F613)</f>
        <v>600</v>
      </c>
      <c r="G125" s="1115">
        <f>SUM('2.mell'!G613)</f>
        <v>600</v>
      </c>
      <c r="H125" s="1062">
        <f t="shared" si="1"/>
        <v>1</v>
      </c>
    </row>
    <row r="126" spans="1:8" s="19" customFormat="1" ht="12.75">
      <c r="A126" s="5">
        <v>1916</v>
      </c>
      <c r="B126" s="6" t="s">
        <v>292</v>
      </c>
      <c r="C126" s="179">
        <f>SUM('2.mell'!C614)</f>
        <v>0</v>
      </c>
      <c r="D126" s="179">
        <f>SUM('2.mell'!D614)</f>
        <v>0</v>
      </c>
      <c r="E126" s="1115">
        <f>SUM('2.mell'!E614)</f>
        <v>0</v>
      </c>
      <c r="F126" s="1115">
        <f>SUM('2.mell'!F614)</f>
        <v>0</v>
      </c>
      <c r="G126" s="1115">
        <f>SUM('2.mell'!G614)</f>
        <v>1491</v>
      </c>
      <c r="H126" s="1062"/>
    </row>
    <row r="127" spans="1:8" s="19" customFormat="1" ht="12.75">
      <c r="A127" s="70">
        <v>1910</v>
      </c>
      <c r="B127" s="71" t="s">
        <v>60</v>
      </c>
      <c r="C127" s="303">
        <f>SUM(C122:C126)</f>
        <v>5132405</v>
      </c>
      <c r="D127" s="303">
        <f>SUM(D122:D126)</f>
        <v>5082405</v>
      </c>
      <c r="E127" s="1044">
        <f>SUM(E122:E126)</f>
        <v>5286533</v>
      </c>
      <c r="F127" s="1044">
        <f>SUM(F122:F126)</f>
        <v>5304238</v>
      </c>
      <c r="G127" s="1044">
        <f>SUM(G122:G126)</f>
        <v>5270496</v>
      </c>
      <c r="H127" s="186">
        <f t="shared" si="1"/>
        <v>0.9936386715679048</v>
      </c>
    </row>
    <row r="128" spans="1:8" s="19" customFormat="1" ht="12.75">
      <c r="A128" s="5"/>
      <c r="B128" s="90" t="s">
        <v>71</v>
      </c>
      <c r="C128" s="303"/>
      <c r="D128" s="303"/>
      <c r="E128" s="1044"/>
      <c r="F128" s="1044"/>
      <c r="G128" s="1044"/>
      <c r="H128" s="1062"/>
    </row>
    <row r="129" spans="1:8" s="19" customFormat="1" ht="12.75">
      <c r="A129" s="5">
        <v>1921</v>
      </c>
      <c r="B129" s="6" t="s">
        <v>248</v>
      </c>
      <c r="C129" s="179">
        <f>SUM('2.mell'!C616)</f>
        <v>50539</v>
      </c>
      <c r="D129" s="179">
        <f>SUM('2.mell'!D616)</f>
        <v>50539</v>
      </c>
      <c r="E129" s="1115">
        <f>SUM('2.mell'!E616)</f>
        <v>57890</v>
      </c>
      <c r="F129" s="1115">
        <f>SUM('2.mell'!F616)</f>
        <v>78090</v>
      </c>
      <c r="G129" s="1115">
        <f>SUM('2.mell'!G616)</f>
        <v>96703</v>
      </c>
      <c r="H129" s="1062">
        <f t="shared" si="1"/>
        <v>1.238353182225637</v>
      </c>
    </row>
    <row r="130" spans="1:8" s="19" customFormat="1" ht="12.75">
      <c r="A130" s="5">
        <v>1922</v>
      </c>
      <c r="B130" s="6" t="s">
        <v>249</v>
      </c>
      <c r="C130" s="179">
        <f>SUM('2.mell'!C617)</f>
        <v>0</v>
      </c>
      <c r="D130" s="179">
        <f>SUM('2.mell'!D617)</f>
        <v>0</v>
      </c>
      <c r="E130" s="1115">
        <f>SUM('2.mell'!E617)</f>
        <v>0</v>
      </c>
      <c r="F130" s="1115">
        <f>SUM('2.mell'!F617)</f>
        <v>0</v>
      </c>
      <c r="G130" s="1115">
        <f>SUM('2.mell'!H617)</f>
        <v>0</v>
      </c>
      <c r="H130" s="1062"/>
    </row>
    <row r="131" spans="1:8" s="19" customFormat="1" ht="12.75">
      <c r="A131" s="5">
        <v>1923</v>
      </c>
      <c r="B131" s="6" t="s">
        <v>326</v>
      </c>
      <c r="C131" s="179">
        <f>SUM('2.mell'!C618)</f>
        <v>0</v>
      </c>
      <c r="D131" s="179">
        <f>SUM('2.mell'!D618)</f>
        <v>0</v>
      </c>
      <c r="E131" s="1115">
        <f>SUM('2.mell'!E618)</f>
        <v>0</v>
      </c>
      <c r="F131" s="1115">
        <f>SUM('2.mell'!F618)</f>
        <v>0</v>
      </c>
      <c r="G131" s="1115">
        <f>SUM('2.mell'!H618)</f>
        <v>0</v>
      </c>
      <c r="H131" s="1062"/>
    </row>
    <row r="132" spans="1:8" s="19" customFormat="1" ht="12.75" thickBot="1">
      <c r="A132" s="91">
        <v>1920</v>
      </c>
      <c r="B132" s="91" t="s">
        <v>66</v>
      </c>
      <c r="C132" s="1056">
        <f>SUM(C129:C131)</f>
        <v>50539</v>
      </c>
      <c r="D132" s="1056">
        <f>SUM(D129:D131)</f>
        <v>50539</v>
      </c>
      <c r="E132" s="1228">
        <f>SUM(E129:E131)</f>
        <v>57890</v>
      </c>
      <c r="F132" s="1228">
        <f>SUM(F129:F131)</f>
        <v>78090</v>
      </c>
      <c r="G132" s="1228">
        <f>SUM(G129:G131)</f>
        <v>96703</v>
      </c>
      <c r="H132" s="1289">
        <f t="shared" si="1"/>
        <v>1.238353182225637</v>
      </c>
    </row>
    <row r="133" spans="1:8" s="19" customFormat="1" ht="16.5" customHeight="1" thickBot="1">
      <c r="A133" s="92"/>
      <c r="B133" s="162"/>
      <c r="C133" s="689"/>
      <c r="D133" s="689"/>
      <c r="E133" s="1157"/>
      <c r="F133" s="1157"/>
      <c r="G133" s="1157"/>
      <c r="H133" s="1288"/>
    </row>
    <row r="134" spans="1:8" s="29" customFormat="1" ht="13.5" thickBot="1">
      <c r="A134" s="28">
        <v>1940</v>
      </c>
      <c r="B134" s="93" t="s">
        <v>372</v>
      </c>
      <c r="C134" s="688">
        <f>SUM(C127+C132)</f>
        <v>5182944</v>
      </c>
      <c r="D134" s="688">
        <f>SUM(D127+D132)</f>
        <v>5132944</v>
      </c>
      <c r="E134" s="1229">
        <f>SUM(E127+E132)</f>
        <v>5344423</v>
      </c>
      <c r="F134" s="1229">
        <f>SUM(F127+F132)</f>
        <v>5382328</v>
      </c>
      <c r="G134" s="1229">
        <f>SUM(G127+G132)</f>
        <v>5367199</v>
      </c>
      <c r="H134" s="1063">
        <f t="shared" si="1"/>
        <v>0.9971891345157708</v>
      </c>
    </row>
    <row r="135" spans="1:8" s="29" customFormat="1" ht="12.75">
      <c r="A135" s="89"/>
      <c r="B135" s="193"/>
      <c r="C135" s="519"/>
      <c r="D135" s="519"/>
      <c r="E135" s="1230"/>
      <c r="F135" s="1230"/>
      <c r="G135" s="1230"/>
      <c r="H135" s="1285"/>
    </row>
    <row r="136" spans="1:8" ht="14.25" customHeight="1">
      <c r="A136" s="14"/>
      <c r="B136" s="14" t="s">
        <v>355</v>
      </c>
      <c r="C136" s="687"/>
      <c r="D136" s="687"/>
      <c r="E136" s="1163"/>
      <c r="F136" s="1163"/>
      <c r="G136" s="1163"/>
      <c r="H136" s="1062"/>
    </row>
    <row r="137" spans="1:8" ht="14.25" customHeight="1">
      <c r="A137" s="14"/>
      <c r="B137" s="79" t="s">
        <v>70</v>
      </c>
      <c r="C137" s="1055"/>
      <c r="D137" s="1055"/>
      <c r="E137" s="1227"/>
      <c r="F137" s="1227"/>
      <c r="G137" s="1227"/>
      <c r="H137" s="1062"/>
    </row>
    <row r="138" spans="1:8" ht="12.75">
      <c r="A138" s="5">
        <v>1951</v>
      </c>
      <c r="B138" s="6" t="s">
        <v>158</v>
      </c>
      <c r="C138" s="296">
        <f aca="true" t="shared" si="5" ref="C138:F140">SUM(C90+C122)</f>
        <v>4902413</v>
      </c>
      <c r="D138" s="296">
        <f t="shared" si="5"/>
        <v>4875713</v>
      </c>
      <c r="E138" s="1109">
        <f t="shared" si="5"/>
        <v>5070588</v>
      </c>
      <c r="F138" s="1109">
        <f t="shared" si="5"/>
        <v>5092878</v>
      </c>
      <c r="G138" s="1109">
        <f>SUM(G90+G122)</f>
        <v>5149337</v>
      </c>
      <c r="H138" s="1062">
        <f t="shared" si="1"/>
        <v>1.0110858732528052</v>
      </c>
    </row>
    <row r="139" spans="1:8" ht="12.75">
      <c r="A139" s="5">
        <v>1952</v>
      </c>
      <c r="B139" s="6" t="s">
        <v>305</v>
      </c>
      <c r="C139" s="296">
        <f t="shared" si="5"/>
        <v>957630</v>
      </c>
      <c r="D139" s="296">
        <f t="shared" si="5"/>
        <v>948830</v>
      </c>
      <c r="E139" s="1109">
        <f t="shared" si="5"/>
        <v>1011093</v>
      </c>
      <c r="F139" s="1109">
        <f t="shared" si="5"/>
        <v>1014510</v>
      </c>
      <c r="G139" s="1109">
        <f>SUM(G91+G123)</f>
        <v>1023476</v>
      </c>
      <c r="H139" s="1062">
        <f t="shared" si="1"/>
        <v>1.0088377640437256</v>
      </c>
    </row>
    <row r="140" spans="1:8" ht="12.75">
      <c r="A140" s="5">
        <v>1953</v>
      </c>
      <c r="B140" s="6" t="s">
        <v>306</v>
      </c>
      <c r="C140" s="296">
        <f t="shared" si="5"/>
        <v>5817814</v>
      </c>
      <c r="D140" s="296">
        <f t="shared" si="5"/>
        <v>5643314</v>
      </c>
      <c r="E140" s="1109">
        <f t="shared" si="5"/>
        <v>6536812</v>
      </c>
      <c r="F140" s="1109">
        <f t="shared" si="5"/>
        <v>6565960</v>
      </c>
      <c r="G140" s="1109">
        <f>SUM(G92+G124)</f>
        <v>6560996</v>
      </c>
      <c r="H140" s="1062">
        <f t="shared" si="1"/>
        <v>0.9992439795551602</v>
      </c>
    </row>
    <row r="141" spans="1:8" ht="12.75">
      <c r="A141" s="5">
        <v>1954</v>
      </c>
      <c r="B141" s="6" t="s">
        <v>161</v>
      </c>
      <c r="C141" s="296">
        <f>SUM(C125+C93)</f>
        <v>269000</v>
      </c>
      <c r="D141" s="296">
        <f>SUM(D125+D93)</f>
        <v>568500</v>
      </c>
      <c r="E141" s="1109">
        <f>SUM(E125+E93)</f>
        <v>584022</v>
      </c>
      <c r="F141" s="1109">
        <f>SUM(F125+F93)</f>
        <v>538022</v>
      </c>
      <c r="G141" s="1109">
        <f>SUM(G125+G93)</f>
        <v>412393</v>
      </c>
      <c r="H141" s="1062">
        <f t="shared" si="1"/>
        <v>0.7664983959763727</v>
      </c>
    </row>
    <row r="142" spans="1:8" ht="12.75" thickBot="1">
      <c r="A142" s="5">
        <v>1955</v>
      </c>
      <c r="B142" s="6" t="s">
        <v>98</v>
      </c>
      <c r="C142" s="296">
        <f>SUM(C94+C126)</f>
        <v>2415050</v>
      </c>
      <c r="D142" s="296">
        <f>SUM(D94+D126)</f>
        <v>2922550</v>
      </c>
      <c r="E142" s="1109">
        <f>SUM(E94+E126)</f>
        <v>2307673</v>
      </c>
      <c r="F142" s="1109">
        <f>SUM(F94+F126)</f>
        <v>2173964</v>
      </c>
      <c r="G142" s="1109">
        <f>SUM(G94+G126)</f>
        <v>2244156</v>
      </c>
      <c r="H142" s="1284">
        <f aca="true" t="shared" si="6" ref="H142:H155">SUM(G142/F142)</f>
        <v>1.032287563179519</v>
      </c>
    </row>
    <row r="143" spans="1:8" ht="18" customHeight="1" thickBot="1">
      <c r="A143" s="162">
        <v>1950</v>
      </c>
      <c r="B143" s="162" t="s">
        <v>60</v>
      </c>
      <c r="C143" s="1051">
        <f>SUM(C138:C142)</f>
        <v>14361907</v>
      </c>
      <c r="D143" s="1051">
        <f>SUM(D138:D142)</f>
        <v>14958907</v>
      </c>
      <c r="E143" s="1117">
        <f>SUM(E138:E142)</f>
        <v>15510188</v>
      </c>
      <c r="F143" s="1117">
        <f>SUM(F138:F142)</f>
        <v>15385334</v>
      </c>
      <c r="G143" s="1117">
        <f>SUM(G138:G142)</f>
        <v>15390358</v>
      </c>
      <c r="H143" s="1063">
        <f t="shared" si="6"/>
        <v>1.0003265447470948</v>
      </c>
    </row>
    <row r="144" spans="1:8" ht="12.75">
      <c r="A144" s="6"/>
      <c r="B144" s="90" t="s">
        <v>71</v>
      </c>
      <c r="C144" s="296"/>
      <c r="D144" s="296"/>
      <c r="E144" s="1109"/>
      <c r="F144" s="1109"/>
      <c r="G144" s="1109"/>
      <c r="H144" s="1285"/>
    </row>
    <row r="145" spans="1:8" ht="12.75">
      <c r="A145" s="6">
        <v>1961</v>
      </c>
      <c r="B145" s="90" t="s">
        <v>250</v>
      </c>
      <c r="C145" s="302">
        <f aca="true" t="shared" si="7" ref="C145:E146">SUM(C99+C129)</f>
        <v>1109002</v>
      </c>
      <c r="D145" s="302">
        <f t="shared" si="7"/>
        <v>1025002</v>
      </c>
      <c r="E145" s="1110">
        <f t="shared" si="7"/>
        <v>1235493</v>
      </c>
      <c r="F145" s="1110">
        <f aca="true" t="shared" si="8" ref="F145">SUM(F99+F129)</f>
        <v>1280693</v>
      </c>
      <c r="G145" s="1110">
        <f>SUM(G99+G129)</f>
        <v>1337677</v>
      </c>
      <c r="H145" s="1062">
        <f t="shared" si="6"/>
        <v>1.044494660312815</v>
      </c>
    </row>
    <row r="146" spans="1:8" ht="12.75">
      <c r="A146" s="5">
        <v>1962</v>
      </c>
      <c r="B146" s="6" t="s">
        <v>249</v>
      </c>
      <c r="C146" s="1053">
        <f t="shared" si="7"/>
        <v>2572918</v>
      </c>
      <c r="D146" s="1053">
        <f t="shared" si="7"/>
        <v>2317918</v>
      </c>
      <c r="E146" s="998">
        <f t="shared" si="7"/>
        <v>3615346</v>
      </c>
      <c r="F146" s="998">
        <f aca="true" t="shared" si="9" ref="F146">SUM(F100+F130)</f>
        <v>3631846</v>
      </c>
      <c r="G146" s="998">
        <f>SUM(G100+G130)</f>
        <v>4302107</v>
      </c>
      <c r="H146" s="1062">
        <f t="shared" si="6"/>
        <v>1.1845510519994515</v>
      </c>
    </row>
    <row r="147" spans="1:8" ht="12.75" thickBot="1">
      <c r="A147" s="5">
        <v>1963</v>
      </c>
      <c r="B147" s="6" t="s">
        <v>326</v>
      </c>
      <c r="C147" s="1057">
        <f>SUM(C131+C101)</f>
        <v>574400</v>
      </c>
      <c r="D147" s="1057">
        <f>SUM(D131+D101)</f>
        <v>316400</v>
      </c>
      <c r="E147" s="1231">
        <f>SUM(E131+E101)</f>
        <v>752143</v>
      </c>
      <c r="F147" s="1231">
        <f>SUM(F131+F101)</f>
        <v>883147</v>
      </c>
      <c r="G147" s="1231">
        <f>SUM(G131+G101)</f>
        <v>1002512</v>
      </c>
      <c r="H147" s="1284">
        <f t="shared" si="6"/>
        <v>1.1351586995143503</v>
      </c>
    </row>
    <row r="148" spans="1:8" ht="17.25" customHeight="1" thickBot="1">
      <c r="A148" s="162">
        <v>1960</v>
      </c>
      <c r="B148" s="162" t="s">
        <v>66</v>
      </c>
      <c r="C148" s="1054">
        <f>SUM(C145:C147)</f>
        <v>4256320</v>
      </c>
      <c r="D148" s="1054">
        <f>SUM(D145:D147)</f>
        <v>3659320</v>
      </c>
      <c r="E148" s="1120">
        <f>SUM(E145:E147)</f>
        <v>5602982</v>
      </c>
      <c r="F148" s="1120">
        <f>SUM(F145:F147)</f>
        <v>5795686</v>
      </c>
      <c r="G148" s="1120">
        <f>SUM(G145:G147)</f>
        <v>6642296</v>
      </c>
      <c r="H148" s="1063">
        <f t="shared" si="6"/>
        <v>1.1460758916200775</v>
      </c>
    </row>
    <row r="149" spans="1:8" ht="13.5" customHeight="1">
      <c r="A149" s="1294">
        <v>1973</v>
      </c>
      <c r="B149" s="120" t="s">
        <v>1290</v>
      </c>
      <c r="C149" s="1292"/>
      <c r="D149" s="1292"/>
      <c r="E149" s="1293"/>
      <c r="F149" s="1293"/>
      <c r="G149" s="1295">
        <f>SUM(G104)</f>
        <v>400837</v>
      </c>
      <c r="H149" s="1296"/>
    </row>
    <row r="150" spans="1:8" ht="12.75">
      <c r="A150" s="74">
        <v>1974</v>
      </c>
      <c r="B150" s="120" t="s">
        <v>477</v>
      </c>
      <c r="C150" s="302">
        <f>SUM(C107)</f>
        <v>7567703</v>
      </c>
      <c r="D150" s="302">
        <f>SUM(D107)</f>
        <v>7510703</v>
      </c>
      <c r="E150" s="1110">
        <f>SUM(E107)</f>
        <v>7716986</v>
      </c>
      <c r="F150" s="1110">
        <f>SUM(F107)</f>
        <v>7755041</v>
      </c>
      <c r="G150" s="1110">
        <f>SUM(G107)</f>
        <v>7730031</v>
      </c>
      <c r="H150" s="1285">
        <f t="shared" si="6"/>
        <v>0.996775000931652</v>
      </c>
    </row>
    <row r="151" spans="1:8" ht="12.75" thickBot="1">
      <c r="A151" s="206">
        <v>1975</v>
      </c>
      <c r="B151" s="120" t="s">
        <v>466</v>
      </c>
      <c r="C151" s="302">
        <f>SUM(C105)</f>
        <v>63789</v>
      </c>
      <c r="D151" s="302">
        <f>SUM(D105)</f>
        <v>63789</v>
      </c>
      <c r="E151" s="1110">
        <f>SUM(E105)</f>
        <v>63789</v>
      </c>
      <c r="F151" s="1110">
        <f>SUM(F105)</f>
        <v>63789</v>
      </c>
      <c r="G151" s="1110">
        <f>SUM(G105)</f>
        <v>63789</v>
      </c>
      <c r="H151" s="1284">
        <f t="shared" si="6"/>
        <v>1</v>
      </c>
    </row>
    <row r="152" spans="1:8" ht="17.25" customHeight="1" thickBot="1">
      <c r="A152" s="177">
        <v>1970</v>
      </c>
      <c r="B152" s="162" t="s">
        <v>34</v>
      </c>
      <c r="C152" s="1052">
        <f>SUM(C150:C151)</f>
        <v>7631492</v>
      </c>
      <c r="D152" s="1052">
        <f>SUM(D150:D151)</f>
        <v>7574492</v>
      </c>
      <c r="E152" s="1118">
        <f>SUM(E150:E151)</f>
        <v>7780775</v>
      </c>
      <c r="F152" s="1118">
        <f>SUM(F150:F151)</f>
        <v>7818830</v>
      </c>
      <c r="G152" s="1118">
        <f>SUM(G149:G151)</f>
        <v>8194657</v>
      </c>
      <c r="H152" s="1063">
        <f t="shared" si="6"/>
        <v>1.0480669102666256</v>
      </c>
    </row>
    <row r="153" spans="1:8" ht="12" customHeight="1" thickBot="1">
      <c r="A153" s="6">
        <v>1981</v>
      </c>
      <c r="B153" s="124" t="s">
        <v>467</v>
      </c>
      <c r="C153" s="1053">
        <f>SUM(C114)</f>
        <v>48000</v>
      </c>
      <c r="D153" s="1053">
        <f>SUM(D114)</f>
        <v>48000</v>
      </c>
      <c r="E153" s="1053">
        <f>SUM(E114)</f>
        <v>48000</v>
      </c>
      <c r="F153" s="1053">
        <f>SUM(F114)</f>
        <v>48000</v>
      </c>
      <c r="G153" s="1053">
        <f>SUM(G114)</f>
        <v>48000</v>
      </c>
      <c r="H153" s="1288">
        <f t="shared" si="6"/>
        <v>1</v>
      </c>
    </row>
    <row r="154" spans="1:8" ht="17.25" customHeight="1" thickBot="1">
      <c r="A154" s="177">
        <v>1980</v>
      </c>
      <c r="B154" s="162" t="s">
        <v>33</v>
      </c>
      <c r="C154" s="1052">
        <f>SUM(C153:C153)</f>
        <v>48000</v>
      </c>
      <c r="D154" s="1052">
        <f>SUM(D153:D153)</f>
        <v>48000</v>
      </c>
      <c r="E154" s="1052">
        <f>SUM(E153:E153)</f>
        <v>48000</v>
      </c>
      <c r="F154" s="1052">
        <f>SUM(F153:F153)</f>
        <v>48000</v>
      </c>
      <c r="G154" s="1052">
        <f>SUM(G153:G153)</f>
        <v>48000</v>
      </c>
      <c r="H154" s="1287">
        <f t="shared" si="6"/>
        <v>1</v>
      </c>
    </row>
    <row r="155" spans="1:8" ht="26.25" customHeight="1" thickBot="1">
      <c r="A155" s="30"/>
      <c r="B155" s="698" t="s">
        <v>409</v>
      </c>
      <c r="C155" s="1058">
        <f>SUM(C153+C148+C143+C151)</f>
        <v>18730016</v>
      </c>
      <c r="D155" s="1058">
        <f>SUM(D153+D148+D143+D151)</f>
        <v>18730016</v>
      </c>
      <c r="E155" s="1058">
        <f>SUM(E153+E148+E143+E151)</f>
        <v>21224959</v>
      </c>
      <c r="F155" s="1058">
        <f>SUM(F153+F148+F143+F151)</f>
        <v>21292809</v>
      </c>
      <c r="G155" s="1058">
        <f>SUM(G153+G148+G143+G151)+G149</f>
        <v>22545280</v>
      </c>
      <c r="H155" s="1287">
        <f t="shared" si="6"/>
        <v>1.0588213138059897</v>
      </c>
    </row>
    <row r="156" ht="12.75">
      <c r="H156" s="568"/>
    </row>
    <row r="157" ht="12.75">
      <c r="H157" s="568"/>
    </row>
    <row r="158" ht="12.75">
      <c r="H158" s="568"/>
    </row>
    <row r="159" ht="12.75">
      <c r="H159" s="568"/>
    </row>
    <row r="160" ht="12.75">
      <c r="H160" s="568"/>
    </row>
    <row r="161" ht="12.75">
      <c r="H161" s="568"/>
    </row>
    <row r="162" ht="12.75">
      <c r="H162" s="568"/>
    </row>
    <row r="163" ht="12.75">
      <c r="H163" s="568"/>
    </row>
    <row r="164" ht="12.75">
      <c r="H164" s="568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</sheetData>
  <mergeCells count="8">
    <mergeCell ref="H5:H7"/>
    <mergeCell ref="A2:H2"/>
    <mergeCell ref="A1:H1"/>
    <mergeCell ref="C5:C7"/>
    <mergeCell ref="D5:D7"/>
    <mergeCell ref="E5:E7"/>
    <mergeCell ref="F5:F7"/>
    <mergeCell ref="G5:G7"/>
  </mergeCells>
  <printOptions horizontalCentered="1"/>
  <pageMargins left="0" right="0" top="0.3937007874015748" bottom="0.31496062992125984" header="0.11811023622047245" footer="0"/>
  <pageSetup firstPageNumber="8" useFirstPageNumber="1" horizontalDpi="600" verticalDpi="600" orientation="landscape" paperSize="9" scale="93" r:id="rId1"/>
  <headerFooter alignWithMargins="0">
    <oddFooter>&amp;C&amp;P. oldal</oddFooter>
  </headerFooter>
  <rowBreaks count="2" manualBreakCount="2">
    <brk id="88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0"/>
  <sheetViews>
    <sheetView view="pageBreakPreview" zoomScaleSheetLayoutView="100" workbookViewId="0" topLeftCell="A578">
      <selection activeCell="G462" sqref="G462"/>
    </sheetView>
  </sheetViews>
  <sheetFormatPr defaultColWidth="9.125" defaultRowHeight="12.75"/>
  <cols>
    <col min="1" max="1" width="8.625" style="221" customWidth="1"/>
    <col min="2" max="2" width="61.875" style="221" customWidth="1"/>
    <col min="3" max="7" width="10.875" style="221" customWidth="1"/>
    <col min="8" max="9" width="9.125" style="221" customWidth="1"/>
    <col min="10" max="10" width="9.75390625" style="221" bestFit="1" customWidth="1"/>
    <col min="11" max="16384" width="9.125" style="221" customWidth="1"/>
  </cols>
  <sheetData>
    <row r="1" spans="1:8" ht="12.75">
      <c r="A1" s="1327" t="s">
        <v>278</v>
      </c>
      <c r="B1" s="1323"/>
      <c r="C1" s="1323"/>
      <c r="D1" s="1323"/>
      <c r="E1" s="1323"/>
      <c r="F1" s="1323"/>
      <c r="G1" s="1323"/>
      <c r="H1" s="1323"/>
    </row>
    <row r="2" spans="1:8" ht="12.75">
      <c r="A2" s="1321" t="s">
        <v>1062</v>
      </c>
      <c r="B2" s="1322"/>
      <c r="C2" s="1323"/>
      <c r="D2" s="1323"/>
      <c r="E2" s="1323"/>
      <c r="F2" s="1323"/>
      <c r="G2" s="1323"/>
      <c r="H2" s="1323"/>
    </row>
    <row r="3" spans="1:2" ht="12.75">
      <c r="A3" s="222"/>
      <c r="B3" s="222"/>
    </row>
    <row r="4" spans="1:8" ht="12.75">
      <c r="A4" s="304"/>
      <c r="B4" s="305"/>
      <c r="C4" s="306"/>
      <c r="D4" s="306"/>
      <c r="E4" s="306"/>
      <c r="F4" s="306"/>
      <c r="G4" s="306"/>
      <c r="H4" s="306" t="s">
        <v>181</v>
      </c>
    </row>
    <row r="5" spans="1:8" ht="12.6" customHeight="1">
      <c r="A5" s="1328" t="s">
        <v>279</v>
      </c>
      <c r="B5" s="1328" t="s">
        <v>162</v>
      </c>
      <c r="C5" s="1331" t="s">
        <v>1193</v>
      </c>
      <c r="D5" s="1331" t="s">
        <v>1226</v>
      </c>
      <c r="E5" s="1331" t="s">
        <v>1264</v>
      </c>
      <c r="F5" s="1331" t="s">
        <v>1273</v>
      </c>
      <c r="G5" s="1331" t="s">
        <v>1277</v>
      </c>
      <c r="H5" s="1324" t="s">
        <v>1280</v>
      </c>
    </row>
    <row r="6" spans="1:8" ht="12.75">
      <c r="A6" s="1329"/>
      <c r="B6" s="1329"/>
      <c r="C6" s="1332"/>
      <c r="D6" s="1332"/>
      <c r="E6" s="1332"/>
      <c r="F6" s="1332"/>
      <c r="G6" s="1332"/>
      <c r="H6" s="1325"/>
    </row>
    <row r="7" spans="1:8" ht="13.5" thickBot="1">
      <c r="A7" s="1330"/>
      <c r="B7" s="1330"/>
      <c r="C7" s="1333"/>
      <c r="D7" s="1333"/>
      <c r="E7" s="1333"/>
      <c r="F7" s="1333"/>
      <c r="G7" s="1333"/>
      <c r="H7" s="1326"/>
    </row>
    <row r="8" spans="1:8" ht="13.5" thickBot="1">
      <c r="A8" s="307" t="s">
        <v>281</v>
      </c>
      <c r="B8" s="308" t="s">
        <v>282</v>
      </c>
      <c r="C8" s="307" t="s">
        <v>165</v>
      </c>
      <c r="D8" s="307" t="s">
        <v>166</v>
      </c>
      <c r="E8" s="307" t="s">
        <v>167</v>
      </c>
      <c r="F8" s="307" t="s">
        <v>43</v>
      </c>
      <c r="G8" s="307" t="s">
        <v>369</v>
      </c>
      <c r="H8" s="307" t="s">
        <v>570</v>
      </c>
    </row>
    <row r="9" spans="1:8" ht="15">
      <c r="A9" s="223">
        <v>2305</v>
      </c>
      <c r="B9" s="309" t="s">
        <v>325</v>
      </c>
      <c r="C9" s="310"/>
      <c r="D9" s="310"/>
      <c r="E9" s="310"/>
      <c r="F9" s="310"/>
      <c r="G9" s="310"/>
      <c r="H9" s="311"/>
    </row>
    <row r="10" spans="1:8" ht="12.75" customHeight="1">
      <c r="A10" s="223"/>
      <c r="B10" s="312" t="s">
        <v>191</v>
      </c>
      <c r="C10" s="310"/>
      <c r="D10" s="310"/>
      <c r="E10" s="310"/>
      <c r="F10" s="310"/>
      <c r="G10" s="310"/>
      <c r="H10" s="311"/>
    </row>
    <row r="11" spans="1:8" ht="12.75" customHeight="1" thickBot="1">
      <c r="A11" s="223"/>
      <c r="B11" s="313" t="s">
        <v>192</v>
      </c>
      <c r="C11" s="544"/>
      <c r="D11" s="544"/>
      <c r="E11" s="544"/>
      <c r="F11" s="544"/>
      <c r="G11" s="544">
        <v>160</v>
      </c>
      <c r="H11" s="676"/>
    </row>
    <row r="12" spans="1:8" ht="13.5" customHeight="1" thickBot="1">
      <c r="A12" s="223"/>
      <c r="B12" s="314" t="s">
        <v>193</v>
      </c>
      <c r="C12" s="543"/>
      <c r="D12" s="543"/>
      <c r="E12" s="543"/>
      <c r="F12" s="543"/>
      <c r="G12" s="543">
        <f>G11</f>
        <v>160</v>
      </c>
      <c r="H12" s="1075"/>
    </row>
    <row r="13" spans="1:8" ht="12.75">
      <c r="A13" s="315"/>
      <c r="B13" s="312" t="s">
        <v>194</v>
      </c>
      <c r="C13" s="316"/>
      <c r="D13" s="316"/>
      <c r="E13" s="316"/>
      <c r="F13" s="316"/>
      <c r="G13" s="316"/>
      <c r="H13" s="317"/>
    </row>
    <row r="14" spans="1:8" ht="12.75">
      <c r="A14" s="315"/>
      <c r="B14" s="318" t="s">
        <v>195</v>
      </c>
      <c r="C14" s="319"/>
      <c r="D14" s="319"/>
      <c r="E14" s="319"/>
      <c r="F14" s="319"/>
      <c r="G14" s="319"/>
      <c r="H14" s="317"/>
    </row>
    <row r="15" spans="1:8" ht="12.75">
      <c r="A15" s="315"/>
      <c r="B15" s="318" t="s">
        <v>196</v>
      </c>
      <c r="C15" s="319"/>
      <c r="D15" s="319"/>
      <c r="E15" s="319"/>
      <c r="F15" s="319"/>
      <c r="G15" s="319"/>
      <c r="H15" s="317"/>
    </row>
    <row r="16" spans="1:8" ht="12.75">
      <c r="A16" s="315"/>
      <c r="B16" s="320" t="s">
        <v>197</v>
      </c>
      <c r="C16" s="316"/>
      <c r="D16" s="316"/>
      <c r="E16" s="316"/>
      <c r="F16" s="316"/>
      <c r="G16" s="316">
        <v>91</v>
      </c>
      <c r="H16" s="317"/>
    </row>
    <row r="17" spans="1:8" ht="12.75">
      <c r="A17" s="315"/>
      <c r="B17" s="320" t="s">
        <v>198</v>
      </c>
      <c r="C17" s="316"/>
      <c r="D17" s="316"/>
      <c r="E17" s="316"/>
      <c r="F17" s="316"/>
      <c r="G17" s="316"/>
      <c r="H17" s="317"/>
    </row>
    <row r="18" spans="1:8" ht="12.75">
      <c r="A18" s="315"/>
      <c r="B18" s="320" t="s">
        <v>199</v>
      </c>
      <c r="C18" s="316"/>
      <c r="D18" s="316"/>
      <c r="E18" s="316"/>
      <c r="F18" s="316"/>
      <c r="G18" s="316"/>
      <c r="H18" s="317"/>
    </row>
    <row r="19" spans="1:8" ht="12.75">
      <c r="A19" s="315"/>
      <c r="B19" s="321" t="s">
        <v>468</v>
      </c>
      <c r="C19" s="316"/>
      <c r="D19" s="316"/>
      <c r="E19" s="316"/>
      <c r="F19" s="316"/>
      <c r="G19" s="316"/>
      <c r="H19" s="317"/>
    </row>
    <row r="20" spans="1:8" ht="13.5" thickBot="1">
      <c r="A20" s="315"/>
      <c r="B20" s="322" t="s">
        <v>200</v>
      </c>
      <c r="C20" s="323"/>
      <c r="D20" s="323"/>
      <c r="E20" s="323"/>
      <c r="F20" s="323"/>
      <c r="G20" s="323"/>
      <c r="H20" s="676"/>
    </row>
    <row r="21" spans="1:8" ht="13.5" thickBot="1">
      <c r="A21" s="315"/>
      <c r="B21" s="324" t="s">
        <v>349</v>
      </c>
      <c r="C21" s="603"/>
      <c r="D21" s="603"/>
      <c r="E21" s="603"/>
      <c r="F21" s="603"/>
      <c r="G21" s="603">
        <f>SUM(G16:G20)</f>
        <v>91</v>
      </c>
      <c r="H21" s="1075"/>
    </row>
    <row r="22" spans="1:8" ht="18.75" customHeight="1" thickBot="1">
      <c r="A22" s="325"/>
      <c r="B22" s="326" t="s">
        <v>67</v>
      </c>
      <c r="C22" s="604"/>
      <c r="D22" s="604"/>
      <c r="E22" s="604"/>
      <c r="F22" s="604"/>
      <c r="G22" s="604">
        <f>G12+G21</f>
        <v>251</v>
      </c>
      <c r="H22" s="1075"/>
    </row>
    <row r="23" spans="1:8" ht="12.6" customHeight="1" thickBot="1">
      <c r="A23" s="325"/>
      <c r="B23" s="700" t="s">
        <v>482</v>
      </c>
      <c r="C23" s="702"/>
      <c r="D23" s="702"/>
      <c r="E23" s="702"/>
      <c r="F23" s="702"/>
      <c r="G23" s="702"/>
      <c r="H23" s="676"/>
    </row>
    <row r="24" spans="1:8" ht="18.75" customHeight="1" thickBot="1">
      <c r="A24" s="315"/>
      <c r="B24" s="327" t="s">
        <v>68</v>
      </c>
      <c r="C24" s="703"/>
      <c r="D24" s="703"/>
      <c r="E24" s="703"/>
      <c r="F24" s="703"/>
      <c r="G24" s="703"/>
      <c r="H24" s="676"/>
    </row>
    <row r="25" spans="1:8" ht="12.75" customHeight="1">
      <c r="A25" s="315"/>
      <c r="B25" s="694" t="s">
        <v>439</v>
      </c>
      <c r="C25" s="536"/>
      <c r="D25" s="536"/>
      <c r="E25" s="536">
        <v>1678</v>
      </c>
      <c r="F25" s="536">
        <v>1678</v>
      </c>
      <c r="G25" s="536">
        <v>1678</v>
      </c>
      <c r="H25" s="1235">
        <f>SUM(G25/F25)</f>
        <v>1</v>
      </c>
    </row>
    <row r="26" spans="1:9" ht="13.5" thickBot="1">
      <c r="A26" s="315"/>
      <c r="B26" s="330" t="s">
        <v>475</v>
      </c>
      <c r="C26" s="704">
        <v>168330</v>
      </c>
      <c r="D26" s="704">
        <v>168330</v>
      </c>
      <c r="E26" s="704">
        <v>166237</v>
      </c>
      <c r="F26" s="704">
        <v>166862</v>
      </c>
      <c r="G26" s="704">
        <f>166862+3668</f>
        <v>170530</v>
      </c>
      <c r="H26" s="676">
        <f aca="true" t="shared" si="0" ref="H26:H75">SUM(G26/F26)</f>
        <v>1.0219822368184488</v>
      </c>
      <c r="I26" s="709"/>
    </row>
    <row r="27" spans="1:8" ht="18.75" customHeight="1" thickBot="1">
      <c r="A27" s="315"/>
      <c r="B27" s="331" t="s">
        <v>61</v>
      </c>
      <c r="C27" s="705">
        <f>SUM(C25:C26)</f>
        <v>168330</v>
      </c>
      <c r="D27" s="705">
        <f>SUM(D25:D26)</f>
        <v>168330</v>
      </c>
      <c r="E27" s="705">
        <f>SUM(E25:E26)</f>
        <v>167915</v>
      </c>
      <c r="F27" s="705">
        <f>SUM(F25:F26)</f>
        <v>168540</v>
      </c>
      <c r="G27" s="705">
        <f>SUM(G25:G26)</f>
        <v>172208</v>
      </c>
      <c r="H27" s="1064">
        <f t="shared" si="0"/>
        <v>1.0217633796131482</v>
      </c>
    </row>
    <row r="28" spans="1:8" ht="12.75" customHeight="1" thickBot="1">
      <c r="A28" s="315"/>
      <c r="B28" s="247" t="s">
        <v>439</v>
      </c>
      <c r="C28" s="702"/>
      <c r="D28" s="702"/>
      <c r="E28" s="702">
        <v>301</v>
      </c>
      <c r="F28" s="702">
        <v>301</v>
      </c>
      <c r="G28" s="702">
        <v>301</v>
      </c>
      <c r="H28" s="1075">
        <f t="shared" si="0"/>
        <v>1</v>
      </c>
    </row>
    <row r="29" spans="1:8" ht="15" customHeight="1" thickBot="1">
      <c r="A29" s="315"/>
      <c r="B29" s="331" t="s">
        <v>63</v>
      </c>
      <c r="C29" s="1121"/>
      <c r="D29" s="1121"/>
      <c r="E29" s="1121">
        <f>SUM(E28)</f>
        <v>301</v>
      </c>
      <c r="F29" s="1121">
        <f>SUM(F28)</f>
        <v>301</v>
      </c>
      <c r="G29" s="1121">
        <f>SUM(G28)</f>
        <v>301</v>
      </c>
      <c r="H29" s="1064">
        <f t="shared" si="0"/>
        <v>1</v>
      </c>
    </row>
    <row r="30" spans="1:8" ht="15.75" thickBot="1">
      <c r="A30" s="332"/>
      <c r="B30" s="333" t="s">
        <v>75</v>
      </c>
      <c r="C30" s="970">
        <f>SUM(C22+C24+C27+C29)</f>
        <v>168330</v>
      </c>
      <c r="D30" s="970">
        <f>SUM(D22+D24+D27+D29)</f>
        <v>168330</v>
      </c>
      <c r="E30" s="970">
        <f>SUM(E22+E24+E27+E29)</f>
        <v>168216</v>
      </c>
      <c r="F30" s="970">
        <f>SUM(F22+F24+F27+F29)</f>
        <v>168841</v>
      </c>
      <c r="G30" s="970">
        <f>SUM(G22+G24+G27+G29)</f>
        <v>172760</v>
      </c>
      <c r="H30" s="1064">
        <f t="shared" si="0"/>
        <v>1.023211186856273</v>
      </c>
    </row>
    <row r="31" spans="1:9" ht="12.75">
      <c r="A31" s="310"/>
      <c r="B31" s="334" t="s">
        <v>328</v>
      </c>
      <c r="C31" s="1122">
        <v>133002</v>
      </c>
      <c r="D31" s="1122">
        <v>133002</v>
      </c>
      <c r="E31" s="1122">
        <v>133458</v>
      </c>
      <c r="F31" s="1122">
        <v>134001</v>
      </c>
      <c r="G31" s="1122">
        <f>134001+3176</f>
        <v>137177</v>
      </c>
      <c r="H31" s="317">
        <f t="shared" si="0"/>
        <v>1.0237013156618233</v>
      </c>
      <c r="I31" s="709"/>
    </row>
    <row r="32" spans="1:9" ht="12.75">
      <c r="A32" s="310"/>
      <c r="B32" s="334" t="s">
        <v>329</v>
      </c>
      <c r="C32" s="1122">
        <v>26552</v>
      </c>
      <c r="D32" s="1122">
        <v>26552</v>
      </c>
      <c r="E32" s="1122">
        <v>27007</v>
      </c>
      <c r="F32" s="1122">
        <v>27089</v>
      </c>
      <c r="G32" s="1122">
        <f>27089+492</f>
        <v>27581</v>
      </c>
      <c r="H32" s="317">
        <f t="shared" si="0"/>
        <v>1.0181623537229134</v>
      </c>
      <c r="I32" s="709"/>
    </row>
    <row r="33" spans="1:9" ht="12.75">
      <c r="A33" s="310"/>
      <c r="B33" s="334" t="s">
        <v>330</v>
      </c>
      <c r="C33" s="1122">
        <v>6871</v>
      </c>
      <c r="D33" s="1122">
        <v>6871</v>
      </c>
      <c r="E33" s="1122">
        <v>7450</v>
      </c>
      <c r="F33" s="1122">
        <v>6650</v>
      </c>
      <c r="G33" s="1122">
        <f>6650+251-400</f>
        <v>6501</v>
      </c>
      <c r="H33" s="317">
        <f t="shared" si="0"/>
        <v>0.977593984962406</v>
      </c>
      <c r="I33" s="709"/>
    </row>
    <row r="34" spans="1:8" ht="12.75">
      <c r="A34" s="310"/>
      <c r="B34" s="335" t="s">
        <v>332</v>
      </c>
      <c r="C34" s="1122"/>
      <c r="D34" s="1122"/>
      <c r="E34" s="1122"/>
      <c r="F34" s="1122"/>
      <c r="G34" s="1122"/>
      <c r="H34" s="317"/>
    </row>
    <row r="35" spans="1:8" ht="13.5" thickBot="1">
      <c r="A35" s="310"/>
      <c r="B35" s="336" t="s">
        <v>331</v>
      </c>
      <c r="C35" s="1123"/>
      <c r="D35" s="1123"/>
      <c r="E35" s="1123"/>
      <c r="F35" s="1123"/>
      <c r="G35" s="1123">
        <v>400</v>
      </c>
      <c r="H35" s="676"/>
    </row>
    <row r="36" spans="1:8" ht="13.5" thickBot="1">
      <c r="A36" s="310"/>
      <c r="B36" s="337" t="s">
        <v>60</v>
      </c>
      <c r="C36" s="1124">
        <f>SUM(C31:C35)</f>
        <v>166425</v>
      </c>
      <c r="D36" s="1124">
        <f>SUM(D31:D35)</f>
        <v>166425</v>
      </c>
      <c r="E36" s="1124">
        <f>SUM(E31:E35)</f>
        <v>167915</v>
      </c>
      <c r="F36" s="1124">
        <f>SUM(F31:F35)</f>
        <v>167740</v>
      </c>
      <c r="G36" s="1124">
        <f>SUM(G31:G35)</f>
        <v>171659</v>
      </c>
      <c r="H36" s="1064">
        <f t="shared" si="0"/>
        <v>1.0233635388100633</v>
      </c>
    </row>
    <row r="37" spans="1:9" ht="12.75">
      <c r="A37" s="310"/>
      <c r="B37" s="334" t="s">
        <v>251</v>
      </c>
      <c r="C37" s="1122">
        <v>1905</v>
      </c>
      <c r="D37" s="1122">
        <v>1905</v>
      </c>
      <c r="E37" s="1122">
        <v>301</v>
      </c>
      <c r="F37" s="1122">
        <v>1101</v>
      </c>
      <c r="G37" s="1122">
        <v>1101</v>
      </c>
      <c r="H37" s="317">
        <f t="shared" si="0"/>
        <v>1</v>
      </c>
      <c r="I37" s="709"/>
    </row>
    <row r="38" spans="1:8" ht="12.75">
      <c r="A38" s="310"/>
      <c r="B38" s="334" t="s">
        <v>252</v>
      </c>
      <c r="C38" s="1122"/>
      <c r="D38" s="1122"/>
      <c r="E38" s="1122"/>
      <c r="F38" s="1122"/>
      <c r="G38" s="1122"/>
      <c r="H38" s="317"/>
    </row>
    <row r="39" spans="1:8" ht="13.5" thickBot="1">
      <c r="A39" s="310"/>
      <c r="B39" s="336" t="s">
        <v>448</v>
      </c>
      <c r="C39" s="1123"/>
      <c r="D39" s="1123"/>
      <c r="E39" s="1123"/>
      <c r="F39" s="1123"/>
      <c r="G39" s="1123"/>
      <c r="H39" s="676"/>
    </row>
    <row r="40" spans="1:8" ht="13.5" thickBot="1">
      <c r="A40" s="310"/>
      <c r="B40" s="338" t="s">
        <v>66</v>
      </c>
      <c r="C40" s="1124">
        <f>SUM(C37:C39)</f>
        <v>1905</v>
      </c>
      <c r="D40" s="1124">
        <f>SUM(D37:D39)</f>
        <v>1905</v>
      </c>
      <c r="E40" s="1124">
        <f>SUM(E37:E39)</f>
        <v>301</v>
      </c>
      <c r="F40" s="1124">
        <f>SUM(F37:F39)</f>
        <v>1101</v>
      </c>
      <c r="G40" s="1124">
        <f>SUM(G37:G39)</f>
        <v>1101</v>
      </c>
      <c r="H40" s="1064">
        <f t="shared" si="0"/>
        <v>1</v>
      </c>
    </row>
    <row r="41" spans="1:8" ht="15.75" thickBot="1">
      <c r="A41" s="307"/>
      <c r="B41" s="339" t="s">
        <v>112</v>
      </c>
      <c r="C41" s="970">
        <f>SUM(C36+C40)</f>
        <v>168330</v>
      </c>
      <c r="D41" s="970">
        <f>SUM(D36+D40)</f>
        <v>168330</v>
      </c>
      <c r="E41" s="970">
        <f>SUM(E36+E40)</f>
        <v>168216</v>
      </c>
      <c r="F41" s="970">
        <f>SUM(F36+F40)</f>
        <v>168841</v>
      </c>
      <c r="G41" s="970">
        <f>SUM(G36+G40)</f>
        <v>172760</v>
      </c>
      <c r="H41" s="1064">
        <f t="shared" si="0"/>
        <v>1.023211186856273</v>
      </c>
    </row>
    <row r="42" spans="1:8" ht="15">
      <c r="A42" s="223">
        <v>2309</v>
      </c>
      <c r="B42" s="340" t="s">
        <v>333</v>
      </c>
      <c r="C42" s="1125"/>
      <c r="D42" s="1125"/>
      <c r="E42" s="1125"/>
      <c r="F42" s="1125"/>
      <c r="G42" s="1125"/>
      <c r="H42" s="317"/>
    </row>
    <row r="43" spans="1:8" ht="12.6" customHeight="1">
      <c r="A43" s="310"/>
      <c r="B43" s="312" t="s">
        <v>191</v>
      </c>
      <c r="C43" s="1125"/>
      <c r="D43" s="1125"/>
      <c r="E43" s="1125"/>
      <c r="F43" s="1125"/>
      <c r="G43" s="1125"/>
      <c r="H43" s="317"/>
    </row>
    <row r="44" spans="1:8" ht="13.5" thickBot="1">
      <c r="A44" s="310"/>
      <c r="B44" s="313" t="s">
        <v>192</v>
      </c>
      <c r="C44" s="1126"/>
      <c r="D44" s="1126"/>
      <c r="E44" s="1126"/>
      <c r="F44" s="1126"/>
      <c r="G44" s="1126">
        <v>160</v>
      </c>
      <c r="H44" s="676"/>
    </row>
    <row r="45" spans="1:8" ht="13.5" thickBot="1">
      <c r="A45" s="310"/>
      <c r="B45" s="314" t="s">
        <v>193</v>
      </c>
      <c r="C45" s="1127"/>
      <c r="D45" s="1127"/>
      <c r="E45" s="1127"/>
      <c r="F45" s="1127"/>
      <c r="G45" s="1127">
        <f>SUM(G42:G44)</f>
        <v>160</v>
      </c>
      <c r="H45" s="1075"/>
    </row>
    <row r="46" spans="1:8" ht="12.75">
      <c r="A46" s="310"/>
      <c r="B46" s="312" t="s">
        <v>194</v>
      </c>
      <c r="C46" s="1122"/>
      <c r="D46" s="1122"/>
      <c r="E46" s="1122"/>
      <c r="F46" s="1122"/>
      <c r="G46" s="1122"/>
      <c r="H46" s="317"/>
    </row>
    <row r="47" spans="1:8" ht="12.75">
      <c r="A47" s="310"/>
      <c r="B47" s="318" t="s">
        <v>195</v>
      </c>
      <c r="C47" s="1128"/>
      <c r="D47" s="1128"/>
      <c r="E47" s="1128"/>
      <c r="F47" s="1128"/>
      <c r="G47" s="1128"/>
      <c r="H47" s="317"/>
    </row>
    <row r="48" spans="1:8" ht="12.75">
      <c r="A48" s="310"/>
      <c r="B48" s="318" t="s">
        <v>196</v>
      </c>
      <c r="C48" s="1128"/>
      <c r="D48" s="1128"/>
      <c r="E48" s="1128"/>
      <c r="F48" s="1128"/>
      <c r="G48" s="1128"/>
      <c r="H48" s="317"/>
    </row>
    <row r="49" spans="1:8" ht="12.75">
      <c r="A49" s="310"/>
      <c r="B49" s="320" t="s">
        <v>197</v>
      </c>
      <c r="C49" s="1122"/>
      <c r="D49" s="1122"/>
      <c r="E49" s="1122"/>
      <c r="F49" s="1122"/>
      <c r="G49" s="1122"/>
      <c r="H49" s="317"/>
    </row>
    <row r="50" spans="1:8" ht="12.75">
      <c r="A50" s="310"/>
      <c r="B50" s="320" t="s">
        <v>198</v>
      </c>
      <c r="C50" s="1122"/>
      <c r="D50" s="1122"/>
      <c r="E50" s="1122"/>
      <c r="F50" s="1122"/>
      <c r="G50" s="1122"/>
      <c r="H50" s="317"/>
    </row>
    <row r="51" spans="1:8" ht="12.75">
      <c r="A51" s="310"/>
      <c r="B51" s="320" t="s">
        <v>199</v>
      </c>
      <c r="C51" s="1122"/>
      <c r="D51" s="1122"/>
      <c r="E51" s="1122"/>
      <c r="F51" s="1122"/>
      <c r="G51" s="1122"/>
      <c r="H51" s="317"/>
    </row>
    <row r="52" spans="1:8" ht="12.75">
      <c r="A52" s="310"/>
      <c r="B52" s="320" t="s">
        <v>353</v>
      </c>
      <c r="C52" s="1122"/>
      <c r="D52" s="1122"/>
      <c r="E52" s="1122"/>
      <c r="F52" s="1122"/>
      <c r="G52" s="1122"/>
      <c r="H52" s="317"/>
    </row>
    <row r="53" spans="1:8" ht="12.75">
      <c r="A53" s="310"/>
      <c r="B53" s="321" t="s">
        <v>468</v>
      </c>
      <c r="C53" s="1122"/>
      <c r="D53" s="1122"/>
      <c r="E53" s="1122"/>
      <c r="F53" s="1122"/>
      <c r="G53" s="1122"/>
      <c r="H53" s="317"/>
    </row>
    <row r="54" spans="1:8" ht="13.5" thickBot="1">
      <c r="A54" s="310"/>
      <c r="B54" s="322" t="s">
        <v>200</v>
      </c>
      <c r="C54" s="1123"/>
      <c r="D54" s="1123"/>
      <c r="E54" s="1123"/>
      <c r="F54" s="1123"/>
      <c r="G54" s="1123"/>
      <c r="H54" s="676"/>
    </row>
    <row r="55" spans="1:8" ht="13.5" thickBot="1">
      <c r="A55" s="310"/>
      <c r="B55" s="324" t="s">
        <v>349</v>
      </c>
      <c r="C55" s="1129"/>
      <c r="D55" s="1129"/>
      <c r="E55" s="1129"/>
      <c r="F55" s="1129"/>
      <c r="G55" s="1129">
        <f>SUM(G49:G54)</f>
        <v>0</v>
      </c>
      <c r="H55" s="1075"/>
    </row>
    <row r="56" spans="1:8" ht="13.5" thickBot="1">
      <c r="A56" s="310"/>
      <c r="B56" s="326" t="s">
        <v>67</v>
      </c>
      <c r="C56" s="1130"/>
      <c r="D56" s="1130"/>
      <c r="E56" s="1130"/>
      <c r="F56" s="1130"/>
      <c r="G56" s="1130">
        <f>G45+G55</f>
        <v>160</v>
      </c>
      <c r="H56" s="1075"/>
    </row>
    <row r="57" spans="1:8" ht="13.5" thickBot="1">
      <c r="A57" s="310"/>
      <c r="B57" s="700" t="s">
        <v>482</v>
      </c>
      <c r="C57" s="1131"/>
      <c r="D57" s="1131"/>
      <c r="E57" s="1131"/>
      <c r="F57" s="1131"/>
      <c r="G57" s="1131"/>
      <c r="H57" s="1075"/>
    </row>
    <row r="58" spans="1:8" ht="13.5" thickBot="1">
      <c r="A58" s="310"/>
      <c r="B58" s="327" t="s">
        <v>68</v>
      </c>
      <c r="C58" s="1132"/>
      <c r="D58" s="1132"/>
      <c r="E58" s="1132"/>
      <c r="F58" s="1132"/>
      <c r="G58" s="1132"/>
      <c r="H58" s="1075"/>
    </row>
    <row r="59" spans="1:8" ht="12.75">
      <c r="A59" s="310"/>
      <c r="B59" s="694" t="s">
        <v>439</v>
      </c>
      <c r="C59" s="1133"/>
      <c r="D59" s="1133"/>
      <c r="E59" s="1133">
        <v>528</v>
      </c>
      <c r="F59" s="1133">
        <v>528</v>
      </c>
      <c r="G59" s="1133">
        <v>528</v>
      </c>
      <c r="H59" s="317">
        <f t="shared" si="0"/>
        <v>1</v>
      </c>
    </row>
    <row r="60" spans="1:9" ht="13.5" thickBot="1">
      <c r="A60" s="310"/>
      <c r="B60" s="330" t="s">
        <v>475</v>
      </c>
      <c r="C60" s="1123">
        <v>162683</v>
      </c>
      <c r="D60" s="1123">
        <v>162683</v>
      </c>
      <c r="E60" s="1123">
        <v>160792</v>
      </c>
      <c r="F60" s="1123">
        <v>161008</v>
      </c>
      <c r="G60" s="1123">
        <f>161008+3120+6</f>
        <v>164134</v>
      </c>
      <c r="H60" s="676">
        <f t="shared" si="0"/>
        <v>1.0194151843386663</v>
      </c>
      <c r="I60" s="709"/>
    </row>
    <row r="61" spans="1:8" ht="13.5" thickBot="1">
      <c r="A61" s="310"/>
      <c r="B61" s="331" t="s">
        <v>61</v>
      </c>
      <c r="C61" s="1121">
        <f>SUM(C59:C60)</f>
        <v>162683</v>
      </c>
      <c r="D61" s="1121">
        <f>SUM(D59:D60)</f>
        <v>162683</v>
      </c>
      <c r="E61" s="1121">
        <f>SUM(E59:E60)</f>
        <v>161320</v>
      </c>
      <c r="F61" s="1121">
        <f>SUM(F59:F60)</f>
        <v>161536</v>
      </c>
      <c r="G61" s="1121">
        <f>SUM(G59:G60)</f>
        <v>164662</v>
      </c>
      <c r="H61" s="1064">
        <f t="shared" si="0"/>
        <v>1.0193517234548335</v>
      </c>
    </row>
    <row r="62" spans="1:8" ht="13.5" thickBot="1">
      <c r="A62" s="310"/>
      <c r="B62" s="247" t="s">
        <v>439</v>
      </c>
      <c r="C62" s="1134"/>
      <c r="D62" s="1134"/>
      <c r="E62" s="1134">
        <v>200</v>
      </c>
      <c r="F62" s="1134">
        <v>200</v>
      </c>
      <c r="G62" s="1134">
        <v>200</v>
      </c>
      <c r="H62" s="1075">
        <f t="shared" si="0"/>
        <v>1</v>
      </c>
    </row>
    <row r="63" spans="1:8" ht="13.5" thickBot="1">
      <c r="A63" s="310"/>
      <c r="B63" s="331" t="s">
        <v>63</v>
      </c>
      <c r="C63" s="1121"/>
      <c r="D63" s="1121"/>
      <c r="E63" s="1121">
        <f>SUM(E62)</f>
        <v>200</v>
      </c>
      <c r="F63" s="1121">
        <f>SUM(F62)</f>
        <v>200</v>
      </c>
      <c r="G63" s="1121">
        <f>SUM(G62)</f>
        <v>200</v>
      </c>
      <c r="H63" s="1064">
        <f t="shared" si="0"/>
        <v>1</v>
      </c>
    </row>
    <row r="64" spans="1:8" ht="15.75" thickBot="1">
      <c r="A64" s="310"/>
      <c r="B64" s="333" t="s">
        <v>75</v>
      </c>
      <c r="C64" s="970">
        <f>SUM(C56+C58+C61+C63)</f>
        <v>162683</v>
      </c>
      <c r="D64" s="970">
        <f>SUM(D56+D58+D61+D63)</f>
        <v>162683</v>
      </c>
      <c r="E64" s="970">
        <f>SUM(E56+E58+E61+E63)</f>
        <v>161520</v>
      </c>
      <c r="F64" s="970">
        <f>SUM(F56+F58+F61+F63)</f>
        <v>161736</v>
      </c>
      <c r="G64" s="970">
        <f>SUM(G56+G58+G61+G63)</f>
        <v>165022</v>
      </c>
      <c r="H64" s="1064">
        <f t="shared" si="0"/>
        <v>1.0203170599000841</v>
      </c>
    </row>
    <row r="65" spans="1:9" ht="12.75">
      <c r="A65" s="310"/>
      <c r="B65" s="334" t="s">
        <v>328</v>
      </c>
      <c r="C65" s="1122">
        <v>128201</v>
      </c>
      <c r="D65" s="1122">
        <v>128201</v>
      </c>
      <c r="E65" s="1122">
        <v>128456</v>
      </c>
      <c r="F65" s="1122">
        <v>128644</v>
      </c>
      <c r="G65" s="1122">
        <f>128644+2701+5</f>
        <v>131350</v>
      </c>
      <c r="H65" s="317">
        <f t="shared" si="0"/>
        <v>1.021034793694226</v>
      </c>
      <c r="I65" s="709"/>
    </row>
    <row r="66" spans="1:9" ht="12.75">
      <c r="A66" s="310"/>
      <c r="B66" s="334" t="s">
        <v>329</v>
      </c>
      <c r="C66" s="1122">
        <v>25466</v>
      </c>
      <c r="D66" s="1122">
        <v>25466</v>
      </c>
      <c r="E66" s="1122">
        <v>25775</v>
      </c>
      <c r="F66" s="1122">
        <v>25803</v>
      </c>
      <c r="G66" s="1122">
        <f>25803+419+1</f>
        <v>26223</v>
      </c>
      <c r="H66" s="317">
        <f t="shared" si="0"/>
        <v>1.0162771770724335</v>
      </c>
      <c r="I66" s="709"/>
    </row>
    <row r="67" spans="1:9" ht="12.75">
      <c r="A67" s="310"/>
      <c r="B67" s="334" t="s">
        <v>330</v>
      </c>
      <c r="C67" s="1122">
        <v>8000</v>
      </c>
      <c r="D67" s="1122">
        <v>8000</v>
      </c>
      <c r="E67" s="1122">
        <v>7089</v>
      </c>
      <c r="F67" s="1122">
        <v>6489</v>
      </c>
      <c r="G67" s="1122">
        <f>6489+160-123</f>
        <v>6526</v>
      </c>
      <c r="H67" s="317">
        <f t="shared" si="0"/>
        <v>1.005701957158268</v>
      </c>
      <c r="I67" s="709"/>
    </row>
    <row r="68" spans="1:8" ht="12.75">
      <c r="A68" s="310"/>
      <c r="B68" s="335" t="s">
        <v>332</v>
      </c>
      <c r="C68" s="1122"/>
      <c r="D68" s="1122"/>
      <c r="E68" s="1122"/>
      <c r="F68" s="1122"/>
      <c r="G68" s="1122"/>
      <c r="H68" s="317"/>
    </row>
    <row r="69" spans="1:8" ht="13.5" thickBot="1">
      <c r="A69" s="310"/>
      <c r="B69" s="336" t="s">
        <v>331</v>
      </c>
      <c r="C69" s="1123"/>
      <c r="D69" s="1123"/>
      <c r="E69" s="1123"/>
      <c r="F69" s="1123"/>
      <c r="G69" s="1123">
        <v>123</v>
      </c>
      <c r="H69" s="676"/>
    </row>
    <row r="70" spans="1:8" ht="13.5" thickBot="1">
      <c r="A70" s="310"/>
      <c r="B70" s="337" t="s">
        <v>60</v>
      </c>
      <c r="C70" s="1129">
        <f>SUM(C65:C69)</f>
        <v>161667</v>
      </c>
      <c r="D70" s="1129">
        <f>SUM(D65:D69)</f>
        <v>161667</v>
      </c>
      <c r="E70" s="1129">
        <f>SUM(E65:E69)</f>
        <v>161320</v>
      </c>
      <c r="F70" s="1129">
        <f>SUM(F65:F69)</f>
        <v>160936</v>
      </c>
      <c r="G70" s="1129">
        <f>SUM(G65:G69)</f>
        <v>164222</v>
      </c>
      <c r="H70" s="1064">
        <f t="shared" si="0"/>
        <v>1.0204180543818662</v>
      </c>
    </row>
    <row r="71" spans="1:9" ht="12.75">
      <c r="A71" s="310"/>
      <c r="B71" s="334" t="s">
        <v>251</v>
      </c>
      <c r="C71" s="1122">
        <v>1016</v>
      </c>
      <c r="D71" s="1122">
        <v>1016</v>
      </c>
      <c r="E71" s="1122">
        <v>200</v>
      </c>
      <c r="F71" s="1122">
        <v>800</v>
      </c>
      <c r="G71" s="1122">
        <v>800</v>
      </c>
      <c r="H71" s="317">
        <f t="shared" si="0"/>
        <v>1</v>
      </c>
      <c r="I71" s="709"/>
    </row>
    <row r="72" spans="1:8" ht="12.75">
      <c r="A72" s="310"/>
      <c r="B72" s="334" t="s">
        <v>252</v>
      </c>
      <c r="C72" s="1122"/>
      <c r="D72" s="1122"/>
      <c r="E72" s="1122"/>
      <c r="F72" s="1122"/>
      <c r="G72" s="1122"/>
      <c r="H72" s="317"/>
    </row>
    <row r="73" spans="1:8" ht="13.5" thickBot="1">
      <c r="A73" s="310"/>
      <c r="B73" s="336" t="s">
        <v>448</v>
      </c>
      <c r="C73" s="1123"/>
      <c r="D73" s="1123"/>
      <c r="E73" s="1123"/>
      <c r="F73" s="1123"/>
      <c r="G73" s="1123"/>
      <c r="H73" s="676"/>
    </row>
    <row r="74" spans="1:8" ht="13.5" thickBot="1">
      <c r="A74" s="310"/>
      <c r="B74" s="338" t="s">
        <v>66</v>
      </c>
      <c r="C74" s="1129">
        <f>SUM(C71:C73)</f>
        <v>1016</v>
      </c>
      <c r="D74" s="1129">
        <f>SUM(D71:D73)</f>
        <v>1016</v>
      </c>
      <c r="E74" s="1129">
        <f>SUM(E71:E73)</f>
        <v>200</v>
      </c>
      <c r="F74" s="1129">
        <f>SUM(F71:F73)</f>
        <v>800</v>
      </c>
      <c r="G74" s="1129">
        <f>SUM(G71:G73)</f>
        <v>800</v>
      </c>
      <c r="H74" s="1064">
        <f t="shared" si="0"/>
        <v>1</v>
      </c>
    </row>
    <row r="75" spans="1:8" ht="15.75" thickBot="1">
      <c r="A75" s="307"/>
      <c r="B75" s="339" t="s">
        <v>112</v>
      </c>
      <c r="C75" s="970">
        <f>SUM(C70+C74)</f>
        <v>162683</v>
      </c>
      <c r="D75" s="970">
        <f>SUM(D70+D74)</f>
        <v>162683</v>
      </c>
      <c r="E75" s="970">
        <f>SUM(E70+E74)</f>
        <v>161520</v>
      </c>
      <c r="F75" s="970">
        <f>SUM(F70+F74)</f>
        <v>161736</v>
      </c>
      <c r="G75" s="970">
        <f>SUM(G70+G74)</f>
        <v>165022</v>
      </c>
      <c r="H75" s="1237">
        <f t="shared" si="0"/>
        <v>1.0203170599000841</v>
      </c>
    </row>
    <row r="76" spans="1:8" ht="15">
      <c r="A76" s="223">
        <v>2310</v>
      </c>
      <c r="B76" s="340" t="s">
        <v>334</v>
      </c>
      <c r="C76" s="1122"/>
      <c r="D76" s="1122"/>
      <c r="E76" s="1122"/>
      <c r="F76" s="1122"/>
      <c r="G76" s="1122"/>
      <c r="H76" s="317"/>
    </row>
    <row r="77" spans="1:8" ht="12.6" customHeight="1">
      <c r="A77" s="310"/>
      <c r="B77" s="312" t="s">
        <v>191</v>
      </c>
      <c r="C77" s="1125"/>
      <c r="D77" s="1125"/>
      <c r="E77" s="1125"/>
      <c r="F77" s="1125"/>
      <c r="G77" s="1125"/>
      <c r="H77" s="317"/>
    </row>
    <row r="78" spans="1:8" ht="13.5" thickBot="1">
      <c r="A78" s="310"/>
      <c r="B78" s="313" t="s">
        <v>192</v>
      </c>
      <c r="C78" s="1126"/>
      <c r="D78" s="1126"/>
      <c r="E78" s="1126"/>
      <c r="F78" s="1126"/>
      <c r="G78" s="1126">
        <v>180</v>
      </c>
      <c r="H78" s="676"/>
    </row>
    <row r="79" spans="1:8" ht="13.5" thickBot="1">
      <c r="A79" s="310"/>
      <c r="B79" s="314" t="s">
        <v>193</v>
      </c>
      <c r="C79" s="1127"/>
      <c r="D79" s="1127"/>
      <c r="E79" s="1127"/>
      <c r="F79" s="1127"/>
      <c r="G79" s="1136">
        <f>SUM(G76:G78)</f>
        <v>180</v>
      </c>
      <c r="H79" s="1075"/>
    </row>
    <row r="80" spans="1:8" ht="12.75">
      <c r="A80" s="310"/>
      <c r="B80" s="312" t="s">
        <v>194</v>
      </c>
      <c r="C80" s="1122"/>
      <c r="D80" s="1122"/>
      <c r="E80" s="1122"/>
      <c r="F80" s="1122"/>
      <c r="G80" s="1122"/>
      <c r="H80" s="317"/>
    </row>
    <row r="81" spans="1:8" ht="12.75">
      <c r="A81" s="310"/>
      <c r="B81" s="318" t="s">
        <v>195</v>
      </c>
      <c r="C81" s="1128"/>
      <c r="D81" s="1128"/>
      <c r="E81" s="1128"/>
      <c r="F81" s="1128"/>
      <c r="G81" s="1128"/>
      <c r="H81" s="317"/>
    </row>
    <row r="82" spans="1:8" ht="12.75">
      <c r="A82" s="310"/>
      <c r="B82" s="318" t="s">
        <v>196</v>
      </c>
      <c r="C82" s="1128"/>
      <c r="D82" s="1128"/>
      <c r="E82" s="1128"/>
      <c r="F82" s="1128"/>
      <c r="G82" s="1128"/>
      <c r="H82" s="317"/>
    </row>
    <row r="83" spans="1:8" ht="12.75">
      <c r="A83" s="310"/>
      <c r="B83" s="320" t="s">
        <v>197</v>
      </c>
      <c r="C83" s="1122"/>
      <c r="D83" s="1122"/>
      <c r="E83" s="1122"/>
      <c r="F83" s="1122"/>
      <c r="G83" s="1122"/>
      <c r="H83" s="317"/>
    </row>
    <row r="84" spans="1:8" ht="12.75">
      <c r="A84" s="310"/>
      <c r="B84" s="320" t="s">
        <v>198</v>
      </c>
      <c r="C84" s="1122"/>
      <c r="D84" s="1122"/>
      <c r="E84" s="1122"/>
      <c r="F84" s="1122"/>
      <c r="G84" s="1122"/>
      <c r="H84" s="317"/>
    </row>
    <row r="85" spans="1:8" ht="12.75">
      <c r="A85" s="310"/>
      <c r="B85" s="320" t="s">
        <v>199</v>
      </c>
      <c r="C85" s="1122"/>
      <c r="D85" s="1122"/>
      <c r="E85" s="1122"/>
      <c r="F85" s="1122"/>
      <c r="G85" s="1122"/>
      <c r="H85" s="317"/>
    </row>
    <row r="86" spans="1:8" ht="12.75">
      <c r="A86" s="310"/>
      <c r="B86" s="321" t="s">
        <v>468</v>
      </c>
      <c r="C86" s="1122"/>
      <c r="D86" s="1122"/>
      <c r="E86" s="1122"/>
      <c r="F86" s="1122"/>
      <c r="G86" s="1122"/>
      <c r="H86" s="317"/>
    </row>
    <row r="87" spans="1:8" ht="13.5" thickBot="1">
      <c r="A87" s="310"/>
      <c r="B87" s="322" t="s">
        <v>200</v>
      </c>
      <c r="C87" s="1123"/>
      <c r="D87" s="1123"/>
      <c r="E87" s="1123"/>
      <c r="F87" s="1123"/>
      <c r="G87" s="1123"/>
      <c r="H87" s="676"/>
    </row>
    <row r="88" spans="1:8" ht="13.5" thickBot="1">
      <c r="A88" s="310"/>
      <c r="B88" s="324" t="s">
        <v>349</v>
      </c>
      <c r="C88" s="1129"/>
      <c r="D88" s="1129"/>
      <c r="E88" s="1129"/>
      <c r="F88" s="1129"/>
      <c r="G88" s="1129">
        <f>SUM(G83:G87)</f>
        <v>0</v>
      </c>
      <c r="H88" s="1075"/>
    </row>
    <row r="89" spans="1:8" ht="13.5" thickBot="1">
      <c r="A89" s="310"/>
      <c r="B89" s="326" t="s">
        <v>67</v>
      </c>
      <c r="C89" s="1135"/>
      <c r="D89" s="1135"/>
      <c r="E89" s="1135"/>
      <c r="F89" s="1135"/>
      <c r="G89" s="1135">
        <f>G88+G79</f>
        <v>180</v>
      </c>
      <c r="H89" s="1075"/>
    </row>
    <row r="90" spans="1:8" ht="13.5" thickBot="1">
      <c r="A90" s="310"/>
      <c r="B90" s="700" t="s">
        <v>482</v>
      </c>
      <c r="C90" s="1131"/>
      <c r="D90" s="1131"/>
      <c r="E90" s="1131"/>
      <c r="F90" s="1131"/>
      <c r="G90" s="1131"/>
      <c r="H90" s="1075"/>
    </row>
    <row r="91" spans="1:8" ht="13.5" thickBot="1">
      <c r="A91" s="310"/>
      <c r="B91" s="327" t="s">
        <v>68</v>
      </c>
      <c r="C91" s="1132"/>
      <c r="D91" s="1132"/>
      <c r="E91" s="1132"/>
      <c r="F91" s="1132"/>
      <c r="G91" s="1132"/>
      <c r="H91" s="1075"/>
    </row>
    <row r="92" spans="1:8" ht="12.75">
      <c r="A92" s="310"/>
      <c r="B92" s="694" t="s">
        <v>439</v>
      </c>
      <c r="C92" s="1133"/>
      <c r="D92" s="1133"/>
      <c r="E92" s="1133">
        <v>734</v>
      </c>
      <c r="F92" s="1133">
        <v>734</v>
      </c>
      <c r="G92" s="1133">
        <v>734</v>
      </c>
      <c r="H92" s="317">
        <f aca="true" t="shared" si="1" ref="H92:H142">SUM(G92/F92)</f>
        <v>1</v>
      </c>
    </row>
    <row r="93" spans="1:9" ht="13.5" thickBot="1">
      <c r="A93" s="310"/>
      <c r="B93" s="330" t="s">
        <v>475</v>
      </c>
      <c r="C93" s="1123">
        <v>85922</v>
      </c>
      <c r="D93" s="1123">
        <v>85922</v>
      </c>
      <c r="E93" s="1123">
        <v>84425</v>
      </c>
      <c r="F93" s="1123">
        <v>84635</v>
      </c>
      <c r="G93" s="1123">
        <f>84635+1373</f>
        <v>86008</v>
      </c>
      <c r="H93" s="676">
        <f t="shared" si="1"/>
        <v>1.0162226029420454</v>
      </c>
      <c r="I93" s="709"/>
    </row>
    <row r="94" spans="1:8" ht="13.5" thickBot="1">
      <c r="A94" s="310"/>
      <c r="B94" s="331" t="s">
        <v>61</v>
      </c>
      <c r="C94" s="1121">
        <f>SUM(C92:C93)</f>
        <v>85922</v>
      </c>
      <c r="D94" s="1121">
        <f>SUM(D92:D93)</f>
        <v>85922</v>
      </c>
      <c r="E94" s="1121">
        <f>SUM(E92:E93)</f>
        <v>85159</v>
      </c>
      <c r="F94" s="1121">
        <f>SUM(F92:F93)</f>
        <v>85369</v>
      </c>
      <c r="G94" s="1121">
        <f>SUM(G92:G93)</f>
        <v>86742</v>
      </c>
      <c r="H94" s="1064">
        <f t="shared" si="1"/>
        <v>1.0160831215078072</v>
      </c>
    </row>
    <row r="95" spans="1:8" ht="13.5" thickBot="1">
      <c r="A95" s="310"/>
      <c r="B95" s="247" t="s">
        <v>439</v>
      </c>
      <c r="C95" s="1131"/>
      <c r="D95" s="1131"/>
      <c r="E95" s="1131">
        <v>200</v>
      </c>
      <c r="F95" s="1131">
        <v>200</v>
      </c>
      <c r="G95" s="1131">
        <v>200</v>
      </c>
      <c r="H95" s="1075">
        <f t="shared" si="1"/>
        <v>1</v>
      </c>
    </row>
    <row r="96" spans="1:8" ht="13.5" thickBot="1">
      <c r="A96" s="310"/>
      <c r="B96" s="331" t="s">
        <v>63</v>
      </c>
      <c r="C96" s="1121"/>
      <c r="D96" s="1121"/>
      <c r="E96" s="1121">
        <f>SUM(E95)</f>
        <v>200</v>
      </c>
      <c r="F96" s="1121">
        <f>SUM(F95)</f>
        <v>200</v>
      </c>
      <c r="G96" s="1121">
        <f>SUM(G95)</f>
        <v>200</v>
      </c>
      <c r="H96" s="1064">
        <f t="shared" si="1"/>
        <v>1</v>
      </c>
    </row>
    <row r="97" spans="1:8" ht="15.75" thickBot="1">
      <c r="A97" s="310"/>
      <c r="B97" s="333" t="s">
        <v>75</v>
      </c>
      <c r="C97" s="970">
        <f>SUM(C89+C91+C94+C96)</f>
        <v>85922</v>
      </c>
      <c r="D97" s="970">
        <f>SUM(D89+D91+D94+D96)</f>
        <v>85922</v>
      </c>
      <c r="E97" s="970">
        <f>SUM(E89+E91+E94+E96)</f>
        <v>85359</v>
      </c>
      <c r="F97" s="970">
        <f>SUM(F89+F91+F94+F96)</f>
        <v>85569</v>
      </c>
      <c r="G97" s="970">
        <f>SUM(G89+G91+G94+G96)</f>
        <v>87122</v>
      </c>
      <c r="H97" s="1064">
        <f t="shared" si="1"/>
        <v>1.0181490960511401</v>
      </c>
    </row>
    <row r="98" spans="1:9" ht="12.75">
      <c r="A98" s="310"/>
      <c r="B98" s="334" t="s">
        <v>328</v>
      </c>
      <c r="C98" s="1122">
        <v>68119</v>
      </c>
      <c r="D98" s="1122">
        <v>68119</v>
      </c>
      <c r="E98" s="1122">
        <v>68332</v>
      </c>
      <c r="F98" s="1122">
        <v>68515</v>
      </c>
      <c r="G98" s="1122">
        <f>68515+1188</f>
        <v>69703</v>
      </c>
      <c r="H98" s="317">
        <f t="shared" si="1"/>
        <v>1.0173392687732614</v>
      </c>
      <c r="I98" s="709"/>
    </row>
    <row r="99" spans="1:9" ht="12.75">
      <c r="A99" s="310"/>
      <c r="B99" s="334" t="s">
        <v>329</v>
      </c>
      <c r="C99" s="1122">
        <v>12427</v>
      </c>
      <c r="D99" s="1122">
        <v>12427</v>
      </c>
      <c r="E99" s="1122">
        <v>12647</v>
      </c>
      <c r="F99" s="1122">
        <v>12674</v>
      </c>
      <c r="G99" s="1122">
        <f>12674+185</f>
        <v>12859</v>
      </c>
      <c r="H99" s="317">
        <f t="shared" si="1"/>
        <v>1.0145968123717848</v>
      </c>
      <c r="I99" s="709"/>
    </row>
    <row r="100" spans="1:9" ht="12.75">
      <c r="A100" s="310"/>
      <c r="B100" s="334" t="s">
        <v>330</v>
      </c>
      <c r="C100" s="1122">
        <v>3979</v>
      </c>
      <c r="D100" s="1122">
        <v>3979</v>
      </c>
      <c r="E100" s="1122">
        <v>4180</v>
      </c>
      <c r="F100" s="1122">
        <v>3680</v>
      </c>
      <c r="G100" s="1122">
        <f>3680+180-516</f>
        <v>3344</v>
      </c>
      <c r="H100" s="317">
        <f t="shared" si="1"/>
        <v>0.908695652173913</v>
      </c>
      <c r="I100" s="709"/>
    </row>
    <row r="101" spans="1:8" ht="12.75">
      <c r="A101" s="310"/>
      <c r="B101" s="335" t="s">
        <v>332</v>
      </c>
      <c r="C101" s="1122"/>
      <c r="D101" s="1122"/>
      <c r="E101" s="1122"/>
      <c r="F101" s="1122"/>
      <c r="G101" s="1122"/>
      <c r="H101" s="317"/>
    </row>
    <row r="102" spans="1:8" ht="13.5" thickBot="1">
      <c r="A102" s="310"/>
      <c r="B102" s="336" t="s">
        <v>331</v>
      </c>
      <c r="C102" s="1123"/>
      <c r="D102" s="1123"/>
      <c r="E102" s="1123"/>
      <c r="F102" s="1123"/>
      <c r="G102" s="1123">
        <v>516</v>
      </c>
      <c r="H102" s="676"/>
    </row>
    <row r="103" spans="1:8" ht="13.5" thickBot="1">
      <c r="A103" s="310"/>
      <c r="B103" s="337" t="s">
        <v>60</v>
      </c>
      <c r="C103" s="1129">
        <f>SUM(C98:C102)</f>
        <v>84525</v>
      </c>
      <c r="D103" s="1129">
        <f>SUM(D98:D102)</f>
        <v>84525</v>
      </c>
      <c r="E103" s="1129">
        <f>SUM(E98:E102)</f>
        <v>85159</v>
      </c>
      <c r="F103" s="1129">
        <f>SUM(F98:F102)</f>
        <v>84869</v>
      </c>
      <c r="G103" s="1129">
        <f>SUM(G98:G102)</f>
        <v>86422</v>
      </c>
      <c r="H103" s="1064">
        <f t="shared" si="1"/>
        <v>1.0182987898997278</v>
      </c>
    </row>
    <row r="104" spans="1:9" ht="12.75">
      <c r="A104" s="310"/>
      <c r="B104" s="334" t="s">
        <v>251</v>
      </c>
      <c r="C104" s="1122">
        <v>1397</v>
      </c>
      <c r="D104" s="1122">
        <v>1397</v>
      </c>
      <c r="E104" s="1122">
        <v>200</v>
      </c>
      <c r="F104" s="1122">
        <v>700</v>
      </c>
      <c r="G104" s="1122">
        <v>700</v>
      </c>
      <c r="H104" s="317">
        <f t="shared" si="1"/>
        <v>1</v>
      </c>
      <c r="I104" s="709"/>
    </row>
    <row r="105" spans="1:8" ht="12.75">
      <c r="A105" s="310"/>
      <c r="B105" s="334" t="s">
        <v>252</v>
      </c>
      <c r="C105" s="1122"/>
      <c r="D105" s="1122"/>
      <c r="E105" s="1122"/>
      <c r="F105" s="1122"/>
      <c r="G105" s="1122"/>
      <c r="H105" s="317"/>
    </row>
    <row r="106" spans="1:8" ht="13.5" thickBot="1">
      <c r="A106" s="310"/>
      <c r="B106" s="336" t="s">
        <v>448</v>
      </c>
      <c r="C106" s="1123"/>
      <c r="D106" s="1123"/>
      <c r="E106" s="1123"/>
      <c r="F106" s="1123"/>
      <c r="G106" s="1123"/>
      <c r="H106" s="676"/>
    </row>
    <row r="107" spans="1:8" ht="13.5" thickBot="1">
      <c r="A107" s="310"/>
      <c r="B107" s="338" t="s">
        <v>66</v>
      </c>
      <c r="C107" s="1129">
        <f>SUM(C104:C106)</f>
        <v>1397</v>
      </c>
      <c r="D107" s="1129">
        <f>SUM(D104:D106)</f>
        <v>1397</v>
      </c>
      <c r="E107" s="1129">
        <f>SUM(E104:E106)</f>
        <v>200</v>
      </c>
      <c r="F107" s="1129">
        <f>SUM(F104:F106)</f>
        <v>700</v>
      </c>
      <c r="G107" s="1129">
        <f>SUM(G104:G106)</f>
        <v>700</v>
      </c>
      <c r="H107" s="1064">
        <f t="shared" si="1"/>
        <v>1</v>
      </c>
    </row>
    <row r="108" spans="1:8" ht="15.75" thickBot="1">
      <c r="A108" s="307"/>
      <c r="B108" s="339" t="s">
        <v>112</v>
      </c>
      <c r="C108" s="970">
        <f>SUM(C103+C107)</f>
        <v>85922</v>
      </c>
      <c r="D108" s="970">
        <f>SUM(D103+D107)</f>
        <v>85922</v>
      </c>
      <c r="E108" s="970">
        <f>SUM(E103+E107)</f>
        <v>85359</v>
      </c>
      <c r="F108" s="970">
        <f>SUM(F103+F107)</f>
        <v>85569</v>
      </c>
      <c r="G108" s="970">
        <f>SUM(G103+G107)</f>
        <v>87122</v>
      </c>
      <c r="H108" s="1064">
        <f t="shared" si="1"/>
        <v>1.0181490960511401</v>
      </c>
    </row>
    <row r="109" spans="1:8" ht="15">
      <c r="A109" s="224">
        <v>2315</v>
      </c>
      <c r="B109" s="227" t="s">
        <v>204</v>
      </c>
      <c r="C109" s="1122"/>
      <c r="D109" s="1122"/>
      <c r="E109" s="1122"/>
      <c r="F109" s="1122"/>
      <c r="G109" s="1122"/>
      <c r="H109" s="317"/>
    </row>
    <row r="110" spans="1:8" ht="12.6" customHeight="1">
      <c r="A110" s="310"/>
      <c r="B110" s="312" t="s">
        <v>191</v>
      </c>
      <c r="C110" s="1125"/>
      <c r="D110" s="1125"/>
      <c r="E110" s="1125"/>
      <c r="F110" s="1125"/>
      <c r="G110" s="1125"/>
      <c r="H110" s="317"/>
    </row>
    <row r="111" spans="1:8" ht="13.5" thickBot="1">
      <c r="A111" s="310"/>
      <c r="B111" s="313" t="s">
        <v>192</v>
      </c>
      <c r="C111" s="1126"/>
      <c r="D111" s="1126"/>
      <c r="E111" s="1126"/>
      <c r="F111" s="1126"/>
      <c r="G111" s="1126">
        <v>280</v>
      </c>
      <c r="H111" s="676"/>
    </row>
    <row r="112" spans="1:8" ht="13.5" thickBot="1">
      <c r="A112" s="310"/>
      <c r="B112" s="314" t="s">
        <v>193</v>
      </c>
      <c r="C112" s="1127"/>
      <c r="D112" s="1127"/>
      <c r="E112" s="1127"/>
      <c r="F112" s="1127"/>
      <c r="G112" s="1136">
        <f>SUM(G109:G111)</f>
        <v>280</v>
      </c>
      <c r="H112" s="1075"/>
    </row>
    <row r="113" spans="1:8" ht="12.75">
      <c r="A113" s="310"/>
      <c r="B113" s="312" t="s">
        <v>194</v>
      </c>
      <c r="C113" s="1122"/>
      <c r="D113" s="1122"/>
      <c r="E113" s="1122"/>
      <c r="F113" s="1122"/>
      <c r="G113" s="1122"/>
      <c r="H113" s="317"/>
    </row>
    <row r="114" spans="1:8" ht="12.75">
      <c r="A114" s="310"/>
      <c r="B114" s="318" t="s">
        <v>195</v>
      </c>
      <c r="C114" s="1128"/>
      <c r="D114" s="1128"/>
      <c r="E114" s="1128"/>
      <c r="F114" s="1128"/>
      <c r="G114" s="1128"/>
      <c r="H114" s="317"/>
    </row>
    <row r="115" spans="1:8" ht="12.75">
      <c r="A115" s="310"/>
      <c r="B115" s="318" t="s">
        <v>196</v>
      </c>
      <c r="C115" s="1128"/>
      <c r="D115" s="1128"/>
      <c r="E115" s="1128"/>
      <c r="F115" s="1128"/>
      <c r="G115" s="1128"/>
      <c r="H115" s="317"/>
    </row>
    <row r="116" spans="1:8" ht="12.75">
      <c r="A116" s="310"/>
      <c r="B116" s="320" t="s">
        <v>197</v>
      </c>
      <c r="C116" s="1122"/>
      <c r="D116" s="1122"/>
      <c r="E116" s="1122"/>
      <c r="F116" s="1122"/>
      <c r="G116" s="1122"/>
      <c r="H116" s="317"/>
    </row>
    <row r="117" spans="1:8" ht="12.75">
      <c r="A117" s="310"/>
      <c r="B117" s="320" t="s">
        <v>198</v>
      </c>
      <c r="C117" s="1122"/>
      <c r="D117" s="1122"/>
      <c r="E117" s="1122"/>
      <c r="F117" s="1122"/>
      <c r="G117" s="1122"/>
      <c r="H117" s="317"/>
    </row>
    <row r="118" spans="1:8" ht="12.75">
      <c r="A118" s="310"/>
      <c r="B118" s="320" t="s">
        <v>199</v>
      </c>
      <c r="C118" s="1122"/>
      <c r="D118" s="1122"/>
      <c r="E118" s="1122"/>
      <c r="F118" s="1122"/>
      <c r="G118" s="1122"/>
      <c r="H118" s="317"/>
    </row>
    <row r="119" spans="1:8" ht="12.75">
      <c r="A119" s="310"/>
      <c r="B119" s="320" t="s">
        <v>353</v>
      </c>
      <c r="C119" s="1122"/>
      <c r="D119" s="1122"/>
      <c r="E119" s="1122"/>
      <c r="F119" s="1122"/>
      <c r="G119" s="1122"/>
      <c r="H119" s="317"/>
    </row>
    <row r="120" spans="1:8" ht="12.75">
      <c r="A120" s="310"/>
      <c r="B120" s="321" t="s">
        <v>468</v>
      </c>
      <c r="C120" s="1122"/>
      <c r="D120" s="1122"/>
      <c r="E120" s="1122"/>
      <c r="F120" s="1122"/>
      <c r="G120" s="1122"/>
      <c r="H120" s="317"/>
    </row>
    <row r="121" spans="1:8" ht="13.5" thickBot="1">
      <c r="A121" s="310"/>
      <c r="B121" s="322" t="s">
        <v>200</v>
      </c>
      <c r="C121" s="1123"/>
      <c r="D121" s="1123"/>
      <c r="E121" s="1123"/>
      <c r="F121" s="1123"/>
      <c r="G121" s="1123"/>
      <c r="H121" s="676"/>
    </row>
    <row r="122" spans="1:8" ht="13.5" thickBot="1">
      <c r="A122" s="310"/>
      <c r="B122" s="324" t="s">
        <v>349</v>
      </c>
      <c r="C122" s="1129"/>
      <c r="D122" s="1129"/>
      <c r="E122" s="1129"/>
      <c r="F122" s="1129"/>
      <c r="G122" s="1129">
        <f>SUM(G116:G121)</f>
        <v>0</v>
      </c>
      <c r="H122" s="1075"/>
    </row>
    <row r="123" spans="1:8" ht="13.5" thickBot="1">
      <c r="A123" s="310"/>
      <c r="B123" s="326" t="s">
        <v>67</v>
      </c>
      <c r="C123" s="1130"/>
      <c r="D123" s="1130"/>
      <c r="E123" s="1130"/>
      <c r="F123" s="1130"/>
      <c r="G123" s="1130">
        <f>G112+G122</f>
        <v>280</v>
      </c>
      <c r="H123" s="1075"/>
    </row>
    <row r="124" spans="1:8" ht="13.5" thickBot="1">
      <c r="A124" s="310"/>
      <c r="B124" s="700" t="s">
        <v>482</v>
      </c>
      <c r="C124" s="1131"/>
      <c r="D124" s="1131"/>
      <c r="E124" s="1131"/>
      <c r="F124" s="1131"/>
      <c r="G124" s="1131"/>
      <c r="H124" s="1075"/>
    </row>
    <row r="125" spans="1:8" ht="13.5" thickBot="1">
      <c r="A125" s="310"/>
      <c r="B125" s="327" t="s">
        <v>68</v>
      </c>
      <c r="C125" s="1132"/>
      <c r="D125" s="1132"/>
      <c r="E125" s="1132"/>
      <c r="F125" s="1132"/>
      <c r="G125" s="1132"/>
      <c r="H125" s="1075"/>
    </row>
    <row r="126" spans="1:8" ht="12.75">
      <c r="A126" s="310"/>
      <c r="B126" s="694" t="s">
        <v>439</v>
      </c>
      <c r="C126" s="1133"/>
      <c r="D126" s="1133"/>
      <c r="E126" s="1133">
        <v>743</v>
      </c>
      <c r="F126" s="1133">
        <v>743</v>
      </c>
      <c r="G126" s="1133">
        <v>743</v>
      </c>
      <c r="H126" s="317">
        <f t="shared" si="1"/>
        <v>1</v>
      </c>
    </row>
    <row r="127" spans="1:9" ht="13.5" thickBot="1">
      <c r="A127" s="310"/>
      <c r="B127" s="330" t="s">
        <v>475</v>
      </c>
      <c r="C127" s="1123">
        <v>284187</v>
      </c>
      <c r="D127" s="1123">
        <v>284187</v>
      </c>
      <c r="E127" s="1123">
        <v>282979</v>
      </c>
      <c r="F127" s="1123">
        <v>284027</v>
      </c>
      <c r="G127" s="1123">
        <f>284027+5536</f>
        <v>289563</v>
      </c>
      <c r="H127" s="676">
        <f t="shared" si="1"/>
        <v>1.0194911047189175</v>
      </c>
      <c r="I127" s="709"/>
    </row>
    <row r="128" spans="1:8" ht="13.5" thickBot="1">
      <c r="A128" s="310"/>
      <c r="B128" s="331" t="s">
        <v>61</v>
      </c>
      <c r="C128" s="1121">
        <f>SUM(C126:C127)</f>
        <v>284187</v>
      </c>
      <c r="D128" s="1121">
        <f>SUM(D126:D127)</f>
        <v>284187</v>
      </c>
      <c r="E128" s="1121">
        <f>SUM(E126:E127)</f>
        <v>283722</v>
      </c>
      <c r="F128" s="1121">
        <f>SUM(F126:F127)</f>
        <v>284770</v>
      </c>
      <c r="G128" s="1121">
        <f>SUM(G126:G127)</f>
        <v>290306</v>
      </c>
      <c r="H128" s="1064">
        <f t="shared" si="1"/>
        <v>1.019440250026337</v>
      </c>
    </row>
    <row r="129" spans="1:8" ht="13.5" thickBot="1">
      <c r="A129" s="310"/>
      <c r="B129" s="247" t="s">
        <v>439</v>
      </c>
      <c r="C129" s="1131"/>
      <c r="D129" s="1131"/>
      <c r="E129" s="1131"/>
      <c r="F129" s="1131"/>
      <c r="G129" s="1131"/>
      <c r="H129" s="1075"/>
    </row>
    <row r="130" spans="1:8" ht="13.5" thickBot="1">
      <c r="A130" s="310"/>
      <c r="B130" s="331" t="s">
        <v>63</v>
      </c>
      <c r="C130" s="1121"/>
      <c r="D130" s="1121"/>
      <c r="E130" s="1121"/>
      <c r="F130" s="1121"/>
      <c r="G130" s="1121"/>
      <c r="H130" s="1075"/>
    </row>
    <row r="131" spans="1:8" ht="15.75" thickBot="1">
      <c r="A131" s="310"/>
      <c r="B131" s="333" t="s">
        <v>75</v>
      </c>
      <c r="C131" s="970">
        <f>SUM(C123+C125+C128+C130)</f>
        <v>284187</v>
      </c>
      <c r="D131" s="970">
        <f>SUM(D123+D125+D128+D130)</f>
        <v>284187</v>
      </c>
      <c r="E131" s="970">
        <f>SUM(E123+E125+E128+E130)</f>
        <v>283722</v>
      </c>
      <c r="F131" s="970">
        <f>SUM(F123+F125+F128+F130)</f>
        <v>284770</v>
      </c>
      <c r="G131" s="970">
        <f>SUM(G123+G125+G128+G130)</f>
        <v>290586</v>
      </c>
      <c r="H131" s="1064">
        <f t="shared" si="1"/>
        <v>1.0204234996663974</v>
      </c>
    </row>
    <row r="132" spans="1:9" ht="12.75">
      <c r="A132" s="310"/>
      <c r="B132" s="334" t="s">
        <v>328</v>
      </c>
      <c r="C132" s="1122">
        <v>224512</v>
      </c>
      <c r="D132" s="1122">
        <v>224512</v>
      </c>
      <c r="E132" s="1122">
        <v>225812</v>
      </c>
      <c r="F132" s="1122">
        <v>226721</v>
      </c>
      <c r="G132" s="1122">
        <f>226721+4793</f>
        <v>231514</v>
      </c>
      <c r="H132" s="317">
        <f t="shared" si="1"/>
        <v>1.0211405207281197</v>
      </c>
      <c r="I132" s="709"/>
    </row>
    <row r="133" spans="1:9" ht="12.75">
      <c r="A133" s="310"/>
      <c r="B133" s="334" t="s">
        <v>329</v>
      </c>
      <c r="C133" s="1122">
        <v>45124</v>
      </c>
      <c r="D133" s="1122">
        <v>45124</v>
      </c>
      <c r="E133" s="1122">
        <v>46671</v>
      </c>
      <c r="F133" s="1122">
        <v>46810</v>
      </c>
      <c r="G133" s="1122">
        <f>46810+743</f>
        <v>47553</v>
      </c>
      <c r="H133" s="317">
        <f t="shared" si="1"/>
        <v>1.015872676778466</v>
      </c>
      <c r="I133" s="709"/>
    </row>
    <row r="134" spans="1:9" ht="12.75">
      <c r="A134" s="310"/>
      <c r="B134" s="334" t="s">
        <v>330</v>
      </c>
      <c r="C134" s="1122">
        <v>10988</v>
      </c>
      <c r="D134" s="1122">
        <v>10988</v>
      </c>
      <c r="E134" s="1122">
        <v>10776</v>
      </c>
      <c r="F134" s="1122">
        <v>10776</v>
      </c>
      <c r="G134" s="1122">
        <f>10776+280-94</f>
        <v>10962</v>
      </c>
      <c r="H134" s="317">
        <f t="shared" si="1"/>
        <v>1.0172605790645879</v>
      </c>
      <c r="I134" s="709"/>
    </row>
    <row r="135" spans="1:8" ht="12.75">
      <c r="A135" s="310"/>
      <c r="B135" s="335" t="s">
        <v>332</v>
      </c>
      <c r="C135" s="1122"/>
      <c r="D135" s="1122"/>
      <c r="E135" s="1122"/>
      <c r="F135" s="1122"/>
      <c r="G135" s="1122"/>
      <c r="H135" s="317"/>
    </row>
    <row r="136" spans="1:8" ht="13.5" thickBot="1">
      <c r="A136" s="310"/>
      <c r="B136" s="336" t="s">
        <v>331</v>
      </c>
      <c r="C136" s="1123"/>
      <c r="D136" s="1123"/>
      <c r="E136" s="1123"/>
      <c r="F136" s="1123"/>
      <c r="G136" s="1123">
        <v>94</v>
      </c>
      <c r="H136" s="676"/>
    </row>
    <row r="137" spans="1:8" ht="13.5" thickBot="1">
      <c r="A137" s="310"/>
      <c r="B137" s="337" t="s">
        <v>60</v>
      </c>
      <c r="C137" s="1124">
        <f>SUM(C132:C136)</f>
        <v>280624</v>
      </c>
      <c r="D137" s="1124">
        <f>SUM(D132:D136)</f>
        <v>280624</v>
      </c>
      <c r="E137" s="1124">
        <f>SUM(E132:E136)</f>
        <v>283259</v>
      </c>
      <c r="F137" s="1124">
        <f>SUM(F132:F136)</f>
        <v>284307</v>
      </c>
      <c r="G137" s="1124">
        <f>SUM(G132:G136)</f>
        <v>290123</v>
      </c>
      <c r="H137" s="1064">
        <f t="shared" si="1"/>
        <v>1.0204567597702483</v>
      </c>
    </row>
    <row r="138" spans="1:9" ht="12.75">
      <c r="A138" s="310"/>
      <c r="B138" s="334" t="s">
        <v>251</v>
      </c>
      <c r="C138" s="1122">
        <v>3563</v>
      </c>
      <c r="D138" s="1122">
        <v>3563</v>
      </c>
      <c r="E138" s="1122">
        <v>463</v>
      </c>
      <c r="F138" s="1122">
        <v>463</v>
      </c>
      <c r="G138" s="1122">
        <v>463</v>
      </c>
      <c r="H138" s="317">
        <f t="shared" si="1"/>
        <v>1</v>
      </c>
      <c r="I138" s="709"/>
    </row>
    <row r="139" spans="1:8" ht="12.75">
      <c r="A139" s="310"/>
      <c r="B139" s="334" t="s">
        <v>252</v>
      </c>
      <c r="C139" s="1122"/>
      <c r="D139" s="1122"/>
      <c r="E139" s="1122"/>
      <c r="F139" s="1122"/>
      <c r="G139" s="1122"/>
      <c r="H139" s="317"/>
    </row>
    <row r="140" spans="1:8" ht="13.5" thickBot="1">
      <c r="A140" s="310"/>
      <c r="B140" s="336" t="s">
        <v>448</v>
      </c>
      <c r="C140" s="1123"/>
      <c r="D140" s="1123"/>
      <c r="E140" s="1123"/>
      <c r="F140" s="1123"/>
      <c r="G140" s="1123"/>
      <c r="H140" s="676"/>
    </row>
    <row r="141" spans="1:8" ht="13.5" thickBot="1">
      <c r="A141" s="310"/>
      <c r="B141" s="338" t="s">
        <v>66</v>
      </c>
      <c r="C141" s="1124">
        <f>SUM(C138:C140)</f>
        <v>3563</v>
      </c>
      <c r="D141" s="1124">
        <f>SUM(D138:D140)</f>
        <v>3563</v>
      </c>
      <c r="E141" s="1124">
        <f>SUM(E138:E140)</f>
        <v>463</v>
      </c>
      <c r="F141" s="1124">
        <f>SUM(F138:F140)</f>
        <v>463</v>
      </c>
      <c r="G141" s="1124">
        <f>SUM(G138:G140)</f>
        <v>463</v>
      </c>
      <c r="H141" s="1064">
        <f t="shared" si="1"/>
        <v>1</v>
      </c>
    </row>
    <row r="142" spans="1:8" ht="15.75" thickBot="1">
      <c r="A142" s="307"/>
      <c r="B142" s="339" t="s">
        <v>112</v>
      </c>
      <c r="C142" s="970">
        <f>SUM(C137+C141)</f>
        <v>284187</v>
      </c>
      <c r="D142" s="970">
        <f>SUM(D137+D141)</f>
        <v>284187</v>
      </c>
      <c r="E142" s="970">
        <f>SUM(E137+E141)</f>
        <v>283722</v>
      </c>
      <c r="F142" s="970">
        <f>SUM(F137+F141)</f>
        <v>284770</v>
      </c>
      <c r="G142" s="970">
        <f>SUM(G137+G141)</f>
        <v>290586</v>
      </c>
      <c r="H142" s="1064">
        <f t="shared" si="1"/>
        <v>1.0204234996663974</v>
      </c>
    </row>
    <row r="143" spans="1:8" ht="15">
      <c r="A143" s="224">
        <v>2325</v>
      </c>
      <c r="B143" s="341" t="s">
        <v>335</v>
      </c>
      <c r="C143" s="1122"/>
      <c r="D143" s="1122"/>
      <c r="E143" s="1122"/>
      <c r="F143" s="1122"/>
      <c r="G143" s="1122"/>
      <c r="H143" s="317"/>
    </row>
    <row r="144" spans="1:8" ht="12.6" customHeight="1">
      <c r="A144" s="310"/>
      <c r="B144" s="312" t="s">
        <v>191</v>
      </c>
      <c r="C144" s="1125"/>
      <c r="D144" s="1125"/>
      <c r="E144" s="1125"/>
      <c r="F144" s="1125"/>
      <c r="G144" s="1125"/>
      <c r="H144" s="317"/>
    </row>
    <row r="145" spans="1:8" ht="13.5" thickBot="1">
      <c r="A145" s="310"/>
      <c r="B145" s="313" t="s">
        <v>192</v>
      </c>
      <c r="C145" s="1126"/>
      <c r="D145" s="1126"/>
      <c r="E145" s="1126"/>
      <c r="F145" s="1126"/>
      <c r="G145" s="1126">
        <v>160</v>
      </c>
      <c r="H145" s="676"/>
    </row>
    <row r="146" spans="1:8" ht="13.5" thickBot="1">
      <c r="A146" s="310"/>
      <c r="B146" s="314" t="s">
        <v>193</v>
      </c>
      <c r="C146" s="1127"/>
      <c r="D146" s="1127"/>
      <c r="E146" s="1127"/>
      <c r="F146" s="1127"/>
      <c r="G146" s="1136">
        <f>SUM(G143:G145)</f>
        <v>160</v>
      </c>
      <c r="H146" s="1075"/>
    </row>
    <row r="147" spans="1:8" ht="12.75">
      <c r="A147" s="310"/>
      <c r="B147" s="312" t="s">
        <v>194</v>
      </c>
      <c r="C147" s="1122"/>
      <c r="D147" s="1122"/>
      <c r="E147" s="1122"/>
      <c r="F147" s="1122"/>
      <c r="G147" s="1122"/>
      <c r="H147" s="317"/>
    </row>
    <row r="148" spans="1:8" ht="12.75">
      <c r="A148" s="310"/>
      <c r="B148" s="318" t="s">
        <v>195</v>
      </c>
      <c r="C148" s="1128"/>
      <c r="D148" s="1128"/>
      <c r="E148" s="1128"/>
      <c r="F148" s="1128"/>
      <c r="G148" s="1128"/>
      <c r="H148" s="317"/>
    </row>
    <row r="149" spans="1:8" ht="12.75">
      <c r="A149" s="310"/>
      <c r="B149" s="318" t="s">
        <v>196</v>
      </c>
      <c r="C149" s="1128"/>
      <c r="D149" s="1128"/>
      <c r="E149" s="1128"/>
      <c r="F149" s="1128"/>
      <c r="G149" s="1128"/>
      <c r="H149" s="317"/>
    </row>
    <row r="150" spans="1:8" ht="12.75">
      <c r="A150" s="310"/>
      <c r="B150" s="320" t="s">
        <v>197</v>
      </c>
      <c r="C150" s="1122"/>
      <c r="D150" s="1122"/>
      <c r="E150" s="1122"/>
      <c r="F150" s="1122"/>
      <c r="G150" s="1122"/>
      <c r="H150" s="317"/>
    </row>
    <row r="151" spans="1:8" ht="12.75">
      <c r="A151" s="310"/>
      <c r="B151" s="320" t="s">
        <v>198</v>
      </c>
      <c r="C151" s="1122"/>
      <c r="D151" s="1122"/>
      <c r="E151" s="1122"/>
      <c r="F151" s="1122"/>
      <c r="G151" s="1122"/>
      <c r="H151" s="317"/>
    </row>
    <row r="152" spans="1:8" ht="12.75">
      <c r="A152" s="310"/>
      <c r="B152" s="320" t="s">
        <v>199</v>
      </c>
      <c r="C152" s="1122"/>
      <c r="D152" s="1122"/>
      <c r="E152" s="1122"/>
      <c r="F152" s="1122"/>
      <c r="G152" s="1122"/>
      <c r="H152" s="317"/>
    </row>
    <row r="153" spans="1:8" ht="12.75">
      <c r="A153" s="310"/>
      <c r="B153" s="321" t="s">
        <v>468</v>
      </c>
      <c r="C153" s="1122"/>
      <c r="D153" s="1122"/>
      <c r="E153" s="1122"/>
      <c r="F153" s="1122"/>
      <c r="G153" s="1122"/>
      <c r="H153" s="317"/>
    </row>
    <row r="154" spans="1:8" ht="13.5" thickBot="1">
      <c r="A154" s="310"/>
      <c r="B154" s="322" t="s">
        <v>200</v>
      </c>
      <c r="C154" s="1123"/>
      <c r="D154" s="1123"/>
      <c r="E154" s="1123"/>
      <c r="F154" s="1123"/>
      <c r="G154" s="1123"/>
      <c r="H154" s="676"/>
    </row>
    <row r="155" spans="1:8" ht="13.5" thickBot="1">
      <c r="A155" s="310"/>
      <c r="B155" s="324" t="s">
        <v>349</v>
      </c>
      <c r="C155" s="1129"/>
      <c r="D155" s="1129"/>
      <c r="E155" s="1129"/>
      <c r="F155" s="1129"/>
      <c r="G155" s="1129">
        <f>SUM(G150:G154)</f>
        <v>0</v>
      </c>
      <c r="H155" s="1075"/>
    </row>
    <row r="156" spans="1:8" ht="13.5" thickBot="1">
      <c r="A156" s="310"/>
      <c r="B156" s="326" t="s">
        <v>67</v>
      </c>
      <c r="C156" s="1130"/>
      <c r="D156" s="1130"/>
      <c r="E156" s="1130"/>
      <c r="F156" s="1130"/>
      <c r="G156" s="1130">
        <f>G146+G155</f>
        <v>160</v>
      </c>
      <c r="H156" s="1075"/>
    </row>
    <row r="157" spans="1:8" ht="13.5" thickBot="1">
      <c r="A157" s="310"/>
      <c r="B157" s="700" t="s">
        <v>482</v>
      </c>
      <c r="C157" s="1131"/>
      <c r="D157" s="1131"/>
      <c r="E157" s="1131"/>
      <c r="F157" s="1131"/>
      <c r="G157" s="1131"/>
      <c r="H157" s="1075"/>
    </row>
    <row r="158" spans="1:8" ht="13.5" thickBot="1">
      <c r="A158" s="310"/>
      <c r="B158" s="327" t="s">
        <v>68</v>
      </c>
      <c r="C158" s="1132"/>
      <c r="D158" s="1132"/>
      <c r="E158" s="1132"/>
      <c r="F158" s="1132"/>
      <c r="G158" s="1132"/>
      <c r="H158" s="1075"/>
    </row>
    <row r="159" spans="1:8" ht="12.75">
      <c r="A159" s="310"/>
      <c r="B159" s="694" t="s">
        <v>439</v>
      </c>
      <c r="C159" s="1133"/>
      <c r="D159" s="1133"/>
      <c r="E159" s="1133">
        <v>1161</v>
      </c>
      <c r="F159" s="1133">
        <v>1161</v>
      </c>
      <c r="G159" s="1133">
        <v>1161</v>
      </c>
      <c r="H159" s="317">
        <f aca="true" t="shared" si="2" ref="H159:H206">SUM(G159/F159)</f>
        <v>1</v>
      </c>
    </row>
    <row r="160" spans="1:9" ht="13.5" thickBot="1">
      <c r="A160" s="310"/>
      <c r="B160" s="330" t="s">
        <v>475</v>
      </c>
      <c r="C160" s="1123">
        <v>173980</v>
      </c>
      <c r="D160" s="1123">
        <v>173980</v>
      </c>
      <c r="E160" s="1123">
        <v>171482</v>
      </c>
      <c r="F160" s="1123">
        <v>172239</v>
      </c>
      <c r="G160" s="1123">
        <f>172239+3537+1</f>
        <v>175777</v>
      </c>
      <c r="H160" s="676">
        <f t="shared" si="2"/>
        <v>1.0205412246935943</v>
      </c>
      <c r="I160" s="709"/>
    </row>
    <row r="161" spans="1:8" ht="13.5" thickBot="1">
      <c r="A161" s="310"/>
      <c r="B161" s="331" t="s">
        <v>61</v>
      </c>
      <c r="C161" s="1121">
        <f>SUM(C159:C160)</f>
        <v>173980</v>
      </c>
      <c r="D161" s="1121">
        <f>SUM(D159:D160)</f>
        <v>173980</v>
      </c>
      <c r="E161" s="1121">
        <f>SUM(E159:E160)</f>
        <v>172643</v>
      </c>
      <c r="F161" s="1121">
        <f>SUM(F159:F160)</f>
        <v>173400</v>
      </c>
      <c r="G161" s="1121">
        <f>SUM(G159:G160)</f>
        <v>176938</v>
      </c>
      <c r="H161" s="1064">
        <f t="shared" si="2"/>
        <v>1.02040369088812</v>
      </c>
    </row>
    <row r="162" spans="1:8" ht="13.5" thickBot="1">
      <c r="A162" s="310"/>
      <c r="B162" s="247" t="s">
        <v>439</v>
      </c>
      <c r="C162" s="1131"/>
      <c r="D162" s="1131"/>
      <c r="E162" s="1131"/>
      <c r="F162" s="1131"/>
      <c r="G162" s="1131"/>
      <c r="H162" s="1075"/>
    </row>
    <row r="163" spans="1:8" ht="13.5" thickBot="1">
      <c r="A163" s="310"/>
      <c r="B163" s="331" t="s">
        <v>63</v>
      </c>
      <c r="C163" s="1121"/>
      <c r="D163" s="1121"/>
      <c r="E163" s="1121"/>
      <c r="F163" s="1121"/>
      <c r="G163" s="1121"/>
      <c r="H163" s="1075"/>
    </row>
    <row r="164" spans="1:8" ht="15.75" thickBot="1">
      <c r="A164" s="310"/>
      <c r="B164" s="333" t="s">
        <v>75</v>
      </c>
      <c r="C164" s="970">
        <f>SUM(C156+C158+C161+C163)</f>
        <v>173980</v>
      </c>
      <c r="D164" s="970">
        <f>SUM(D156+D158+D161+D163)</f>
        <v>173980</v>
      </c>
      <c r="E164" s="970">
        <f>SUM(E156+E158+E161+E163)</f>
        <v>172643</v>
      </c>
      <c r="F164" s="970">
        <f>SUM(F156+F158+F161+F163)</f>
        <v>173400</v>
      </c>
      <c r="G164" s="970">
        <f>SUM(G156+G158+G161+G163)</f>
        <v>177098</v>
      </c>
      <c r="H164" s="1064">
        <f t="shared" si="2"/>
        <v>1.0213264129181083</v>
      </c>
    </row>
    <row r="165" spans="1:9" ht="12.75">
      <c r="A165" s="310"/>
      <c r="B165" s="334" t="s">
        <v>328</v>
      </c>
      <c r="C165" s="1122">
        <v>138685</v>
      </c>
      <c r="D165" s="1122">
        <v>138685</v>
      </c>
      <c r="E165" s="1122">
        <v>138942</v>
      </c>
      <c r="F165" s="1122">
        <v>139598</v>
      </c>
      <c r="G165" s="1122">
        <f>139598+3062+1</f>
        <v>142661</v>
      </c>
      <c r="H165" s="317">
        <f t="shared" si="2"/>
        <v>1.0219415750941991</v>
      </c>
      <c r="I165" s="709"/>
    </row>
    <row r="166" spans="1:9" ht="12.75">
      <c r="A166" s="310"/>
      <c r="B166" s="334" t="s">
        <v>329</v>
      </c>
      <c r="C166" s="1122">
        <v>27236</v>
      </c>
      <c r="D166" s="1122">
        <v>27236</v>
      </c>
      <c r="E166" s="1122">
        <v>27364</v>
      </c>
      <c r="F166" s="1122">
        <v>27465</v>
      </c>
      <c r="G166" s="1122">
        <f>27465+475</f>
        <v>27940</v>
      </c>
      <c r="H166" s="317">
        <f t="shared" si="2"/>
        <v>1.01729473875842</v>
      </c>
      <c r="I166" s="709"/>
    </row>
    <row r="167" spans="1:9" ht="12.75">
      <c r="A167" s="310"/>
      <c r="B167" s="334" t="s">
        <v>330</v>
      </c>
      <c r="C167" s="1122">
        <v>6535</v>
      </c>
      <c r="D167" s="1122">
        <v>6535</v>
      </c>
      <c r="E167" s="1122">
        <v>6337</v>
      </c>
      <c r="F167" s="1122">
        <v>4837</v>
      </c>
      <c r="G167" s="1122">
        <f>4837+160-400</f>
        <v>4597</v>
      </c>
      <c r="H167" s="317">
        <f t="shared" si="2"/>
        <v>0.9503824684721935</v>
      </c>
      <c r="I167" s="709"/>
    </row>
    <row r="168" spans="1:8" ht="12.75">
      <c r="A168" s="310"/>
      <c r="B168" s="335" t="s">
        <v>332</v>
      </c>
      <c r="C168" s="1122"/>
      <c r="D168" s="1122"/>
      <c r="E168" s="1122"/>
      <c r="F168" s="1122"/>
      <c r="G168" s="1122"/>
      <c r="H168" s="317"/>
    </row>
    <row r="169" spans="1:8" ht="13.5" thickBot="1">
      <c r="A169" s="310"/>
      <c r="B169" s="336" t="s">
        <v>331</v>
      </c>
      <c r="C169" s="1123"/>
      <c r="D169" s="1123"/>
      <c r="E169" s="1123"/>
      <c r="F169" s="1123"/>
      <c r="G169" s="1123"/>
      <c r="H169" s="676"/>
    </row>
    <row r="170" spans="1:8" ht="13.5" thickBot="1">
      <c r="A170" s="310"/>
      <c r="B170" s="337" t="s">
        <v>60</v>
      </c>
      <c r="C170" s="1129">
        <f>SUM(C165:C169)</f>
        <v>172456</v>
      </c>
      <c r="D170" s="1129">
        <f>SUM(D165:D169)</f>
        <v>172456</v>
      </c>
      <c r="E170" s="1129">
        <f>SUM(E165:E169)</f>
        <v>172643</v>
      </c>
      <c r="F170" s="1129">
        <f>SUM(F165:F169)</f>
        <v>171900</v>
      </c>
      <c r="G170" s="1129">
        <f>SUM(G165:G169)</f>
        <v>175198</v>
      </c>
      <c r="H170" s="1064">
        <f t="shared" si="2"/>
        <v>1.0191855730075625</v>
      </c>
    </row>
    <row r="171" spans="1:9" ht="12.75">
      <c r="A171" s="310"/>
      <c r="B171" s="334" t="s">
        <v>251</v>
      </c>
      <c r="C171" s="1122">
        <v>1524</v>
      </c>
      <c r="D171" s="1122">
        <v>1524</v>
      </c>
      <c r="E171" s="1122">
        <v>0</v>
      </c>
      <c r="F171" s="1122">
        <v>1500</v>
      </c>
      <c r="G171" s="1122">
        <f>1500+400</f>
        <v>1900</v>
      </c>
      <c r="H171" s="317">
        <f t="shared" si="2"/>
        <v>1.2666666666666666</v>
      </c>
      <c r="I171" s="709"/>
    </row>
    <row r="172" spans="1:8" ht="12.75">
      <c r="A172" s="310"/>
      <c r="B172" s="334" t="s">
        <v>252</v>
      </c>
      <c r="C172" s="1122"/>
      <c r="D172" s="1122"/>
      <c r="E172" s="1122"/>
      <c r="F172" s="1122"/>
      <c r="G172" s="1122"/>
      <c r="H172" s="317"/>
    </row>
    <row r="173" spans="1:8" ht="13.5" thickBot="1">
      <c r="A173" s="310"/>
      <c r="B173" s="336" t="s">
        <v>448</v>
      </c>
      <c r="C173" s="1123"/>
      <c r="D173" s="1123"/>
      <c r="E173" s="1123"/>
      <c r="F173" s="1123"/>
      <c r="G173" s="1123"/>
      <c r="H173" s="676"/>
    </row>
    <row r="174" spans="1:8" ht="13.5" thickBot="1">
      <c r="A174" s="310"/>
      <c r="B174" s="338" t="s">
        <v>66</v>
      </c>
      <c r="C174" s="1129">
        <f>SUM(C171:C173)</f>
        <v>1524</v>
      </c>
      <c r="D174" s="1129">
        <f>SUM(D171:D173)</f>
        <v>1524</v>
      </c>
      <c r="E174" s="1129">
        <f>SUM(E171:E173)</f>
        <v>0</v>
      </c>
      <c r="F174" s="1129">
        <f>SUM(F171:F173)</f>
        <v>1500</v>
      </c>
      <c r="G174" s="1129">
        <f>SUM(G171:G173)</f>
        <v>1900</v>
      </c>
      <c r="H174" s="1075">
        <f t="shared" si="2"/>
        <v>1.2666666666666666</v>
      </c>
    </row>
    <row r="175" spans="1:8" ht="15.75" thickBot="1">
      <c r="A175" s="307"/>
      <c r="B175" s="339" t="s">
        <v>112</v>
      </c>
      <c r="C175" s="970">
        <f>SUM(C170+C174)</f>
        <v>173980</v>
      </c>
      <c r="D175" s="970">
        <f>SUM(D170+D174)</f>
        <v>173980</v>
      </c>
      <c r="E175" s="970">
        <f>SUM(E170+E174)</f>
        <v>172643</v>
      </c>
      <c r="F175" s="970">
        <f>SUM(F170+F174)</f>
        <v>173400</v>
      </c>
      <c r="G175" s="970">
        <f>SUM(G170+G174)</f>
        <v>177098</v>
      </c>
      <c r="H175" s="1064">
        <f t="shared" si="2"/>
        <v>1.0213264129181083</v>
      </c>
    </row>
    <row r="176" spans="1:8" ht="15">
      <c r="A176" s="224">
        <v>2330</v>
      </c>
      <c r="B176" s="227" t="s">
        <v>336</v>
      </c>
      <c r="C176" s="1122"/>
      <c r="D176" s="1122"/>
      <c r="E176" s="1122"/>
      <c r="F176" s="1122"/>
      <c r="G176" s="1122"/>
      <c r="H176" s="317"/>
    </row>
    <row r="177" spans="1:8" ht="12.6" customHeight="1">
      <c r="A177" s="310"/>
      <c r="B177" s="312" t="s">
        <v>191</v>
      </c>
      <c r="C177" s="1125"/>
      <c r="D177" s="1125"/>
      <c r="E177" s="1125"/>
      <c r="F177" s="1125"/>
      <c r="G177" s="1125"/>
      <c r="H177" s="317"/>
    </row>
    <row r="178" spans="1:8" ht="13.5" thickBot="1">
      <c r="A178" s="310"/>
      <c r="B178" s="313" t="s">
        <v>192</v>
      </c>
      <c r="C178" s="1126"/>
      <c r="D178" s="1126"/>
      <c r="E178" s="1126"/>
      <c r="F178" s="1126"/>
      <c r="G178" s="1126">
        <v>120</v>
      </c>
      <c r="H178" s="676"/>
    </row>
    <row r="179" spans="1:8" ht="13.5" thickBot="1">
      <c r="A179" s="310"/>
      <c r="B179" s="314" t="s">
        <v>205</v>
      </c>
      <c r="C179" s="1127"/>
      <c r="D179" s="1127"/>
      <c r="E179" s="1127"/>
      <c r="F179" s="1127"/>
      <c r="G179" s="1136">
        <f>SUM(G176:G178)</f>
        <v>120</v>
      </c>
      <c r="H179" s="1075"/>
    </row>
    <row r="180" spans="1:8" ht="12.75">
      <c r="A180" s="310"/>
      <c r="B180" s="312" t="s">
        <v>194</v>
      </c>
      <c r="C180" s="1122"/>
      <c r="D180" s="1122"/>
      <c r="E180" s="1122"/>
      <c r="F180" s="1122"/>
      <c r="G180" s="1122"/>
      <c r="H180" s="317"/>
    </row>
    <row r="181" spans="1:8" ht="12.75">
      <c r="A181" s="310"/>
      <c r="B181" s="318" t="s">
        <v>195</v>
      </c>
      <c r="C181" s="1128"/>
      <c r="D181" s="1128"/>
      <c r="E181" s="1128"/>
      <c r="F181" s="1128"/>
      <c r="G181" s="1128"/>
      <c r="H181" s="317"/>
    </row>
    <row r="182" spans="1:8" ht="12.75">
      <c r="A182" s="310"/>
      <c r="B182" s="318" t="s">
        <v>196</v>
      </c>
      <c r="C182" s="1128"/>
      <c r="D182" s="1128"/>
      <c r="E182" s="1128"/>
      <c r="F182" s="1128"/>
      <c r="G182" s="1128"/>
      <c r="H182" s="317"/>
    </row>
    <row r="183" spans="1:8" ht="12.75">
      <c r="A183" s="310"/>
      <c r="B183" s="320" t="s">
        <v>197</v>
      </c>
      <c r="C183" s="1122"/>
      <c r="D183" s="1122"/>
      <c r="E183" s="1122"/>
      <c r="F183" s="1122"/>
      <c r="G183" s="1122"/>
      <c r="H183" s="317"/>
    </row>
    <row r="184" spans="1:8" ht="12.75">
      <c r="A184" s="310"/>
      <c r="B184" s="320" t="s">
        <v>198</v>
      </c>
      <c r="C184" s="1122"/>
      <c r="D184" s="1122"/>
      <c r="E184" s="1122"/>
      <c r="F184" s="1122"/>
      <c r="G184" s="1122"/>
      <c r="H184" s="317"/>
    </row>
    <row r="185" spans="1:8" ht="12.75">
      <c r="A185" s="310"/>
      <c r="B185" s="320" t="s">
        <v>199</v>
      </c>
      <c r="C185" s="1122"/>
      <c r="D185" s="1122"/>
      <c r="E185" s="1122"/>
      <c r="F185" s="1122"/>
      <c r="G185" s="1122"/>
      <c r="H185" s="317"/>
    </row>
    <row r="186" spans="1:8" ht="12.75">
      <c r="A186" s="310"/>
      <c r="B186" s="321" t="s">
        <v>468</v>
      </c>
      <c r="C186" s="1122"/>
      <c r="D186" s="1122"/>
      <c r="E186" s="1122"/>
      <c r="F186" s="1122"/>
      <c r="G186" s="1122"/>
      <c r="H186" s="317"/>
    </row>
    <row r="187" spans="1:8" ht="13.5" thickBot="1">
      <c r="A187" s="310"/>
      <c r="B187" s="322" t="s">
        <v>200</v>
      </c>
      <c r="C187" s="1123"/>
      <c r="D187" s="1123"/>
      <c r="E187" s="1123"/>
      <c r="F187" s="1123"/>
      <c r="G187" s="1123"/>
      <c r="H187" s="676"/>
    </row>
    <row r="188" spans="1:8" ht="13.5" thickBot="1">
      <c r="A188" s="310"/>
      <c r="B188" s="324" t="s">
        <v>349</v>
      </c>
      <c r="C188" s="1129"/>
      <c r="D188" s="1129"/>
      <c r="E188" s="1129"/>
      <c r="F188" s="1129"/>
      <c r="G188" s="1129">
        <f>SUM(G183:G187)</f>
        <v>0</v>
      </c>
      <c r="H188" s="1075"/>
    </row>
    <row r="189" spans="1:8" ht="13.5" thickBot="1">
      <c r="A189" s="310"/>
      <c r="B189" s="326" t="s">
        <v>67</v>
      </c>
      <c r="C189" s="1130"/>
      <c r="D189" s="1130"/>
      <c r="E189" s="1130"/>
      <c r="F189" s="1130"/>
      <c r="G189" s="1130">
        <f>G179+G188</f>
        <v>120</v>
      </c>
      <c r="H189" s="1075"/>
    </row>
    <row r="190" spans="1:8" ht="13.5" thickBot="1">
      <c r="A190" s="310"/>
      <c r="B190" s="700" t="s">
        <v>482</v>
      </c>
      <c r="C190" s="1131"/>
      <c r="D190" s="1131"/>
      <c r="E190" s="1131"/>
      <c r="F190" s="1131"/>
      <c r="G190" s="1131"/>
      <c r="H190" s="1075"/>
    </row>
    <row r="191" spans="1:8" ht="13.5" thickBot="1">
      <c r="A191" s="310"/>
      <c r="B191" s="327" t="s">
        <v>68</v>
      </c>
      <c r="C191" s="1132"/>
      <c r="D191" s="1132"/>
      <c r="E191" s="1132"/>
      <c r="F191" s="1132"/>
      <c r="G191" s="1132"/>
      <c r="H191" s="1075"/>
    </row>
    <row r="192" spans="1:8" ht="12.75">
      <c r="A192" s="310"/>
      <c r="B192" s="694" t="s">
        <v>439</v>
      </c>
      <c r="C192" s="1133"/>
      <c r="D192" s="1133"/>
      <c r="E192" s="1133">
        <v>369</v>
      </c>
      <c r="F192" s="1133">
        <v>369</v>
      </c>
      <c r="G192" s="1133">
        <v>369</v>
      </c>
      <c r="H192" s="317">
        <f t="shared" si="2"/>
        <v>1</v>
      </c>
    </row>
    <row r="193" spans="1:9" ht="13.5" thickBot="1">
      <c r="A193" s="310"/>
      <c r="B193" s="330" t="s">
        <v>475</v>
      </c>
      <c r="C193" s="1123">
        <v>129996</v>
      </c>
      <c r="D193" s="1123">
        <v>129996</v>
      </c>
      <c r="E193" s="1123">
        <v>128659</v>
      </c>
      <c r="F193" s="1123">
        <v>128869</v>
      </c>
      <c r="G193" s="1123">
        <f>128869+2561</f>
        <v>131430</v>
      </c>
      <c r="H193" s="676">
        <f t="shared" si="2"/>
        <v>1.0198728941793604</v>
      </c>
      <c r="I193" s="709"/>
    </row>
    <row r="194" spans="1:8" ht="13.5" thickBot="1">
      <c r="A194" s="310"/>
      <c r="B194" s="331" t="s">
        <v>61</v>
      </c>
      <c r="C194" s="1121">
        <f>SUM(C192:C193)</f>
        <v>129996</v>
      </c>
      <c r="D194" s="1121">
        <f>SUM(D192:D193)</f>
        <v>129996</v>
      </c>
      <c r="E194" s="1121">
        <f>SUM(E192:E193)</f>
        <v>129028</v>
      </c>
      <c r="F194" s="1121">
        <f>SUM(F192:F193)</f>
        <v>129238</v>
      </c>
      <c r="G194" s="1121">
        <f>SUM(G192:G193)</f>
        <v>131799</v>
      </c>
      <c r="H194" s="1064">
        <f t="shared" si="2"/>
        <v>1.0198161531438121</v>
      </c>
    </row>
    <row r="195" spans="1:8" ht="15.75" thickBot="1">
      <c r="A195" s="310"/>
      <c r="B195" s="333" t="s">
        <v>75</v>
      </c>
      <c r="C195" s="970">
        <f>SUM(C189+C191+C194)</f>
        <v>129996</v>
      </c>
      <c r="D195" s="970">
        <f>SUM(D189+D191+D194)</f>
        <v>129996</v>
      </c>
      <c r="E195" s="970">
        <f>SUM(E189+E191+E194)</f>
        <v>129028</v>
      </c>
      <c r="F195" s="970">
        <f>SUM(F189+F191+F194)</f>
        <v>129238</v>
      </c>
      <c r="G195" s="970">
        <f>SUM(G189+G191+G194)</f>
        <v>131919</v>
      </c>
      <c r="H195" s="1064">
        <f t="shared" si="2"/>
        <v>1.0207446726195082</v>
      </c>
    </row>
    <row r="196" spans="1:9" ht="12.75">
      <c r="A196" s="310"/>
      <c r="B196" s="334" t="s">
        <v>328</v>
      </c>
      <c r="C196" s="1122">
        <v>103982</v>
      </c>
      <c r="D196" s="1122">
        <v>103982</v>
      </c>
      <c r="E196" s="1122">
        <v>104174</v>
      </c>
      <c r="F196" s="1122">
        <v>104357</v>
      </c>
      <c r="G196" s="1122">
        <f>104357+2217</f>
        <v>106574</v>
      </c>
      <c r="H196" s="317">
        <f t="shared" si="2"/>
        <v>1.021244382264726</v>
      </c>
      <c r="I196" s="709"/>
    </row>
    <row r="197" spans="1:9" ht="12.75">
      <c r="A197" s="310"/>
      <c r="B197" s="334" t="s">
        <v>329</v>
      </c>
      <c r="C197" s="1122">
        <v>18998</v>
      </c>
      <c r="D197" s="1122">
        <v>18998</v>
      </c>
      <c r="E197" s="1122">
        <v>19178</v>
      </c>
      <c r="F197" s="1122">
        <v>19205</v>
      </c>
      <c r="G197" s="1122">
        <f>19205+344</f>
        <v>19549</v>
      </c>
      <c r="H197" s="317">
        <f t="shared" si="2"/>
        <v>1.017912002082791</v>
      </c>
      <c r="I197" s="709"/>
    </row>
    <row r="198" spans="1:9" ht="12.75">
      <c r="A198" s="310"/>
      <c r="B198" s="334" t="s">
        <v>330</v>
      </c>
      <c r="C198" s="1122">
        <v>6000</v>
      </c>
      <c r="D198" s="1122">
        <v>6000</v>
      </c>
      <c r="E198" s="1122">
        <v>5476</v>
      </c>
      <c r="F198" s="1122">
        <v>4676</v>
      </c>
      <c r="G198" s="1122">
        <f>4676+120-330</f>
        <v>4466</v>
      </c>
      <c r="H198" s="317">
        <f t="shared" si="2"/>
        <v>0.9550898203592815</v>
      </c>
      <c r="I198" s="709"/>
    </row>
    <row r="199" spans="1:8" ht="12.75">
      <c r="A199" s="310"/>
      <c r="B199" s="335" t="s">
        <v>332</v>
      </c>
      <c r="C199" s="1122"/>
      <c r="D199" s="1122"/>
      <c r="E199" s="1122"/>
      <c r="F199" s="1122"/>
      <c r="G199" s="1122"/>
      <c r="H199" s="317"/>
    </row>
    <row r="200" spans="1:8" ht="13.5" thickBot="1">
      <c r="A200" s="310"/>
      <c r="B200" s="336" t="s">
        <v>331</v>
      </c>
      <c r="C200" s="1123"/>
      <c r="D200" s="1123"/>
      <c r="E200" s="1123"/>
      <c r="F200" s="1123"/>
      <c r="G200" s="1123">
        <v>330</v>
      </c>
      <c r="H200" s="676"/>
    </row>
    <row r="201" spans="1:8" ht="13.5" thickBot="1">
      <c r="A201" s="310"/>
      <c r="B201" s="337" t="s">
        <v>60</v>
      </c>
      <c r="C201" s="1129">
        <f>SUM(C196:C200)</f>
        <v>128980</v>
      </c>
      <c r="D201" s="1129">
        <f>SUM(D196:D200)</f>
        <v>128980</v>
      </c>
      <c r="E201" s="1129">
        <f>SUM(E196:E200)</f>
        <v>128828</v>
      </c>
      <c r="F201" s="1129">
        <f>SUM(F196:F200)</f>
        <v>128238</v>
      </c>
      <c r="G201" s="1129">
        <f>SUM(G196:G200)</f>
        <v>130919</v>
      </c>
      <c r="H201" s="1064">
        <f t="shared" si="2"/>
        <v>1.0209064395888894</v>
      </c>
    </row>
    <row r="202" spans="1:9" ht="12.75">
      <c r="A202" s="310"/>
      <c r="B202" s="334" t="s">
        <v>251</v>
      </c>
      <c r="C202" s="1122">
        <v>1016</v>
      </c>
      <c r="D202" s="1122">
        <v>1016</v>
      </c>
      <c r="E202" s="1122">
        <v>200</v>
      </c>
      <c r="F202" s="1122">
        <v>1000</v>
      </c>
      <c r="G202" s="1122">
        <v>1000</v>
      </c>
      <c r="H202" s="317">
        <f t="shared" si="2"/>
        <v>1</v>
      </c>
      <c r="I202" s="709"/>
    </row>
    <row r="203" spans="1:8" ht="12.75">
      <c r="A203" s="310"/>
      <c r="B203" s="334" t="s">
        <v>252</v>
      </c>
      <c r="C203" s="1122"/>
      <c r="D203" s="1122"/>
      <c r="E203" s="1122"/>
      <c r="F203" s="1122"/>
      <c r="G203" s="1122"/>
      <c r="H203" s="317"/>
    </row>
    <row r="204" spans="1:8" ht="13.5" thickBot="1">
      <c r="A204" s="310"/>
      <c r="B204" s="336" t="s">
        <v>448</v>
      </c>
      <c r="C204" s="1123"/>
      <c r="D204" s="1123"/>
      <c r="E204" s="1123"/>
      <c r="F204" s="1123"/>
      <c r="G204" s="1123"/>
      <c r="H204" s="676"/>
    </row>
    <row r="205" spans="1:8" ht="13.5" thickBot="1">
      <c r="A205" s="310"/>
      <c r="B205" s="338" t="s">
        <v>66</v>
      </c>
      <c r="C205" s="1129">
        <f>SUM(C202:C204)</f>
        <v>1016</v>
      </c>
      <c r="D205" s="1129">
        <f>SUM(D202:D204)</f>
        <v>1016</v>
      </c>
      <c r="E205" s="1129">
        <f>SUM(E202:E204)</f>
        <v>200</v>
      </c>
      <c r="F205" s="1129">
        <f>SUM(F202:F204)</f>
        <v>1000</v>
      </c>
      <c r="G205" s="1129">
        <f>SUM(G202:G204)</f>
        <v>1000</v>
      </c>
      <c r="H205" s="1064">
        <f t="shared" si="2"/>
        <v>1</v>
      </c>
    </row>
    <row r="206" spans="1:8" ht="15.75" thickBot="1">
      <c r="A206" s="307"/>
      <c r="B206" s="339" t="s">
        <v>112</v>
      </c>
      <c r="C206" s="970">
        <f>SUM(C201+C205)</f>
        <v>129996</v>
      </c>
      <c r="D206" s="970">
        <f>SUM(D201+D205)</f>
        <v>129996</v>
      </c>
      <c r="E206" s="970">
        <f>SUM(E201+E205)</f>
        <v>129028</v>
      </c>
      <c r="F206" s="970">
        <f>SUM(F201+F205)</f>
        <v>129238</v>
      </c>
      <c r="G206" s="970">
        <f>SUM(G201+G205)</f>
        <v>131919</v>
      </c>
      <c r="H206" s="1064">
        <f t="shared" si="2"/>
        <v>1.0207446726195082</v>
      </c>
    </row>
    <row r="207" spans="1:8" ht="15">
      <c r="A207" s="225">
        <v>2335</v>
      </c>
      <c r="B207" s="227" t="s">
        <v>337</v>
      </c>
      <c r="C207" s="1122"/>
      <c r="D207" s="1122"/>
      <c r="E207" s="1122"/>
      <c r="F207" s="1122"/>
      <c r="G207" s="1122"/>
      <c r="H207" s="317"/>
    </row>
    <row r="208" spans="1:8" ht="12.6" customHeight="1">
      <c r="A208" s="310"/>
      <c r="B208" s="312" t="s">
        <v>191</v>
      </c>
      <c r="C208" s="1125"/>
      <c r="D208" s="1125"/>
      <c r="E208" s="1125"/>
      <c r="F208" s="1125"/>
      <c r="G208" s="1125"/>
      <c r="H208" s="317"/>
    </row>
    <row r="209" spans="1:8" ht="13.5" thickBot="1">
      <c r="A209" s="310"/>
      <c r="B209" s="313" t="s">
        <v>192</v>
      </c>
      <c r="C209" s="1126"/>
      <c r="D209" s="1126"/>
      <c r="E209" s="1126"/>
      <c r="F209" s="1126"/>
      <c r="G209" s="1126">
        <v>180</v>
      </c>
      <c r="H209" s="676"/>
    </row>
    <row r="210" spans="1:8" ht="13.5" thickBot="1">
      <c r="A210" s="310"/>
      <c r="B210" s="314" t="s">
        <v>205</v>
      </c>
      <c r="C210" s="1127"/>
      <c r="D210" s="1127"/>
      <c r="E210" s="1127"/>
      <c r="F210" s="1127"/>
      <c r="G210" s="1136">
        <f>SUM(G207:G209)</f>
        <v>180</v>
      </c>
      <c r="H210" s="1075"/>
    </row>
    <row r="211" spans="1:8" ht="12.75">
      <c r="A211" s="310"/>
      <c r="B211" s="312" t="s">
        <v>194</v>
      </c>
      <c r="C211" s="1122"/>
      <c r="D211" s="1122"/>
      <c r="E211" s="1122"/>
      <c r="F211" s="1122"/>
      <c r="G211" s="1122"/>
      <c r="H211" s="317"/>
    </row>
    <row r="212" spans="1:8" ht="12.75">
      <c r="A212" s="310"/>
      <c r="B212" s="318" t="s">
        <v>195</v>
      </c>
      <c r="C212" s="1128"/>
      <c r="D212" s="1128"/>
      <c r="E212" s="1128"/>
      <c r="F212" s="1128"/>
      <c r="G212" s="1128"/>
      <c r="H212" s="317"/>
    </row>
    <row r="213" spans="1:8" ht="12.75">
      <c r="A213" s="310"/>
      <c r="B213" s="318" t="s">
        <v>196</v>
      </c>
      <c r="C213" s="1128"/>
      <c r="D213" s="1128"/>
      <c r="E213" s="1128"/>
      <c r="F213" s="1128"/>
      <c r="G213" s="1128"/>
      <c r="H213" s="317"/>
    </row>
    <row r="214" spans="1:8" ht="12.75">
      <c r="A214" s="310"/>
      <c r="B214" s="320" t="s">
        <v>197</v>
      </c>
      <c r="C214" s="1122"/>
      <c r="D214" s="1122"/>
      <c r="E214" s="1122"/>
      <c r="F214" s="1122"/>
      <c r="G214" s="1122"/>
      <c r="H214" s="317"/>
    </row>
    <row r="215" spans="1:8" ht="12.75">
      <c r="A215" s="310"/>
      <c r="B215" s="320" t="s">
        <v>198</v>
      </c>
      <c r="C215" s="1122"/>
      <c r="D215" s="1122"/>
      <c r="E215" s="1122"/>
      <c r="F215" s="1122"/>
      <c r="G215" s="1122"/>
      <c r="H215" s="317"/>
    </row>
    <row r="216" spans="1:8" ht="12.75">
      <c r="A216" s="310"/>
      <c r="B216" s="320" t="s">
        <v>199</v>
      </c>
      <c r="C216" s="1122"/>
      <c r="D216" s="1122"/>
      <c r="E216" s="1122"/>
      <c r="F216" s="1122"/>
      <c r="G216" s="1122"/>
      <c r="H216" s="317"/>
    </row>
    <row r="217" spans="1:8" ht="12.75">
      <c r="A217" s="310"/>
      <c r="B217" s="321" t="s">
        <v>468</v>
      </c>
      <c r="C217" s="1122"/>
      <c r="D217" s="1122"/>
      <c r="E217" s="1122"/>
      <c r="F217" s="1122"/>
      <c r="G217" s="1122"/>
      <c r="H217" s="317"/>
    </row>
    <row r="218" spans="1:8" ht="13.5" thickBot="1">
      <c r="A218" s="310"/>
      <c r="B218" s="322" t="s">
        <v>200</v>
      </c>
      <c r="C218" s="1123"/>
      <c r="D218" s="1123"/>
      <c r="E218" s="1123"/>
      <c r="F218" s="1123"/>
      <c r="G218" s="1123"/>
      <c r="H218" s="676"/>
    </row>
    <row r="219" spans="1:8" ht="13.5" thickBot="1">
      <c r="A219" s="310"/>
      <c r="B219" s="324" t="s">
        <v>349</v>
      </c>
      <c r="C219" s="1129"/>
      <c r="D219" s="1129"/>
      <c r="E219" s="1129"/>
      <c r="F219" s="1129"/>
      <c r="G219" s="1129">
        <f>SUM(G214:G218)</f>
        <v>0</v>
      </c>
      <c r="H219" s="1075"/>
    </row>
    <row r="220" spans="1:8" ht="13.5" thickBot="1">
      <c r="A220" s="310"/>
      <c r="B220" s="326" t="s">
        <v>67</v>
      </c>
      <c r="C220" s="1130"/>
      <c r="D220" s="1130"/>
      <c r="E220" s="1130"/>
      <c r="F220" s="1130"/>
      <c r="G220" s="1130">
        <f>G210+G219</f>
        <v>180</v>
      </c>
      <c r="H220" s="1075"/>
    </row>
    <row r="221" spans="1:8" ht="13.5" thickBot="1">
      <c r="A221" s="310"/>
      <c r="B221" s="700" t="s">
        <v>482</v>
      </c>
      <c r="C221" s="1131"/>
      <c r="D221" s="1131"/>
      <c r="E221" s="1131"/>
      <c r="F221" s="1131"/>
      <c r="G221" s="1131"/>
      <c r="H221" s="1075"/>
    </row>
    <row r="222" spans="1:8" ht="13.5" thickBot="1">
      <c r="A222" s="310"/>
      <c r="B222" s="327" t="s">
        <v>68</v>
      </c>
      <c r="C222" s="1132"/>
      <c r="D222" s="1132"/>
      <c r="E222" s="1132"/>
      <c r="F222" s="1132"/>
      <c r="G222" s="1132"/>
      <c r="H222" s="1075"/>
    </row>
    <row r="223" spans="1:8" ht="12.75">
      <c r="A223" s="310"/>
      <c r="B223" s="694" t="s">
        <v>439</v>
      </c>
      <c r="C223" s="1133"/>
      <c r="D223" s="1133"/>
      <c r="E223" s="1133">
        <v>617</v>
      </c>
      <c r="F223" s="1133">
        <v>617</v>
      </c>
      <c r="G223" s="1133">
        <v>617</v>
      </c>
      <c r="H223" s="317">
        <f aca="true" t="shared" si="3" ref="H223:H272">SUM(G223/F223)</f>
        <v>1</v>
      </c>
    </row>
    <row r="224" spans="1:9" ht="13.5" thickBot="1">
      <c r="A224" s="310"/>
      <c r="B224" s="330" t="s">
        <v>475</v>
      </c>
      <c r="C224" s="1123">
        <v>94576</v>
      </c>
      <c r="D224" s="1123">
        <v>94576</v>
      </c>
      <c r="E224" s="1123">
        <v>91655</v>
      </c>
      <c r="F224" s="1123">
        <v>91865</v>
      </c>
      <c r="G224" s="1123">
        <f>91865+1520</f>
        <v>93385</v>
      </c>
      <c r="H224" s="676">
        <f t="shared" si="3"/>
        <v>1.016546018614271</v>
      </c>
      <c r="I224" s="709"/>
    </row>
    <row r="225" spans="1:8" ht="13.5" thickBot="1">
      <c r="A225" s="310"/>
      <c r="B225" s="331" t="s">
        <v>61</v>
      </c>
      <c r="C225" s="1121">
        <f>SUM(C223:C224)</f>
        <v>94576</v>
      </c>
      <c r="D225" s="1121">
        <f>SUM(D223:D224)</f>
        <v>94576</v>
      </c>
      <c r="E225" s="1121">
        <f>SUM(E223:E224)</f>
        <v>92272</v>
      </c>
      <c r="F225" s="1121">
        <f>SUM(F223:F224)</f>
        <v>92482</v>
      </c>
      <c r="G225" s="1121">
        <f>SUM(G223:G224)</f>
        <v>94002</v>
      </c>
      <c r="H225" s="1064">
        <f t="shared" si="3"/>
        <v>1.0164356307173288</v>
      </c>
    </row>
    <row r="226" spans="1:8" ht="13.5" thickBot="1">
      <c r="A226" s="310"/>
      <c r="B226" s="247" t="s">
        <v>439</v>
      </c>
      <c r="C226" s="1131"/>
      <c r="D226" s="1131"/>
      <c r="E226" s="1131">
        <v>200</v>
      </c>
      <c r="F226" s="1131">
        <v>200</v>
      </c>
      <c r="G226" s="1131">
        <v>200</v>
      </c>
      <c r="H226" s="1075">
        <f t="shared" si="3"/>
        <v>1</v>
      </c>
    </row>
    <row r="227" spans="1:8" ht="13.5" thickBot="1">
      <c r="A227" s="310"/>
      <c r="B227" s="331" t="s">
        <v>63</v>
      </c>
      <c r="C227" s="1121"/>
      <c r="D227" s="1121"/>
      <c r="E227" s="1121">
        <f>SUM(E226)</f>
        <v>200</v>
      </c>
      <c r="F227" s="1121">
        <f>SUM(F226)</f>
        <v>200</v>
      </c>
      <c r="G227" s="1121">
        <f>SUM(G226)</f>
        <v>200</v>
      </c>
      <c r="H227" s="1064">
        <f t="shared" si="3"/>
        <v>1</v>
      </c>
    </row>
    <row r="228" spans="1:8" ht="15.75" thickBot="1">
      <c r="A228" s="310"/>
      <c r="B228" s="333" t="s">
        <v>75</v>
      </c>
      <c r="C228" s="970">
        <f>SUM(C220+C222+C225+C227)</f>
        <v>94576</v>
      </c>
      <c r="D228" s="970">
        <f>SUM(D220+D222+D225+D227)</f>
        <v>94576</v>
      </c>
      <c r="E228" s="970">
        <f>SUM(E220+E222+E225+E227)</f>
        <v>92472</v>
      </c>
      <c r="F228" s="970">
        <f>SUM(F220+F222+F225+F227)</f>
        <v>92682</v>
      </c>
      <c r="G228" s="970">
        <f>SUM(G220+G222+G225+G227)</f>
        <v>94382</v>
      </c>
      <c r="H228" s="1064">
        <f t="shared" si="3"/>
        <v>1.0183422886860447</v>
      </c>
    </row>
    <row r="229" spans="1:9" ht="12.75">
      <c r="A229" s="310"/>
      <c r="B229" s="334" t="s">
        <v>328</v>
      </c>
      <c r="C229" s="1122">
        <v>75114</v>
      </c>
      <c r="D229" s="1122">
        <v>75114</v>
      </c>
      <c r="E229" s="1122">
        <v>75222</v>
      </c>
      <c r="F229" s="1122">
        <v>75405</v>
      </c>
      <c r="G229" s="1122">
        <f>75405+1316</f>
        <v>76721</v>
      </c>
      <c r="H229" s="317">
        <f t="shared" si="3"/>
        <v>1.0174524235793383</v>
      </c>
      <c r="I229" s="709"/>
    </row>
    <row r="230" spans="1:9" ht="12.75">
      <c r="A230" s="310"/>
      <c r="B230" s="334" t="s">
        <v>329</v>
      </c>
      <c r="C230" s="1122">
        <v>13620</v>
      </c>
      <c r="D230" s="1122">
        <v>13620</v>
      </c>
      <c r="E230" s="1122">
        <v>13726</v>
      </c>
      <c r="F230" s="1122">
        <v>13753</v>
      </c>
      <c r="G230" s="1122">
        <f>13753+204</f>
        <v>13957</v>
      </c>
      <c r="H230" s="317">
        <f t="shared" si="3"/>
        <v>1.014833127317676</v>
      </c>
      <c r="I230" s="709"/>
    </row>
    <row r="231" spans="1:9" ht="12.75">
      <c r="A231" s="310"/>
      <c r="B231" s="334" t="s">
        <v>330</v>
      </c>
      <c r="C231" s="1122">
        <v>3048</v>
      </c>
      <c r="D231" s="1122">
        <v>3048</v>
      </c>
      <c r="E231" s="1122">
        <v>3324</v>
      </c>
      <c r="F231" s="1122">
        <v>3024</v>
      </c>
      <c r="G231" s="1122">
        <f>3024+180-11</f>
        <v>3193</v>
      </c>
      <c r="H231" s="317">
        <f t="shared" si="3"/>
        <v>1.0558862433862435</v>
      </c>
      <c r="I231" s="709"/>
    </row>
    <row r="232" spans="1:8" ht="12.75">
      <c r="A232" s="310"/>
      <c r="B232" s="335" t="s">
        <v>332</v>
      </c>
      <c r="C232" s="1122"/>
      <c r="D232" s="1122"/>
      <c r="E232" s="1122"/>
      <c r="F232" s="1122"/>
      <c r="G232" s="1122"/>
      <c r="H232" s="317"/>
    </row>
    <row r="233" spans="1:8" ht="13.5" thickBot="1">
      <c r="A233" s="310"/>
      <c r="B233" s="336" t="s">
        <v>331</v>
      </c>
      <c r="C233" s="1123"/>
      <c r="D233" s="1123"/>
      <c r="E233" s="1123"/>
      <c r="F233" s="1123"/>
      <c r="G233" s="1123">
        <v>11</v>
      </c>
      <c r="H233" s="676"/>
    </row>
    <row r="234" spans="1:8" ht="13.5" thickBot="1">
      <c r="A234" s="310"/>
      <c r="B234" s="337" t="s">
        <v>60</v>
      </c>
      <c r="C234" s="1124">
        <f>SUM(C229:C233)</f>
        <v>91782</v>
      </c>
      <c r="D234" s="1124">
        <f>SUM(D229:D233)</f>
        <v>91782</v>
      </c>
      <c r="E234" s="1124">
        <f>SUM(E229:E233)</f>
        <v>92272</v>
      </c>
      <c r="F234" s="1124">
        <f>SUM(F229:F233)</f>
        <v>92182</v>
      </c>
      <c r="G234" s="1124">
        <f>SUM(G229:G233)</f>
        <v>93882</v>
      </c>
      <c r="H234" s="1064">
        <f t="shared" si="3"/>
        <v>1.0184417782213446</v>
      </c>
    </row>
    <row r="235" spans="1:9" ht="12.75">
      <c r="A235" s="310"/>
      <c r="B235" s="334" t="s">
        <v>251</v>
      </c>
      <c r="C235" s="1122">
        <v>2794</v>
      </c>
      <c r="D235" s="1122">
        <v>2794</v>
      </c>
      <c r="E235" s="1122">
        <v>200</v>
      </c>
      <c r="F235" s="1122">
        <v>500</v>
      </c>
      <c r="G235" s="1122">
        <v>500</v>
      </c>
      <c r="H235" s="317">
        <f t="shared" si="3"/>
        <v>1</v>
      </c>
      <c r="I235" s="709"/>
    </row>
    <row r="236" spans="1:8" ht="12.75">
      <c r="A236" s="310"/>
      <c r="B236" s="334" t="s">
        <v>252</v>
      </c>
      <c r="C236" s="1122"/>
      <c r="D236" s="1122"/>
      <c r="E236" s="1122"/>
      <c r="F236" s="1122"/>
      <c r="G236" s="1122"/>
      <c r="H236" s="317"/>
    </row>
    <row r="237" spans="1:8" ht="13.5" thickBot="1">
      <c r="A237" s="310"/>
      <c r="B237" s="336" t="s">
        <v>448</v>
      </c>
      <c r="C237" s="1123"/>
      <c r="D237" s="1123"/>
      <c r="E237" s="1123"/>
      <c r="F237" s="1123"/>
      <c r="G237" s="1123"/>
      <c r="H237" s="676"/>
    </row>
    <row r="238" spans="1:8" ht="13.5" thickBot="1">
      <c r="A238" s="310"/>
      <c r="B238" s="338" t="s">
        <v>66</v>
      </c>
      <c r="C238" s="1124">
        <f>SUM(C235:C237)</f>
        <v>2794</v>
      </c>
      <c r="D238" s="1124">
        <f>SUM(D235:D237)</f>
        <v>2794</v>
      </c>
      <c r="E238" s="1124">
        <f>SUM(E235:E237)</f>
        <v>200</v>
      </c>
      <c r="F238" s="1124">
        <f>SUM(F235:F237)</f>
        <v>500</v>
      </c>
      <c r="G238" s="1124">
        <f>SUM(G235:G237)</f>
        <v>500</v>
      </c>
      <c r="H238" s="1064">
        <f t="shared" si="3"/>
        <v>1</v>
      </c>
    </row>
    <row r="239" spans="1:8" ht="15.75" thickBot="1">
      <c r="A239" s="307"/>
      <c r="B239" s="339" t="s">
        <v>112</v>
      </c>
      <c r="C239" s="970">
        <f>SUM(C234+C238)</f>
        <v>94576</v>
      </c>
      <c r="D239" s="970">
        <f>SUM(D234+D238)</f>
        <v>94576</v>
      </c>
      <c r="E239" s="970">
        <f>SUM(E234+E238)</f>
        <v>92472</v>
      </c>
      <c r="F239" s="970">
        <f>SUM(F234+F238)</f>
        <v>92682</v>
      </c>
      <c r="G239" s="970">
        <f>SUM(G234+G238)</f>
        <v>94382</v>
      </c>
      <c r="H239" s="1064">
        <f t="shared" si="3"/>
        <v>1.0183422886860447</v>
      </c>
    </row>
    <row r="240" spans="1:8" ht="15">
      <c r="A240" s="224">
        <v>2345</v>
      </c>
      <c r="B240" s="342" t="s">
        <v>338</v>
      </c>
      <c r="C240" s="1122"/>
      <c r="D240" s="1122"/>
      <c r="E240" s="1122"/>
      <c r="F240" s="1122"/>
      <c r="G240" s="1122"/>
      <c r="H240" s="317"/>
    </row>
    <row r="241" spans="1:8" ht="12.6" customHeight="1">
      <c r="A241" s="310"/>
      <c r="B241" s="312" t="s">
        <v>191</v>
      </c>
      <c r="C241" s="1125"/>
      <c r="D241" s="1125"/>
      <c r="E241" s="1125"/>
      <c r="F241" s="1125"/>
      <c r="G241" s="1125"/>
      <c r="H241" s="317"/>
    </row>
    <row r="242" spans="1:8" ht="13.5" thickBot="1">
      <c r="A242" s="310"/>
      <c r="B242" s="313" t="s">
        <v>192</v>
      </c>
      <c r="C242" s="1126"/>
      <c r="D242" s="1126"/>
      <c r="E242" s="1126"/>
      <c r="F242" s="1126"/>
      <c r="G242" s="1126">
        <v>80</v>
      </c>
      <c r="H242" s="676"/>
    </row>
    <row r="243" spans="1:8" ht="13.5" thickBot="1">
      <c r="A243" s="310"/>
      <c r="B243" s="314" t="s">
        <v>205</v>
      </c>
      <c r="C243" s="1136"/>
      <c r="D243" s="1136"/>
      <c r="E243" s="1136"/>
      <c r="F243" s="1136"/>
      <c r="G243" s="1136">
        <f>SUM(G240:G242)</f>
        <v>80</v>
      </c>
      <c r="H243" s="1075"/>
    </row>
    <row r="244" spans="1:8" ht="12.75">
      <c r="A244" s="310"/>
      <c r="B244" s="312" t="s">
        <v>194</v>
      </c>
      <c r="C244" s="1122"/>
      <c r="D244" s="1122"/>
      <c r="E244" s="1122"/>
      <c r="F244" s="1122"/>
      <c r="G244" s="1122"/>
      <c r="H244" s="317"/>
    </row>
    <row r="245" spans="1:8" ht="12.75">
      <c r="A245" s="310"/>
      <c r="B245" s="318" t="s">
        <v>195</v>
      </c>
      <c r="C245" s="1128"/>
      <c r="D245" s="1128"/>
      <c r="E245" s="1128"/>
      <c r="F245" s="1128"/>
      <c r="G245" s="1128"/>
      <c r="H245" s="317"/>
    </row>
    <row r="246" spans="1:8" ht="12.75">
      <c r="A246" s="310"/>
      <c r="B246" s="318" t="s">
        <v>196</v>
      </c>
      <c r="C246" s="1128"/>
      <c r="D246" s="1128"/>
      <c r="E246" s="1128"/>
      <c r="F246" s="1128"/>
      <c r="G246" s="1128"/>
      <c r="H246" s="317"/>
    </row>
    <row r="247" spans="1:8" ht="12.75">
      <c r="A247" s="310"/>
      <c r="B247" s="320" t="s">
        <v>197</v>
      </c>
      <c r="C247" s="1122"/>
      <c r="D247" s="1122"/>
      <c r="E247" s="1122"/>
      <c r="F247" s="1122"/>
      <c r="G247" s="1122"/>
      <c r="H247" s="317"/>
    </row>
    <row r="248" spans="1:8" ht="12.75">
      <c r="A248" s="310"/>
      <c r="B248" s="320" t="s">
        <v>198</v>
      </c>
      <c r="C248" s="1122"/>
      <c r="D248" s="1122"/>
      <c r="E248" s="1122"/>
      <c r="F248" s="1122"/>
      <c r="G248" s="1122"/>
      <c r="H248" s="317"/>
    </row>
    <row r="249" spans="1:8" ht="12.75">
      <c r="A249" s="310"/>
      <c r="B249" s="320" t="s">
        <v>199</v>
      </c>
      <c r="C249" s="1122"/>
      <c r="D249" s="1122"/>
      <c r="E249" s="1122"/>
      <c r="F249" s="1122"/>
      <c r="G249" s="1122"/>
      <c r="H249" s="317"/>
    </row>
    <row r="250" spans="1:8" ht="12.75">
      <c r="A250" s="310"/>
      <c r="B250" s="321" t="s">
        <v>468</v>
      </c>
      <c r="C250" s="1122"/>
      <c r="D250" s="1122"/>
      <c r="E250" s="1122"/>
      <c r="F250" s="1122"/>
      <c r="G250" s="1122"/>
      <c r="H250" s="317"/>
    </row>
    <row r="251" spans="1:8" ht="13.5" thickBot="1">
      <c r="A251" s="310"/>
      <c r="B251" s="322" t="s">
        <v>200</v>
      </c>
      <c r="C251" s="1122"/>
      <c r="D251" s="1122"/>
      <c r="E251" s="1122"/>
      <c r="F251" s="1122"/>
      <c r="G251" s="1122">
        <v>55</v>
      </c>
      <c r="H251" s="676"/>
    </row>
    <row r="252" spans="1:8" ht="13.5" thickBot="1">
      <c r="A252" s="310"/>
      <c r="B252" s="324" t="s">
        <v>349</v>
      </c>
      <c r="C252" s="1124"/>
      <c r="D252" s="1124"/>
      <c r="E252" s="1124"/>
      <c r="F252" s="1124"/>
      <c r="G252" s="1124">
        <f>SUM(G247:G251)</f>
        <v>55</v>
      </c>
      <c r="H252" s="1075"/>
    </row>
    <row r="253" spans="1:8" ht="13.5" thickBot="1">
      <c r="A253" s="310"/>
      <c r="B253" s="326" t="s">
        <v>67</v>
      </c>
      <c r="C253" s="1130"/>
      <c r="D253" s="1130"/>
      <c r="E253" s="1130"/>
      <c r="F253" s="1130"/>
      <c r="G253" s="1130">
        <f>G243+G252</f>
        <v>135</v>
      </c>
      <c r="H253" s="1075"/>
    </row>
    <row r="254" spans="1:8" ht="13.5" thickBot="1">
      <c r="A254" s="310"/>
      <c r="B254" s="700" t="s">
        <v>482</v>
      </c>
      <c r="C254" s="1131"/>
      <c r="D254" s="1131"/>
      <c r="E254" s="1131"/>
      <c r="F254" s="1131"/>
      <c r="G254" s="1131"/>
      <c r="H254" s="1075"/>
    </row>
    <row r="255" spans="1:8" ht="13.5" thickBot="1">
      <c r="A255" s="310"/>
      <c r="B255" s="327" t="s">
        <v>68</v>
      </c>
      <c r="C255" s="1132"/>
      <c r="D255" s="1132"/>
      <c r="E255" s="1132"/>
      <c r="F255" s="1132"/>
      <c r="G255" s="1132"/>
      <c r="H255" s="1075"/>
    </row>
    <row r="256" spans="1:8" ht="12.75">
      <c r="A256" s="310"/>
      <c r="B256" s="694" t="s">
        <v>439</v>
      </c>
      <c r="C256" s="1133"/>
      <c r="D256" s="1133"/>
      <c r="E256" s="1133">
        <v>1036</v>
      </c>
      <c r="F256" s="1133">
        <v>1036</v>
      </c>
      <c r="G256" s="1133">
        <v>1036</v>
      </c>
      <c r="H256" s="317">
        <f t="shared" si="3"/>
        <v>1</v>
      </c>
    </row>
    <row r="257" spans="1:9" ht="13.5" thickBot="1">
      <c r="A257" s="310"/>
      <c r="B257" s="330" t="s">
        <v>475</v>
      </c>
      <c r="C257" s="1123">
        <v>91526</v>
      </c>
      <c r="D257" s="1123">
        <v>91526</v>
      </c>
      <c r="E257" s="1123">
        <v>88010</v>
      </c>
      <c r="F257" s="1123">
        <v>88788</v>
      </c>
      <c r="G257" s="1123">
        <f>88788+1853</f>
        <v>90641</v>
      </c>
      <c r="H257" s="676">
        <f t="shared" si="3"/>
        <v>1.0208699373789252</v>
      </c>
      <c r="I257" s="709"/>
    </row>
    <row r="258" spans="1:8" ht="13.5" thickBot="1">
      <c r="A258" s="310"/>
      <c r="B258" s="331" t="s">
        <v>61</v>
      </c>
      <c r="C258" s="1121">
        <f>SUM(C256:C257)</f>
        <v>91526</v>
      </c>
      <c r="D258" s="1121">
        <f>SUM(D256:D257)</f>
        <v>91526</v>
      </c>
      <c r="E258" s="1121">
        <f>SUM(E256:E257)</f>
        <v>89046</v>
      </c>
      <c r="F258" s="1121">
        <f>SUM(F256:F257)</f>
        <v>89824</v>
      </c>
      <c r="G258" s="1121">
        <f>SUM(G256:G257)</f>
        <v>91677</v>
      </c>
      <c r="H258" s="1064">
        <f t="shared" si="3"/>
        <v>1.0206292304951905</v>
      </c>
    </row>
    <row r="259" spans="1:8" ht="13.5" thickBot="1">
      <c r="A259" s="310"/>
      <c r="B259" s="247" t="s">
        <v>439</v>
      </c>
      <c r="C259" s="1131"/>
      <c r="D259" s="1131"/>
      <c r="E259" s="1131">
        <v>200</v>
      </c>
      <c r="F259" s="1131">
        <v>200</v>
      </c>
      <c r="G259" s="1131">
        <v>200</v>
      </c>
      <c r="H259" s="1075">
        <f t="shared" si="3"/>
        <v>1</v>
      </c>
    </row>
    <row r="260" spans="1:8" ht="13.5" thickBot="1">
      <c r="A260" s="310"/>
      <c r="B260" s="331" t="s">
        <v>63</v>
      </c>
      <c r="C260" s="1121"/>
      <c r="D260" s="1121"/>
      <c r="E260" s="1121">
        <f>SUM(E259)</f>
        <v>200</v>
      </c>
      <c r="F260" s="1121">
        <f>SUM(F259)</f>
        <v>200</v>
      </c>
      <c r="G260" s="1121">
        <f>SUM(G259)</f>
        <v>200</v>
      </c>
      <c r="H260" s="1064">
        <f t="shared" si="3"/>
        <v>1</v>
      </c>
    </row>
    <row r="261" spans="1:8" ht="15.75" thickBot="1">
      <c r="A261" s="310"/>
      <c r="B261" s="333" t="s">
        <v>75</v>
      </c>
      <c r="C261" s="970">
        <f>SUM(C253+C255+C258+C260)</f>
        <v>91526</v>
      </c>
      <c r="D261" s="970">
        <f>SUM(D253+D255+D258+D260)</f>
        <v>91526</v>
      </c>
      <c r="E261" s="970">
        <f>SUM(E253+E255+E258+E260)</f>
        <v>89246</v>
      </c>
      <c r="F261" s="970">
        <f>SUM(F253+F255+F258+F260)</f>
        <v>90024</v>
      </c>
      <c r="G261" s="970">
        <f>SUM(G253+G255+G258+G260)</f>
        <v>92012</v>
      </c>
      <c r="H261" s="1064">
        <f t="shared" si="3"/>
        <v>1.0220830000888652</v>
      </c>
    </row>
    <row r="262" spans="1:9" ht="12.75">
      <c r="A262" s="310"/>
      <c r="B262" s="334" t="s">
        <v>328</v>
      </c>
      <c r="C262" s="1122">
        <v>71193</v>
      </c>
      <c r="D262" s="1122">
        <v>71193</v>
      </c>
      <c r="E262" s="1122">
        <v>71367</v>
      </c>
      <c r="F262" s="1122">
        <v>72042</v>
      </c>
      <c r="G262" s="1122">
        <f>72042+1604</f>
        <v>73646</v>
      </c>
      <c r="H262" s="317">
        <f t="shared" si="3"/>
        <v>1.0222647899836206</v>
      </c>
      <c r="I262" s="709"/>
    </row>
    <row r="263" spans="1:9" ht="12.75">
      <c r="A263" s="310"/>
      <c r="B263" s="334" t="s">
        <v>329</v>
      </c>
      <c r="C263" s="1122">
        <v>13237</v>
      </c>
      <c r="D263" s="1122">
        <v>13237</v>
      </c>
      <c r="E263" s="1122">
        <v>13394</v>
      </c>
      <c r="F263" s="1122">
        <v>13497</v>
      </c>
      <c r="G263" s="1122">
        <f>13497+249</f>
        <v>13746</v>
      </c>
      <c r="H263" s="317">
        <f t="shared" si="3"/>
        <v>1.0184485441209157</v>
      </c>
      <c r="I263" s="709"/>
    </row>
    <row r="264" spans="1:9" ht="12.75">
      <c r="A264" s="310"/>
      <c r="B264" s="334" t="s">
        <v>330</v>
      </c>
      <c r="C264" s="1122">
        <v>3468</v>
      </c>
      <c r="D264" s="1122">
        <v>3468</v>
      </c>
      <c r="E264" s="1122">
        <v>3795</v>
      </c>
      <c r="F264" s="1122">
        <v>3095</v>
      </c>
      <c r="G264" s="1122">
        <f>3095+80+55-9</f>
        <v>3221</v>
      </c>
      <c r="H264" s="317">
        <f t="shared" si="3"/>
        <v>1.0407108239095315</v>
      </c>
      <c r="I264" s="709"/>
    </row>
    <row r="265" spans="1:8" ht="12.75">
      <c r="A265" s="310"/>
      <c r="B265" s="335" t="s">
        <v>332</v>
      </c>
      <c r="C265" s="1122"/>
      <c r="D265" s="1122"/>
      <c r="E265" s="1122"/>
      <c r="F265" s="1122"/>
      <c r="G265" s="1122"/>
      <c r="H265" s="317"/>
    </row>
    <row r="266" spans="1:8" ht="13.5" thickBot="1">
      <c r="A266" s="310"/>
      <c r="B266" s="336" t="s">
        <v>331</v>
      </c>
      <c r="C266" s="1122"/>
      <c r="D266" s="1122"/>
      <c r="E266" s="1122"/>
      <c r="F266" s="1122"/>
      <c r="G266" s="1122">
        <v>9</v>
      </c>
      <c r="H266" s="676"/>
    </row>
    <row r="267" spans="1:8" ht="13.5" thickBot="1">
      <c r="A267" s="310"/>
      <c r="B267" s="337" t="s">
        <v>60</v>
      </c>
      <c r="C267" s="1124">
        <f>SUM(C262:C266)</f>
        <v>87898</v>
      </c>
      <c r="D267" s="1124">
        <f>SUM(D262:D266)</f>
        <v>87898</v>
      </c>
      <c r="E267" s="1124">
        <f>SUM(E262:E266)</f>
        <v>88556</v>
      </c>
      <c r="F267" s="1124">
        <f>SUM(F262:F266)</f>
        <v>88634</v>
      </c>
      <c r="G267" s="1124">
        <f>SUM(G262:G266)</f>
        <v>90622</v>
      </c>
      <c r="H267" s="1064">
        <f t="shared" si="3"/>
        <v>1.022429316063813</v>
      </c>
    </row>
    <row r="268" spans="1:9" ht="12.75">
      <c r="A268" s="310"/>
      <c r="B268" s="334" t="s">
        <v>251</v>
      </c>
      <c r="C268" s="1122">
        <v>3628</v>
      </c>
      <c r="D268" s="1122">
        <v>3628</v>
      </c>
      <c r="E268" s="1122">
        <v>690</v>
      </c>
      <c r="F268" s="1122">
        <v>1390</v>
      </c>
      <c r="G268" s="1122">
        <v>1390</v>
      </c>
      <c r="H268" s="317">
        <f t="shared" si="3"/>
        <v>1</v>
      </c>
      <c r="I268" s="709"/>
    </row>
    <row r="269" spans="1:8" ht="12.75">
      <c r="A269" s="310"/>
      <c r="B269" s="334" t="s">
        <v>252</v>
      </c>
      <c r="C269" s="1122"/>
      <c r="D269" s="1122"/>
      <c r="E269" s="1122"/>
      <c r="F269" s="1122"/>
      <c r="G269" s="1122"/>
      <c r="H269" s="317"/>
    </row>
    <row r="270" spans="1:8" ht="13.5" thickBot="1">
      <c r="A270" s="310"/>
      <c r="B270" s="336" t="s">
        <v>448</v>
      </c>
      <c r="C270" s="1122"/>
      <c r="D270" s="1122"/>
      <c r="E270" s="1122"/>
      <c r="F270" s="1122"/>
      <c r="G270" s="1122"/>
      <c r="H270" s="676"/>
    </row>
    <row r="271" spans="1:8" ht="13.5" thickBot="1">
      <c r="A271" s="310"/>
      <c r="B271" s="338" t="s">
        <v>66</v>
      </c>
      <c r="C271" s="1124">
        <f>SUM(C268:C270)</f>
        <v>3628</v>
      </c>
      <c r="D271" s="1124">
        <f>SUM(D268:D270)</f>
        <v>3628</v>
      </c>
      <c r="E271" s="1124">
        <f>SUM(E268:E270)</f>
        <v>690</v>
      </c>
      <c r="F271" s="1124">
        <f>SUM(F268:F270)</f>
        <v>1390</v>
      </c>
      <c r="G271" s="1124">
        <f>SUM(G268:G270)</f>
        <v>1390</v>
      </c>
      <c r="H271" s="1064">
        <f t="shared" si="3"/>
        <v>1</v>
      </c>
    </row>
    <row r="272" spans="1:8" ht="15.75" thickBot="1">
      <c r="A272" s="307"/>
      <c r="B272" s="339" t="s">
        <v>112</v>
      </c>
      <c r="C272" s="970">
        <f>SUM(C267+C271)</f>
        <v>91526</v>
      </c>
      <c r="D272" s="970">
        <f>SUM(D267+D271)</f>
        <v>91526</v>
      </c>
      <c r="E272" s="970">
        <f>SUM(E267+E271)</f>
        <v>89246</v>
      </c>
      <c r="F272" s="970">
        <f>SUM(F267+F271)</f>
        <v>90024</v>
      </c>
      <c r="G272" s="970">
        <f>SUM(G267+G271)</f>
        <v>92012</v>
      </c>
      <c r="H272" s="1064">
        <f t="shared" si="3"/>
        <v>1.0220830000888652</v>
      </c>
    </row>
    <row r="273" spans="1:8" ht="15">
      <c r="A273" s="224">
        <v>2360</v>
      </c>
      <c r="B273" s="341" t="s">
        <v>339</v>
      </c>
      <c r="C273" s="1122"/>
      <c r="D273" s="1122"/>
      <c r="E273" s="1122"/>
      <c r="F273" s="1122"/>
      <c r="G273" s="1122"/>
      <c r="H273" s="317"/>
    </row>
    <row r="274" spans="1:8" ht="12.75" customHeight="1">
      <c r="A274" s="310"/>
      <c r="B274" s="312" t="s">
        <v>191</v>
      </c>
      <c r="C274" s="1125"/>
      <c r="D274" s="1125"/>
      <c r="E274" s="1125"/>
      <c r="F274" s="1125"/>
      <c r="G274" s="1125"/>
      <c r="H274" s="317"/>
    </row>
    <row r="275" spans="1:8" ht="13.5" thickBot="1">
      <c r="A275" s="310"/>
      <c r="B275" s="313" t="s">
        <v>192</v>
      </c>
      <c r="C275" s="1126"/>
      <c r="D275" s="1126"/>
      <c r="E275" s="1126"/>
      <c r="F275" s="1126"/>
      <c r="G275" s="1126">
        <v>180</v>
      </c>
      <c r="H275" s="676"/>
    </row>
    <row r="276" spans="1:8" ht="13.5" thickBot="1">
      <c r="A276" s="310"/>
      <c r="B276" s="314" t="s">
        <v>205</v>
      </c>
      <c r="C276" s="1127"/>
      <c r="D276" s="1127"/>
      <c r="E276" s="1127"/>
      <c r="F276" s="1127"/>
      <c r="G276" s="1136">
        <f>SUM(G273:G275)</f>
        <v>180</v>
      </c>
      <c r="H276" s="1075"/>
    </row>
    <row r="277" spans="1:8" ht="12.75">
      <c r="A277" s="310"/>
      <c r="B277" s="312" t="s">
        <v>194</v>
      </c>
      <c r="C277" s="1122"/>
      <c r="D277" s="1122"/>
      <c r="E277" s="1122"/>
      <c r="F277" s="1122"/>
      <c r="G277" s="1122"/>
      <c r="H277" s="317"/>
    </row>
    <row r="278" spans="1:8" ht="12.75">
      <c r="A278" s="310"/>
      <c r="B278" s="318" t="s">
        <v>195</v>
      </c>
      <c r="C278" s="1128"/>
      <c r="D278" s="1128"/>
      <c r="E278" s="1128"/>
      <c r="F278" s="1128"/>
      <c r="G278" s="1128"/>
      <c r="H278" s="317"/>
    </row>
    <row r="279" spans="1:8" ht="12.75">
      <c r="A279" s="310"/>
      <c r="B279" s="318" t="s">
        <v>196</v>
      </c>
      <c r="C279" s="1128"/>
      <c r="D279" s="1128"/>
      <c r="E279" s="1128"/>
      <c r="F279" s="1128"/>
      <c r="G279" s="1128"/>
      <c r="H279" s="317"/>
    </row>
    <row r="280" spans="1:8" ht="12.75">
      <c r="A280" s="310"/>
      <c r="B280" s="320" t="s">
        <v>197</v>
      </c>
      <c r="C280" s="1122"/>
      <c r="D280" s="1122"/>
      <c r="E280" s="1122"/>
      <c r="F280" s="1122"/>
      <c r="G280" s="1122"/>
      <c r="H280" s="317"/>
    </row>
    <row r="281" spans="1:8" ht="12.75">
      <c r="A281" s="310"/>
      <c r="B281" s="320" t="s">
        <v>198</v>
      </c>
      <c r="C281" s="1122"/>
      <c r="D281" s="1122"/>
      <c r="E281" s="1122"/>
      <c r="F281" s="1122"/>
      <c r="G281" s="1122"/>
      <c r="H281" s="317"/>
    </row>
    <row r="282" spans="1:8" ht="12.75">
      <c r="A282" s="310"/>
      <c r="B282" s="320" t="s">
        <v>199</v>
      </c>
      <c r="C282" s="1122"/>
      <c r="D282" s="1122"/>
      <c r="E282" s="1122"/>
      <c r="F282" s="1122"/>
      <c r="G282" s="1122"/>
      <c r="H282" s="317"/>
    </row>
    <row r="283" spans="1:8" ht="12.75">
      <c r="A283" s="310"/>
      <c r="B283" s="321" t="s">
        <v>468</v>
      </c>
      <c r="C283" s="1122"/>
      <c r="D283" s="1122"/>
      <c r="E283" s="1122"/>
      <c r="F283" s="1122"/>
      <c r="G283" s="1122"/>
      <c r="H283" s="317"/>
    </row>
    <row r="284" spans="1:8" ht="13.5" thickBot="1">
      <c r="A284" s="310"/>
      <c r="B284" s="322" t="s">
        <v>200</v>
      </c>
      <c r="C284" s="1123"/>
      <c r="D284" s="1123"/>
      <c r="E284" s="1123"/>
      <c r="F284" s="1123"/>
      <c r="G284" s="1123"/>
      <c r="H284" s="676"/>
    </row>
    <row r="285" spans="1:8" ht="13.5" thickBot="1">
      <c r="A285" s="310"/>
      <c r="B285" s="324" t="s">
        <v>349</v>
      </c>
      <c r="C285" s="1129"/>
      <c r="D285" s="1129"/>
      <c r="E285" s="1129"/>
      <c r="F285" s="1129"/>
      <c r="G285" s="1129">
        <f>SUM(G280:G284)</f>
        <v>0</v>
      </c>
      <c r="H285" s="1075"/>
    </row>
    <row r="286" spans="1:8" ht="13.5" thickBot="1">
      <c r="A286" s="310"/>
      <c r="B286" s="326" t="s">
        <v>67</v>
      </c>
      <c r="C286" s="1130"/>
      <c r="D286" s="1130"/>
      <c r="E286" s="1130"/>
      <c r="F286" s="1130"/>
      <c r="G286" s="1130">
        <f>G276+G285</f>
        <v>180</v>
      </c>
      <c r="H286" s="1075"/>
    </row>
    <row r="287" spans="1:8" ht="13.5" thickBot="1">
      <c r="A287" s="310"/>
      <c r="B287" s="700" t="s">
        <v>482</v>
      </c>
      <c r="C287" s="1131"/>
      <c r="D287" s="1131"/>
      <c r="E287" s="1131"/>
      <c r="F287" s="1131"/>
      <c r="G287" s="1131"/>
      <c r="H287" s="1075"/>
    </row>
    <row r="288" spans="1:8" ht="13.5" thickBot="1">
      <c r="A288" s="310"/>
      <c r="B288" s="327" t="s">
        <v>68</v>
      </c>
      <c r="C288" s="1132"/>
      <c r="D288" s="1132"/>
      <c r="E288" s="1132"/>
      <c r="F288" s="1132"/>
      <c r="G288" s="1132"/>
      <c r="H288" s="1075"/>
    </row>
    <row r="289" spans="1:8" ht="12.75">
      <c r="A289" s="310"/>
      <c r="B289" s="694" t="s">
        <v>439</v>
      </c>
      <c r="C289" s="1133"/>
      <c r="D289" s="1133"/>
      <c r="E289" s="1133">
        <v>443</v>
      </c>
      <c r="F289" s="1133">
        <v>443</v>
      </c>
      <c r="G289" s="1133">
        <v>443</v>
      </c>
      <c r="H289" s="317">
        <f aca="true" t="shared" si="4" ref="H289:H344">SUM(G289/F289)</f>
        <v>1</v>
      </c>
    </row>
    <row r="290" spans="1:9" ht="13.5" thickBot="1">
      <c r="A290" s="310"/>
      <c r="B290" s="330" t="s">
        <v>475</v>
      </c>
      <c r="C290" s="1123">
        <v>90935</v>
      </c>
      <c r="D290" s="1123">
        <v>90935</v>
      </c>
      <c r="E290" s="1123">
        <v>90502</v>
      </c>
      <c r="F290" s="1123">
        <v>90712</v>
      </c>
      <c r="G290" s="1123">
        <f>90712+1578</f>
        <v>92290</v>
      </c>
      <c r="H290" s="676">
        <f t="shared" si="4"/>
        <v>1.017395713907752</v>
      </c>
      <c r="I290" s="709"/>
    </row>
    <row r="291" spans="1:8" ht="13.5" thickBot="1">
      <c r="A291" s="310"/>
      <c r="B291" s="331" t="s">
        <v>61</v>
      </c>
      <c r="C291" s="1121">
        <f>SUM(C289:C290)</f>
        <v>90935</v>
      </c>
      <c r="D291" s="1121">
        <f>SUM(D289:D290)</f>
        <v>90935</v>
      </c>
      <c r="E291" s="1121">
        <f>SUM(E289:E290)</f>
        <v>90945</v>
      </c>
      <c r="F291" s="1121">
        <f>SUM(F289:F290)</f>
        <v>91155</v>
      </c>
      <c r="G291" s="1121">
        <f>SUM(G289:G290)</f>
        <v>92733</v>
      </c>
      <c r="H291" s="1064">
        <f t="shared" si="4"/>
        <v>1.0173111732762876</v>
      </c>
    </row>
    <row r="292" spans="1:8" ht="13.5" thickBot="1">
      <c r="A292" s="310"/>
      <c r="B292" s="247" t="s">
        <v>439</v>
      </c>
      <c r="C292" s="1131"/>
      <c r="D292" s="1131"/>
      <c r="E292" s="1131">
        <v>694</v>
      </c>
      <c r="F292" s="1131">
        <v>694</v>
      </c>
      <c r="G292" s="1131">
        <v>694</v>
      </c>
      <c r="H292" s="1075">
        <f t="shared" si="4"/>
        <v>1</v>
      </c>
    </row>
    <row r="293" spans="1:8" ht="13.5" thickBot="1">
      <c r="A293" s="310"/>
      <c r="B293" s="331" t="s">
        <v>63</v>
      </c>
      <c r="C293" s="1121"/>
      <c r="D293" s="1121"/>
      <c r="E293" s="1121">
        <f>SUM(E292)</f>
        <v>694</v>
      </c>
      <c r="F293" s="1121">
        <f>SUM(F292)</f>
        <v>694</v>
      </c>
      <c r="G293" s="1121">
        <f>SUM(G292)</f>
        <v>694</v>
      </c>
      <c r="H293" s="1064">
        <f t="shared" si="4"/>
        <v>1</v>
      </c>
    </row>
    <row r="294" spans="1:8" ht="15.75" thickBot="1">
      <c r="A294" s="310"/>
      <c r="B294" s="333" t="s">
        <v>75</v>
      </c>
      <c r="C294" s="970">
        <f>SUM(C286+C288+C291+C293)</f>
        <v>90935</v>
      </c>
      <c r="D294" s="970">
        <f>SUM(D286+D288+D291+D293)</f>
        <v>90935</v>
      </c>
      <c r="E294" s="970">
        <f>SUM(E286+E288+E291+E293)</f>
        <v>91639</v>
      </c>
      <c r="F294" s="970">
        <f>SUM(F286+F288+F291+F293)</f>
        <v>91849</v>
      </c>
      <c r="G294" s="970">
        <f>SUM(G286+G288+G291+G293)</f>
        <v>93607</v>
      </c>
      <c r="H294" s="1064">
        <f t="shared" si="4"/>
        <v>1.019140110398589</v>
      </c>
    </row>
    <row r="295" spans="1:9" ht="12.75">
      <c r="A295" s="310"/>
      <c r="B295" s="334" t="s">
        <v>328</v>
      </c>
      <c r="C295" s="1122">
        <v>73015</v>
      </c>
      <c r="D295" s="1122">
        <v>73015</v>
      </c>
      <c r="E295" s="1122">
        <v>73215</v>
      </c>
      <c r="F295" s="1122">
        <v>73398</v>
      </c>
      <c r="G295" s="1122">
        <f>73398+1366</f>
        <v>74764</v>
      </c>
      <c r="H295" s="317">
        <f t="shared" si="4"/>
        <v>1.0186108613313714</v>
      </c>
      <c r="I295" s="709"/>
    </row>
    <row r="296" spans="1:9" ht="12.75">
      <c r="A296" s="310"/>
      <c r="B296" s="334" t="s">
        <v>329</v>
      </c>
      <c r="C296" s="1122">
        <v>13332</v>
      </c>
      <c r="D296" s="1122">
        <v>13332</v>
      </c>
      <c r="E296" s="1122">
        <v>13548</v>
      </c>
      <c r="F296" s="1122">
        <v>13575</v>
      </c>
      <c r="G296" s="1122">
        <f>13575+212</f>
        <v>13787</v>
      </c>
      <c r="H296" s="317">
        <f t="shared" si="4"/>
        <v>1.0156169429097606</v>
      </c>
      <c r="I296" s="709"/>
    </row>
    <row r="297" spans="1:9" ht="12.75">
      <c r="A297" s="310"/>
      <c r="B297" s="334" t="s">
        <v>330</v>
      </c>
      <c r="C297" s="1122">
        <v>3550</v>
      </c>
      <c r="D297" s="1122">
        <v>3550</v>
      </c>
      <c r="E297" s="1122">
        <v>4160</v>
      </c>
      <c r="F297" s="1122">
        <v>4160</v>
      </c>
      <c r="G297" s="1122">
        <f>4160+180-1</f>
        <v>4339</v>
      </c>
      <c r="H297" s="317">
        <f t="shared" si="4"/>
        <v>1.0430288461538462</v>
      </c>
      <c r="I297" s="709"/>
    </row>
    <row r="298" spans="1:8" ht="12.75">
      <c r="A298" s="310"/>
      <c r="B298" s="335" t="s">
        <v>332</v>
      </c>
      <c r="C298" s="1122"/>
      <c r="D298" s="1122"/>
      <c r="E298" s="1122"/>
      <c r="F298" s="1122"/>
      <c r="G298" s="1122"/>
      <c r="H298" s="317"/>
    </row>
    <row r="299" spans="1:8" ht="13.5" thickBot="1">
      <c r="A299" s="310"/>
      <c r="B299" s="336" t="s">
        <v>331</v>
      </c>
      <c r="C299" s="1122"/>
      <c r="D299" s="1122"/>
      <c r="E299" s="1122"/>
      <c r="F299" s="1122"/>
      <c r="G299" s="1122">
        <v>1</v>
      </c>
      <c r="H299" s="676"/>
    </row>
    <row r="300" spans="1:8" ht="13.5" thickBot="1">
      <c r="A300" s="310"/>
      <c r="B300" s="337" t="s">
        <v>60</v>
      </c>
      <c r="C300" s="1124">
        <f>SUM(C295:C299)</f>
        <v>89897</v>
      </c>
      <c r="D300" s="1124">
        <f>SUM(D295:D299)</f>
        <v>89897</v>
      </c>
      <c r="E300" s="1124">
        <f>SUM(E295:E299)</f>
        <v>90923</v>
      </c>
      <c r="F300" s="1124">
        <f>SUM(F295:F299)</f>
        <v>91133</v>
      </c>
      <c r="G300" s="1124">
        <f>SUM(G295:G299)</f>
        <v>92891</v>
      </c>
      <c r="H300" s="1064">
        <f t="shared" si="4"/>
        <v>1.0192904875292155</v>
      </c>
    </row>
    <row r="301" spans="1:9" ht="12.75">
      <c r="A301" s="310"/>
      <c r="B301" s="334" t="s">
        <v>251</v>
      </c>
      <c r="C301" s="1122">
        <v>1038</v>
      </c>
      <c r="D301" s="1122">
        <v>1038</v>
      </c>
      <c r="E301" s="1122">
        <v>716</v>
      </c>
      <c r="F301" s="1122">
        <v>716</v>
      </c>
      <c r="G301" s="1122">
        <v>716</v>
      </c>
      <c r="H301" s="317">
        <f t="shared" si="4"/>
        <v>1</v>
      </c>
      <c r="I301" s="709"/>
    </row>
    <row r="302" spans="1:8" ht="12.75">
      <c r="A302" s="310"/>
      <c r="B302" s="334" t="s">
        <v>252</v>
      </c>
      <c r="C302" s="1122"/>
      <c r="D302" s="1122"/>
      <c r="E302" s="1122"/>
      <c r="F302" s="1122"/>
      <c r="G302" s="1122"/>
      <c r="H302" s="317"/>
    </row>
    <row r="303" spans="1:8" ht="13.5" thickBot="1">
      <c r="A303" s="310"/>
      <c r="B303" s="336" t="s">
        <v>448</v>
      </c>
      <c r="C303" s="1122"/>
      <c r="D303" s="1122"/>
      <c r="E303" s="1122"/>
      <c r="F303" s="1122"/>
      <c r="G303" s="1122"/>
      <c r="H303" s="676"/>
    </row>
    <row r="304" spans="1:8" ht="13.5" thickBot="1">
      <c r="A304" s="310"/>
      <c r="B304" s="338" t="s">
        <v>66</v>
      </c>
      <c r="C304" s="1124">
        <f>SUM(C301:C303)</f>
        <v>1038</v>
      </c>
      <c r="D304" s="1124">
        <f>SUM(D301:D303)</f>
        <v>1038</v>
      </c>
      <c r="E304" s="1124">
        <f>SUM(E301:E303)</f>
        <v>716</v>
      </c>
      <c r="F304" s="1124">
        <f>SUM(F301:F303)</f>
        <v>716</v>
      </c>
      <c r="G304" s="1124">
        <f>SUM(G301:G303)</f>
        <v>716</v>
      </c>
      <c r="H304" s="1064">
        <f t="shared" si="4"/>
        <v>1</v>
      </c>
    </row>
    <row r="305" spans="1:8" ht="15.75" thickBot="1">
      <c r="A305" s="307"/>
      <c r="B305" s="339" t="s">
        <v>112</v>
      </c>
      <c r="C305" s="970">
        <f>SUM(C300+C304)</f>
        <v>90935</v>
      </c>
      <c r="D305" s="970">
        <f>SUM(D300+D304)</f>
        <v>90935</v>
      </c>
      <c r="E305" s="970">
        <f>SUM(E300+E304)</f>
        <v>91639</v>
      </c>
      <c r="F305" s="970">
        <f>SUM(F300+F304)</f>
        <v>91849</v>
      </c>
      <c r="G305" s="970">
        <f>SUM(G300+G304)</f>
        <v>93607</v>
      </c>
      <c r="H305" s="1064">
        <f t="shared" si="4"/>
        <v>1.019140110398589</v>
      </c>
    </row>
    <row r="306" spans="1:8" ht="15">
      <c r="A306" s="341">
        <v>2499</v>
      </c>
      <c r="B306" s="227" t="s">
        <v>340</v>
      </c>
      <c r="C306" s="1137"/>
      <c r="D306" s="1137"/>
      <c r="E306" s="1137"/>
      <c r="F306" s="1137"/>
      <c r="G306" s="1137"/>
      <c r="H306" s="317"/>
    </row>
    <row r="307" spans="1:8" ht="12.75" customHeight="1">
      <c r="A307" s="341"/>
      <c r="B307" s="312" t="s">
        <v>191</v>
      </c>
      <c r="C307" s="1125"/>
      <c r="D307" s="1125"/>
      <c r="E307" s="1125"/>
      <c r="F307" s="1125"/>
      <c r="G307" s="1125"/>
      <c r="H307" s="317"/>
    </row>
    <row r="308" spans="1:8" ht="12.75" customHeight="1" thickBot="1">
      <c r="A308" s="341"/>
      <c r="B308" s="313" t="s">
        <v>192</v>
      </c>
      <c r="C308" s="1138">
        <f>SUM(C11+C44+C78+C111+C145+C178+C209+C242+C275)</f>
        <v>0</v>
      </c>
      <c r="D308" s="1138">
        <f>SUM(D11+D44+D78+D111+D145+D178+D209+D242+D275)</f>
        <v>0</v>
      </c>
      <c r="E308" s="1138">
        <f>SUM(E11+E44+E78+E111+E145+E178+E209+E242+E275)</f>
        <v>0</v>
      </c>
      <c r="F308" s="1138">
        <f>SUM(F11+F44+F78+F111+F145+F178+F209+F242+F275)</f>
        <v>0</v>
      </c>
      <c r="G308" s="1138">
        <f>SUM(G11+G44+G78+G111+G145+G178+G209+G242+G275)</f>
        <v>1500</v>
      </c>
      <c r="H308" s="676"/>
    </row>
    <row r="309" spans="1:8" ht="12.75" customHeight="1" thickBot="1">
      <c r="A309" s="341"/>
      <c r="B309" s="314" t="s">
        <v>205</v>
      </c>
      <c r="C309" s="1136">
        <f>SUM(C308)</f>
        <v>0</v>
      </c>
      <c r="D309" s="1136">
        <f>SUM(D308)</f>
        <v>0</v>
      </c>
      <c r="E309" s="1136">
        <f>SUM(E308)</f>
        <v>0</v>
      </c>
      <c r="F309" s="1136">
        <f>SUM(F308)</f>
        <v>0</v>
      </c>
      <c r="G309" s="1136">
        <f>SUM(G308)</f>
        <v>1500</v>
      </c>
      <c r="H309" s="1075"/>
    </row>
    <row r="310" spans="1:8" ht="12.75" customHeight="1">
      <c r="A310" s="341"/>
      <c r="B310" s="312" t="s">
        <v>194</v>
      </c>
      <c r="C310" s="1122">
        <f>SUM(C311)</f>
        <v>0</v>
      </c>
      <c r="D310" s="1122">
        <f>SUM(D311)</f>
        <v>0</v>
      </c>
      <c r="E310" s="1122">
        <f>SUM(E311)</f>
        <v>0</v>
      </c>
      <c r="F310" s="1122">
        <f>SUM(F311)</f>
        <v>0</v>
      </c>
      <c r="G310" s="1122">
        <f>SUM(G311)</f>
        <v>0</v>
      </c>
      <c r="H310" s="317"/>
    </row>
    <row r="311" spans="1:8" ht="12.75" customHeight="1">
      <c r="A311" s="341"/>
      <c r="B311" s="318" t="s">
        <v>195</v>
      </c>
      <c r="C311" s="1128">
        <f>SUM(C81)</f>
        <v>0</v>
      </c>
      <c r="D311" s="1128">
        <f>SUM(D81)</f>
        <v>0</v>
      </c>
      <c r="E311" s="1128">
        <f>SUM(E81)</f>
        <v>0</v>
      </c>
      <c r="F311" s="1128">
        <f>SUM(F81)</f>
        <v>0</v>
      </c>
      <c r="G311" s="1128">
        <f>SUM(G81)</f>
        <v>0</v>
      </c>
      <c r="H311" s="317"/>
    </row>
    <row r="312" spans="1:8" ht="12.75" customHeight="1">
      <c r="A312" s="341"/>
      <c r="B312" s="318" t="s">
        <v>196</v>
      </c>
      <c r="C312" s="1128"/>
      <c r="D312" s="1128"/>
      <c r="E312" s="1128"/>
      <c r="F312" s="1128"/>
      <c r="G312" s="1128"/>
      <c r="H312" s="317"/>
    </row>
    <row r="313" spans="1:8" ht="12.75" customHeight="1">
      <c r="A313" s="341"/>
      <c r="B313" s="320" t="s">
        <v>197</v>
      </c>
      <c r="C313" s="1122">
        <f>SUM(C16)</f>
        <v>0</v>
      </c>
      <c r="D313" s="1122">
        <f>SUM(D16)</f>
        <v>0</v>
      </c>
      <c r="E313" s="1122">
        <f>SUM(E16)</f>
        <v>0</v>
      </c>
      <c r="F313" s="1122">
        <f>SUM(F16)</f>
        <v>0</v>
      </c>
      <c r="G313" s="1122">
        <f>SUM(G16)</f>
        <v>91</v>
      </c>
      <c r="H313" s="317"/>
    </row>
    <row r="314" spans="1:8" ht="12.75" customHeight="1">
      <c r="A314" s="341"/>
      <c r="B314" s="320" t="s">
        <v>198</v>
      </c>
      <c r="C314" s="1122"/>
      <c r="D314" s="1122"/>
      <c r="E314" s="1122"/>
      <c r="F314" s="1122"/>
      <c r="G314" s="1122"/>
      <c r="H314" s="317"/>
    </row>
    <row r="315" spans="1:8" ht="13.5" customHeight="1">
      <c r="A315" s="341"/>
      <c r="B315" s="320" t="s">
        <v>199</v>
      </c>
      <c r="C315" s="1122"/>
      <c r="D315" s="1122"/>
      <c r="E315" s="1122"/>
      <c r="F315" s="1122"/>
      <c r="G315" s="1122"/>
      <c r="H315" s="317"/>
    </row>
    <row r="316" spans="1:8" ht="12.75" customHeight="1">
      <c r="A316" s="341"/>
      <c r="B316" s="320" t="s">
        <v>353</v>
      </c>
      <c r="C316" s="1122"/>
      <c r="D316" s="1122"/>
      <c r="E316" s="1122"/>
      <c r="F316" s="1122"/>
      <c r="G316" s="1122"/>
      <c r="H316" s="317"/>
    </row>
    <row r="317" spans="1:8" ht="12.75" customHeight="1">
      <c r="A317" s="341"/>
      <c r="B317" s="321" t="s">
        <v>468</v>
      </c>
      <c r="C317" s="1122"/>
      <c r="D317" s="1122"/>
      <c r="E317" s="1122"/>
      <c r="F317" s="1122"/>
      <c r="G317" s="1122"/>
      <c r="H317" s="317"/>
    </row>
    <row r="318" spans="1:8" ht="12.75" customHeight="1" thickBot="1">
      <c r="A318" s="341"/>
      <c r="B318" s="322" t="s">
        <v>200</v>
      </c>
      <c r="C318" s="1122">
        <f>SUM(C20+C54+C87+C121+C154+C187+C218+C251+C284)</f>
        <v>0</v>
      </c>
      <c r="D318" s="1122">
        <f>SUM(D20+D54+D87+D121+D154+D187+D218+D251+D284)</f>
        <v>0</v>
      </c>
      <c r="E318" s="1122">
        <f>SUM(E20+E54+E87+E121+E154+E187+E218+E251+E284)</f>
        <v>0</v>
      </c>
      <c r="F318" s="1122">
        <f>SUM(F20+F54+F87+F121+F154+F187+F218+F251+F284)</f>
        <v>0</v>
      </c>
      <c r="G318" s="1122">
        <f>SUM(G20+G54+G87+G121+G154+G187+G218+G251+G284)</f>
        <v>55</v>
      </c>
      <c r="H318" s="1076"/>
    </row>
    <row r="319" spans="1:8" ht="12.75" customHeight="1" thickBot="1">
      <c r="A319" s="341"/>
      <c r="B319" s="324" t="s">
        <v>349</v>
      </c>
      <c r="C319" s="1124">
        <f>SUM(C310)</f>
        <v>0</v>
      </c>
      <c r="D319" s="1124">
        <f>SUM(D310)</f>
        <v>0</v>
      </c>
      <c r="E319" s="1124">
        <f>SUM(E310)</f>
        <v>0</v>
      </c>
      <c r="F319" s="1124">
        <f>SUM(F310)</f>
        <v>0</v>
      </c>
      <c r="G319" s="1124">
        <f>SUM(G310)+G313+G314+G315+G316+G317+G318</f>
        <v>146</v>
      </c>
      <c r="H319" s="1075"/>
    </row>
    <row r="320" spans="1:8" ht="12.75" customHeight="1" thickBot="1">
      <c r="A320" s="341"/>
      <c r="B320" s="326" t="s">
        <v>67</v>
      </c>
      <c r="C320" s="1135">
        <f>SUM(C319+C309)</f>
        <v>0</v>
      </c>
      <c r="D320" s="1135">
        <f>SUM(D319+D309)</f>
        <v>0</v>
      </c>
      <c r="E320" s="1135">
        <f>SUM(E319+E309)</f>
        <v>0</v>
      </c>
      <c r="F320" s="1135">
        <f>SUM(F319+F309)</f>
        <v>0</v>
      </c>
      <c r="G320" s="1135">
        <f>SUM(G319+G309)</f>
        <v>1646</v>
      </c>
      <c r="H320" s="1075"/>
    </row>
    <row r="321" spans="1:8" ht="12.75" customHeight="1" thickBot="1">
      <c r="A321" s="341"/>
      <c r="B321" s="700" t="s">
        <v>482</v>
      </c>
      <c r="C321" s="1134">
        <f>SUM(C23+C57+C90+C124+C157+C190+C221+C254+C287)</f>
        <v>0</v>
      </c>
      <c r="D321" s="1134">
        <f>SUM(D23+D57+D90+D124+D157+D190+D221+D254+D287)</f>
        <v>0</v>
      </c>
      <c r="E321" s="1134">
        <f>SUM(E23+E57+E90+E124+E157+E190+E221+E254+E287)</f>
        <v>0</v>
      </c>
      <c r="F321" s="1134">
        <f>SUM(F23+F57+F90+F124+F157+F190+F221+F254+F287)</f>
        <v>0</v>
      </c>
      <c r="G321" s="1134">
        <f>SUM(G23+G57+G90+G124+G157+G190+G221+G254+G287)</f>
        <v>0</v>
      </c>
      <c r="H321" s="1075"/>
    </row>
    <row r="322" spans="1:8" ht="12.75" customHeight="1" thickBot="1">
      <c r="A322" s="341"/>
      <c r="B322" s="327" t="s">
        <v>68</v>
      </c>
      <c r="C322" s="1139">
        <f>SUM(C321)</f>
        <v>0</v>
      </c>
      <c r="D322" s="1139">
        <f>SUM(D321)</f>
        <v>0</v>
      </c>
      <c r="E322" s="1139">
        <f>SUM(E321)</f>
        <v>0</v>
      </c>
      <c r="F322" s="1139">
        <f>SUM(F321)</f>
        <v>0</v>
      </c>
      <c r="G322" s="1139">
        <f>SUM(G321)</f>
        <v>0</v>
      </c>
      <c r="H322" s="1075"/>
    </row>
    <row r="323" spans="1:8" ht="12.75" customHeight="1">
      <c r="A323" s="341"/>
      <c r="B323" s="694" t="s">
        <v>439</v>
      </c>
      <c r="C323" s="1133">
        <f aca="true" t="shared" si="5" ref="C323:E324">SUM(C25+C59+C92+C126+C159+C192+C223+C256+C289)</f>
        <v>0</v>
      </c>
      <c r="D323" s="1133">
        <f t="shared" si="5"/>
        <v>0</v>
      </c>
      <c r="E323" s="1133">
        <f t="shared" si="5"/>
        <v>7309</v>
      </c>
      <c r="F323" s="1133">
        <f aca="true" t="shared" si="6" ref="F323">SUM(F25+F59+F92+F126+F159+F192+F223+F256+F289)</f>
        <v>7309</v>
      </c>
      <c r="G323" s="1133">
        <f aca="true" t="shared" si="7" ref="G323">SUM(G25+G59+G92+G126+G159+G192+G223+G256+G289)</f>
        <v>7309</v>
      </c>
      <c r="H323" s="317">
        <f t="shared" si="4"/>
        <v>1</v>
      </c>
    </row>
    <row r="324" spans="1:9" ht="12.75" customHeight="1" thickBot="1">
      <c r="A324" s="341"/>
      <c r="B324" s="330" t="s">
        <v>475</v>
      </c>
      <c r="C324" s="1123">
        <f t="shared" si="5"/>
        <v>1282135</v>
      </c>
      <c r="D324" s="1123">
        <f t="shared" si="5"/>
        <v>1282135</v>
      </c>
      <c r="E324" s="1123">
        <f t="shared" si="5"/>
        <v>1264741</v>
      </c>
      <c r="F324" s="1123">
        <f aca="true" t="shared" si="8" ref="F324">SUM(F26+F60+F93+F127+F160+F193+F224+F257+F290)</f>
        <v>1269005</v>
      </c>
      <c r="G324" s="1123">
        <f aca="true" t="shared" si="9" ref="G324">SUM(G26+G60+G93+G127+G160+G193+G224+G257+G290)</f>
        <v>1293758</v>
      </c>
      <c r="H324" s="676">
        <f t="shared" si="4"/>
        <v>1.0195058333103495</v>
      </c>
      <c r="I324" s="709"/>
    </row>
    <row r="325" spans="1:8" ht="12.75" customHeight="1" thickBot="1">
      <c r="A325" s="341"/>
      <c r="B325" s="331" t="s">
        <v>61</v>
      </c>
      <c r="C325" s="1121">
        <f>SUM(C323:C324)</f>
        <v>1282135</v>
      </c>
      <c r="D325" s="1121">
        <f>SUM(D323:D324)</f>
        <v>1282135</v>
      </c>
      <c r="E325" s="1121">
        <f>SUM(E323:E324)</f>
        <v>1272050</v>
      </c>
      <c r="F325" s="1121">
        <f>SUM(F323:F324)</f>
        <v>1276314</v>
      </c>
      <c r="G325" s="1121">
        <f>SUM(G323:G324)</f>
        <v>1301067</v>
      </c>
      <c r="H325" s="1064">
        <f t="shared" si="4"/>
        <v>1.0193941302845537</v>
      </c>
    </row>
    <row r="326" spans="1:8" ht="12.75" customHeight="1" thickBot="1">
      <c r="A326" s="341"/>
      <c r="B326" s="247" t="s">
        <v>439</v>
      </c>
      <c r="C326" s="1131">
        <f>SUM(C29+C63+C96+C130+C163+C227+C260+C293)</f>
        <v>0</v>
      </c>
      <c r="D326" s="1131">
        <f>SUM(D29+D63+D96+D130+D163+D227+D260+D293)</f>
        <v>0</v>
      </c>
      <c r="E326" s="1131">
        <f>SUM(E29+E63+E96+E130+E163+E227+E260+E293)</f>
        <v>1795</v>
      </c>
      <c r="F326" s="1131">
        <f>SUM(F29+F63+F96+F130+F163+F227+F260+F293)</f>
        <v>1795</v>
      </c>
      <c r="G326" s="1131">
        <f>SUM(G29+G63+G96+G130+G163+G227+G260+G293)</f>
        <v>1795</v>
      </c>
      <c r="H326" s="1075">
        <f t="shared" si="4"/>
        <v>1</v>
      </c>
    </row>
    <row r="327" spans="1:8" ht="12.75" customHeight="1" thickBot="1">
      <c r="A327" s="341"/>
      <c r="B327" s="331" t="s">
        <v>63</v>
      </c>
      <c r="C327" s="1121">
        <f>SUM(C326)</f>
        <v>0</v>
      </c>
      <c r="D327" s="1121">
        <f>SUM(D326)</f>
        <v>0</v>
      </c>
      <c r="E327" s="1121">
        <f>SUM(E326)</f>
        <v>1795</v>
      </c>
      <c r="F327" s="1121">
        <f>SUM(F326)</f>
        <v>1795</v>
      </c>
      <c r="G327" s="1121">
        <f>SUM(G326)</f>
        <v>1795</v>
      </c>
      <c r="H327" s="1064">
        <f t="shared" si="4"/>
        <v>1</v>
      </c>
    </row>
    <row r="328" spans="1:8" ht="12.75" customHeight="1" thickBot="1">
      <c r="A328" s="341"/>
      <c r="B328" s="343" t="s">
        <v>75</v>
      </c>
      <c r="C328" s="1140">
        <f>SUM(C320+C322+C325+C327)</f>
        <v>1282135</v>
      </c>
      <c r="D328" s="1140">
        <f>SUM(D320+D322+D325+D327)</f>
        <v>1282135</v>
      </c>
      <c r="E328" s="1140">
        <f>SUM(E320+E322+E325+E327)</f>
        <v>1273845</v>
      </c>
      <c r="F328" s="1140">
        <f>SUM(F320+F322+F325+F327)</f>
        <v>1278109</v>
      </c>
      <c r="G328" s="1140">
        <f>SUM(G320+G322+G325+G327)</f>
        <v>1304508</v>
      </c>
      <c r="H328" s="1064">
        <f t="shared" si="4"/>
        <v>1.0206547328905438</v>
      </c>
    </row>
    <row r="329" spans="1:9" ht="15">
      <c r="A329" s="341"/>
      <c r="B329" s="334" t="s">
        <v>328</v>
      </c>
      <c r="C329" s="1122">
        <f aca="true" t="shared" si="10" ref="C329:D333">SUM(C31+C65+C98+C132+C165+C196+C229+C262+C295)</f>
        <v>1015823</v>
      </c>
      <c r="D329" s="1122">
        <f t="shared" si="10"/>
        <v>1015823</v>
      </c>
      <c r="E329" s="1122">
        <f aca="true" t="shared" si="11" ref="E329:F333">SUM(E31+E65+E98+E132+E165+E196+E229+E262+E295)</f>
        <v>1018978</v>
      </c>
      <c r="F329" s="1122">
        <f t="shared" si="11"/>
        <v>1022681</v>
      </c>
      <c r="G329" s="1122">
        <f aca="true" t="shared" si="12" ref="G329">SUM(G31+G65+G98+G132+G165+G196+G229+G262+G295)</f>
        <v>1044110</v>
      </c>
      <c r="H329" s="317">
        <f t="shared" si="4"/>
        <v>1.0209537480406892</v>
      </c>
      <c r="I329" s="709"/>
    </row>
    <row r="330" spans="1:9" ht="12.75">
      <c r="A330" s="310"/>
      <c r="B330" s="334" t="s">
        <v>329</v>
      </c>
      <c r="C330" s="1122">
        <f t="shared" si="10"/>
        <v>195992</v>
      </c>
      <c r="D330" s="1122">
        <f t="shared" si="10"/>
        <v>195992</v>
      </c>
      <c r="E330" s="1122">
        <f t="shared" si="11"/>
        <v>199310</v>
      </c>
      <c r="F330" s="1122">
        <f t="shared" si="11"/>
        <v>199871</v>
      </c>
      <c r="G330" s="1122">
        <f aca="true" t="shared" si="13" ref="G330">SUM(G32+G66+G99+G133+G166+G197+G230+G263+G296)</f>
        <v>203195</v>
      </c>
      <c r="H330" s="317">
        <f t="shared" si="4"/>
        <v>1.0166307268187982</v>
      </c>
      <c r="I330" s="709"/>
    </row>
    <row r="331" spans="1:9" ht="12.75">
      <c r="A331" s="310"/>
      <c r="B331" s="334" t="s">
        <v>330</v>
      </c>
      <c r="C331" s="1122">
        <f t="shared" si="10"/>
        <v>52439</v>
      </c>
      <c r="D331" s="1122">
        <f t="shared" si="10"/>
        <v>52439</v>
      </c>
      <c r="E331" s="1122">
        <f t="shared" si="11"/>
        <v>52587</v>
      </c>
      <c r="F331" s="1122">
        <f t="shared" si="11"/>
        <v>47387</v>
      </c>
      <c r="G331" s="1122">
        <f aca="true" t="shared" si="14" ref="G331">SUM(G33+G67+G100+G134+G167+G198+G231+G264+G297)</f>
        <v>47149</v>
      </c>
      <c r="H331" s="317">
        <f t="shared" si="4"/>
        <v>0.9949775254816722</v>
      </c>
      <c r="I331" s="709"/>
    </row>
    <row r="332" spans="1:8" ht="12.75">
      <c r="A332" s="310"/>
      <c r="B332" s="335" t="s">
        <v>332</v>
      </c>
      <c r="C332" s="1122">
        <f t="shared" si="10"/>
        <v>0</v>
      </c>
      <c r="D332" s="1122">
        <f t="shared" si="10"/>
        <v>0</v>
      </c>
      <c r="E332" s="1122">
        <f t="shared" si="11"/>
        <v>0</v>
      </c>
      <c r="F332" s="1122">
        <f t="shared" si="11"/>
        <v>0</v>
      </c>
      <c r="G332" s="1122">
        <f aca="true" t="shared" si="15" ref="G332">SUM(G34+G68+G101+G135+G168+G199+G232+G265+G298)</f>
        <v>0</v>
      </c>
      <c r="H332" s="317"/>
    </row>
    <row r="333" spans="1:8" ht="13.5" thickBot="1">
      <c r="A333" s="310"/>
      <c r="B333" s="336" t="s">
        <v>331</v>
      </c>
      <c r="C333" s="1122">
        <f t="shared" si="10"/>
        <v>0</v>
      </c>
      <c r="D333" s="1122">
        <f t="shared" si="10"/>
        <v>0</v>
      </c>
      <c r="E333" s="1122">
        <f t="shared" si="11"/>
        <v>0</v>
      </c>
      <c r="F333" s="1122">
        <f t="shared" si="11"/>
        <v>0</v>
      </c>
      <c r="G333" s="1259">
        <f>SUM(G35+G69+G102+G136+G169+G200+G233+G266+G299)</f>
        <v>1484</v>
      </c>
      <c r="H333" s="676"/>
    </row>
    <row r="334" spans="1:8" ht="13.5" thickBot="1">
      <c r="A334" s="310"/>
      <c r="B334" s="337" t="s">
        <v>60</v>
      </c>
      <c r="C334" s="1124">
        <f>SUM(C329:C333)</f>
        <v>1264254</v>
      </c>
      <c r="D334" s="1124">
        <f>SUM(D329:D333)</f>
        <v>1264254</v>
      </c>
      <c r="E334" s="1124">
        <f>SUM(E329:E333)</f>
        <v>1270875</v>
      </c>
      <c r="F334" s="1124">
        <f>SUM(F329:F333)</f>
        <v>1269939</v>
      </c>
      <c r="G334" s="1260">
        <f>SUM(G329:G333)</f>
        <v>1295938</v>
      </c>
      <c r="H334" s="1064">
        <f t="shared" si="4"/>
        <v>1.0204726368746846</v>
      </c>
    </row>
    <row r="335" spans="1:9" ht="12.75">
      <c r="A335" s="310"/>
      <c r="B335" s="334" t="s">
        <v>251</v>
      </c>
      <c r="C335" s="1122">
        <f>SUM(C301+C268+C235+C202+C171+C138+C104+C71+C37)</f>
        <v>17881</v>
      </c>
      <c r="D335" s="1122">
        <f>SUM(D301+D268+D235+D202+D171+D138+D104+D71+D37)</f>
        <v>17881</v>
      </c>
      <c r="E335" s="1122">
        <f>SUM(E301+E268+E235+E202+E171+E138+E104+E71+E37)</f>
        <v>2970</v>
      </c>
      <c r="F335" s="1122">
        <f>SUM(F301+F268+F235+F202+F171+F138+F104+F71+F37)</f>
        <v>8170</v>
      </c>
      <c r="G335" s="1259">
        <f>SUM(G301+G268+G235+G202+G171+G138+G104+G71+G37)</f>
        <v>8570</v>
      </c>
      <c r="H335" s="317">
        <f t="shared" si="4"/>
        <v>1.0489596083231334</v>
      </c>
      <c r="I335" s="709"/>
    </row>
    <row r="336" spans="1:8" ht="12.75">
      <c r="A336" s="310"/>
      <c r="B336" s="334" t="s">
        <v>252</v>
      </c>
      <c r="C336" s="1122">
        <f>C38+C72+C105+C139+C172+C203+C236+C269</f>
        <v>0</v>
      </c>
      <c r="D336" s="1122">
        <f>D38+D72+D105+D139+D172+D203+D236+D269</f>
        <v>0</v>
      </c>
      <c r="E336" s="1122">
        <f>E38+E72+E105+E139+E172+E203+E236+E269</f>
        <v>0</v>
      </c>
      <c r="F336" s="1122">
        <f>F38+F72+F105+F139+F172+F203+F236+F269</f>
        <v>0</v>
      </c>
      <c r="G336" s="1122">
        <f>G38+G72+G105+G139+G172+G203+G236+G269</f>
        <v>0</v>
      </c>
      <c r="H336" s="317"/>
    </row>
    <row r="337" spans="1:8" ht="13.5" thickBot="1">
      <c r="A337" s="310"/>
      <c r="B337" s="336" t="s">
        <v>448</v>
      </c>
      <c r="C337" s="1123"/>
      <c r="D337" s="1123"/>
      <c r="E337" s="1123"/>
      <c r="F337" s="1123"/>
      <c r="G337" s="1123"/>
      <c r="H337" s="676"/>
    </row>
    <row r="338" spans="1:8" ht="13.5" thickBot="1">
      <c r="A338" s="310"/>
      <c r="B338" s="338" t="s">
        <v>66</v>
      </c>
      <c r="C338" s="1124">
        <f>SUM(C335:C337)</f>
        <v>17881</v>
      </c>
      <c r="D338" s="1124">
        <f>SUM(D335:D337)</f>
        <v>17881</v>
      </c>
      <c r="E338" s="1124">
        <f>SUM(E335:E337)</f>
        <v>2970</v>
      </c>
      <c r="F338" s="1124">
        <f>SUM(F335:F337)</f>
        <v>8170</v>
      </c>
      <c r="G338" s="1124">
        <f>SUM(G335:G337)</f>
        <v>8570</v>
      </c>
      <c r="H338" s="1064">
        <f t="shared" si="4"/>
        <v>1.0489596083231334</v>
      </c>
    </row>
    <row r="339" spans="1:8" ht="15.75" thickBot="1">
      <c r="A339" s="307"/>
      <c r="B339" s="339" t="s">
        <v>112</v>
      </c>
      <c r="C339" s="970">
        <f>SUM(C334+C338)</f>
        <v>1282135</v>
      </c>
      <c r="D339" s="970">
        <f>SUM(D334+D338)</f>
        <v>1282135</v>
      </c>
      <c r="E339" s="970">
        <f>SUM(E334+E338)</f>
        <v>1273845</v>
      </c>
      <c r="F339" s="970">
        <f>SUM(F334+F338)</f>
        <v>1278109</v>
      </c>
      <c r="G339" s="970">
        <f>SUM(G334+G338)</f>
        <v>1304508</v>
      </c>
      <c r="H339" s="1237">
        <f t="shared" si="4"/>
        <v>1.0206547328905438</v>
      </c>
    </row>
    <row r="340" spans="1:8" ht="15">
      <c r="A340" s="226">
        <v>2795</v>
      </c>
      <c r="B340" s="344" t="s">
        <v>24</v>
      </c>
      <c r="C340" s="1141"/>
      <c r="D340" s="1141"/>
      <c r="E340" s="1141"/>
      <c r="F340" s="1141"/>
      <c r="G340" s="1141"/>
      <c r="H340" s="317"/>
    </row>
    <row r="341" spans="1:8" ht="12.6" customHeight="1">
      <c r="A341" s="310"/>
      <c r="B341" s="312" t="s">
        <v>191</v>
      </c>
      <c r="C341" s="1125"/>
      <c r="D341" s="1125"/>
      <c r="E341" s="1125"/>
      <c r="F341" s="1125"/>
      <c r="G341" s="1125"/>
      <c r="H341" s="317"/>
    </row>
    <row r="342" spans="1:8" ht="13.5" thickBot="1">
      <c r="A342" s="310"/>
      <c r="B342" s="313" t="s">
        <v>192</v>
      </c>
      <c r="C342" s="1123"/>
      <c r="D342" s="1123"/>
      <c r="E342" s="1123"/>
      <c r="F342" s="1123"/>
      <c r="G342" s="1123"/>
      <c r="H342" s="676"/>
    </row>
    <row r="343" spans="1:8" ht="13.5" thickBot="1">
      <c r="A343" s="310"/>
      <c r="B343" s="314" t="s">
        <v>205</v>
      </c>
      <c r="C343" s="1142"/>
      <c r="D343" s="1142"/>
      <c r="E343" s="1142"/>
      <c r="F343" s="1142"/>
      <c r="G343" s="1142"/>
      <c r="H343" s="1075"/>
    </row>
    <row r="344" spans="1:8" ht="12.75">
      <c r="A344" s="310"/>
      <c r="B344" s="312" t="s">
        <v>194</v>
      </c>
      <c r="C344" s="1122">
        <f>SUM(C345:C346)</f>
        <v>41380</v>
      </c>
      <c r="D344" s="1122">
        <f>SUM(D345:D346)</f>
        <v>41380</v>
      </c>
      <c r="E344" s="1122">
        <f>SUM(E345:E346)</f>
        <v>24451</v>
      </c>
      <c r="F344" s="1122">
        <f>SUM(F345:F346)</f>
        <v>24451</v>
      </c>
      <c r="G344" s="1122">
        <f>SUM(G345:G346)</f>
        <v>24451</v>
      </c>
      <c r="H344" s="317">
        <f t="shared" si="4"/>
        <v>1</v>
      </c>
    </row>
    <row r="345" spans="1:8" ht="12.75">
      <c r="A345" s="310"/>
      <c r="B345" s="318" t="s">
        <v>195</v>
      </c>
      <c r="C345" s="1128"/>
      <c r="D345" s="1128"/>
      <c r="E345" s="1128"/>
      <c r="F345" s="1128"/>
      <c r="G345" s="1128"/>
      <c r="H345" s="317"/>
    </row>
    <row r="346" spans="1:9" ht="12.75">
      <c r="A346" s="310"/>
      <c r="B346" s="318" t="s">
        <v>196</v>
      </c>
      <c r="C346" s="1128">
        <v>41380</v>
      </c>
      <c r="D346" s="1128">
        <v>41380</v>
      </c>
      <c r="E346" s="1128">
        <v>24451</v>
      </c>
      <c r="F346" s="1128">
        <v>24451</v>
      </c>
      <c r="G346" s="1128">
        <v>24451</v>
      </c>
      <c r="H346" s="317">
        <f aca="true" t="shared" si="16" ref="H346:H409">SUM(G346/F346)</f>
        <v>1</v>
      </c>
      <c r="I346" s="709"/>
    </row>
    <row r="347" spans="1:9" ht="12.75">
      <c r="A347" s="310"/>
      <c r="B347" s="320" t="s">
        <v>197</v>
      </c>
      <c r="C347" s="1122">
        <v>8845</v>
      </c>
      <c r="D347" s="1122">
        <v>8845</v>
      </c>
      <c r="E347" s="1122">
        <v>8845</v>
      </c>
      <c r="F347" s="1122">
        <v>8845</v>
      </c>
      <c r="G347" s="1122">
        <v>8845</v>
      </c>
      <c r="H347" s="317">
        <f t="shared" si="16"/>
        <v>1</v>
      </c>
      <c r="I347" s="709"/>
    </row>
    <row r="348" spans="1:9" ht="12.75">
      <c r="A348" s="310"/>
      <c r="B348" s="320" t="s">
        <v>198</v>
      </c>
      <c r="C348" s="1122">
        <v>138949</v>
      </c>
      <c r="D348" s="1122">
        <v>138949</v>
      </c>
      <c r="E348" s="1122">
        <v>138949</v>
      </c>
      <c r="F348" s="1122">
        <v>138949</v>
      </c>
      <c r="G348" s="1122">
        <f>138949-36531</f>
        <v>102418</v>
      </c>
      <c r="H348" s="317">
        <f t="shared" si="16"/>
        <v>0.7370905871938624</v>
      </c>
      <c r="I348" s="709"/>
    </row>
    <row r="349" spans="1:9" ht="12.75">
      <c r="A349" s="310"/>
      <c r="B349" s="320" t="s">
        <v>199</v>
      </c>
      <c r="C349" s="1122">
        <v>51077</v>
      </c>
      <c r="D349" s="1122">
        <v>51077</v>
      </c>
      <c r="E349" s="1122">
        <v>46506</v>
      </c>
      <c r="F349" s="1122">
        <v>46506</v>
      </c>
      <c r="G349" s="1122">
        <f>46506-9863</f>
        <v>36643</v>
      </c>
      <c r="H349" s="317">
        <f t="shared" si="16"/>
        <v>0.7879198383004343</v>
      </c>
      <c r="I349" s="709"/>
    </row>
    <row r="350" spans="1:8" ht="12.75">
      <c r="A350" s="310"/>
      <c r="B350" s="321" t="s">
        <v>468</v>
      </c>
      <c r="C350" s="1122"/>
      <c r="D350" s="1122"/>
      <c r="E350" s="1122"/>
      <c r="F350" s="1122"/>
      <c r="G350" s="1122"/>
      <c r="H350" s="317"/>
    </row>
    <row r="351" spans="1:8" ht="13.5" thickBot="1">
      <c r="A351" s="310"/>
      <c r="B351" s="322" t="s">
        <v>200</v>
      </c>
      <c r="C351" s="1122"/>
      <c r="D351" s="1122"/>
      <c r="E351" s="1122"/>
      <c r="F351" s="1122"/>
      <c r="G351" s="1122">
        <v>1554</v>
      </c>
      <c r="H351" s="676"/>
    </row>
    <row r="352" spans="1:8" ht="13.5" thickBot="1">
      <c r="A352" s="310"/>
      <c r="B352" s="324" t="s">
        <v>349</v>
      </c>
      <c r="C352" s="1124">
        <f>SUM(C344+C347+C348+C349+C351+C350)</f>
        <v>240251</v>
      </c>
      <c r="D352" s="1124">
        <f>SUM(D344+D347+D348+D349+D351+D350)</f>
        <v>240251</v>
      </c>
      <c r="E352" s="1124">
        <f>SUM(E344+E347+E348+E349+E351+E350)</f>
        <v>218751</v>
      </c>
      <c r="F352" s="1124">
        <f>SUM(F344+F347+F348+F349+F351+F350)</f>
        <v>218751</v>
      </c>
      <c r="G352" s="1124">
        <f>SUM(G344+G347+G348+G349+G351+G350)</f>
        <v>173911</v>
      </c>
      <c r="H352" s="1064">
        <f t="shared" si="16"/>
        <v>0.795018079917349</v>
      </c>
    </row>
    <row r="353" spans="1:8" ht="13.5" thickBot="1">
      <c r="A353" s="310"/>
      <c r="B353" s="326" t="s">
        <v>67</v>
      </c>
      <c r="C353" s="1143">
        <f>SUM(C352+C343)</f>
        <v>240251</v>
      </c>
      <c r="D353" s="1143">
        <f>SUM(D352+D343)</f>
        <v>240251</v>
      </c>
      <c r="E353" s="1143">
        <f>SUM(E352+E343)</f>
        <v>218751</v>
      </c>
      <c r="F353" s="1143">
        <f>SUM(F352+F343)</f>
        <v>218751</v>
      </c>
      <c r="G353" s="1143">
        <f>SUM(G352+G343)</f>
        <v>173911</v>
      </c>
      <c r="H353" s="1076">
        <f t="shared" si="16"/>
        <v>0.795018079917349</v>
      </c>
    </row>
    <row r="354" spans="1:8" ht="13.5" thickBot="1">
      <c r="A354" s="310"/>
      <c r="B354" s="700" t="s">
        <v>415</v>
      </c>
      <c r="C354" s="1131"/>
      <c r="D354" s="1131"/>
      <c r="E354" s="1131"/>
      <c r="F354" s="1131"/>
      <c r="G354" s="1131"/>
      <c r="H354" s="1075"/>
    </row>
    <row r="355" spans="1:8" ht="13.5" thickBot="1">
      <c r="A355" s="310"/>
      <c r="B355" s="327" t="s">
        <v>68</v>
      </c>
      <c r="C355" s="1132"/>
      <c r="D355" s="1132"/>
      <c r="E355" s="1132"/>
      <c r="F355" s="1132"/>
      <c r="G355" s="1132"/>
      <c r="H355" s="1075"/>
    </row>
    <row r="356" spans="1:8" ht="12.75">
      <c r="A356" s="310"/>
      <c r="B356" s="694" t="s">
        <v>439</v>
      </c>
      <c r="C356" s="1133"/>
      <c r="D356" s="1133"/>
      <c r="E356" s="1133">
        <v>3097</v>
      </c>
      <c r="F356" s="1133">
        <v>3097</v>
      </c>
      <c r="G356" s="1133">
        <v>3097</v>
      </c>
      <c r="H356" s="317">
        <f t="shared" si="16"/>
        <v>1</v>
      </c>
    </row>
    <row r="357" spans="1:9" ht="12.75">
      <c r="A357" s="310"/>
      <c r="B357" s="329" t="s">
        <v>475</v>
      </c>
      <c r="C357" s="1122">
        <v>1065783</v>
      </c>
      <c r="D357" s="1122">
        <v>1065783</v>
      </c>
      <c r="E357" s="1122">
        <v>1147988</v>
      </c>
      <c r="F357" s="1122">
        <v>1165340</v>
      </c>
      <c r="G357" s="1122">
        <f>1165340+10</f>
        <v>1165350</v>
      </c>
      <c r="H357" s="317">
        <f t="shared" si="16"/>
        <v>1.0000085811866064</v>
      </c>
      <c r="I357" s="997"/>
    </row>
    <row r="358" spans="1:9" ht="13.5" thickBot="1">
      <c r="A358" s="310"/>
      <c r="B358" s="330" t="s">
        <v>478</v>
      </c>
      <c r="C358" s="1123">
        <v>396792</v>
      </c>
      <c r="D358" s="1123">
        <v>396792</v>
      </c>
      <c r="E358" s="1123">
        <v>437792</v>
      </c>
      <c r="F358" s="1123">
        <v>437792</v>
      </c>
      <c r="G358" s="1123">
        <f>437792-66402</f>
        <v>371390</v>
      </c>
      <c r="H358" s="676">
        <f t="shared" si="16"/>
        <v>0.8483252320736788</v>
      </c>
      <c r="I358" s="997"/>
    </row>
    <row r="359" spans="1:8" ht="13.5" thickBot="1">
      <c r="A359" s="310"/>
      <c r="B359" s="331" t="s">
        <v>61</v>
      </c>
      <c r="C359" s="1121">
        <f>SUM(C356:C358)</f>
        <v>1462575</v>
      </c>
      <c r="D359" s="1121">
        <f>SUM(D356:D358)</f>
        <v>1462575</v>
      </c>
      <c r="E359" s="1121">
        <f>SUM(E356:E358)</f>
        <v>1588877</v>
      </c>
      <c r="F359" s="1121">
        <f>SUM(F356:F358)</f>
        <v>1606229</v>
      </c>
      <c r="G359" s="1121">
        <f>SUM(G356:G358)</f>
        <v>1539837</v>
      </c>
      <c r="H359" s="1076">
        <f t="shared" si="16"/>
        <v>0.9586659187450856</v>
      </c>
    </row>
    <row r="360" spans="1:8" ht="13.5" thickBot="1">
      <c r="A360" s="310"/>
      <c r="B360" s="247" t="s">
        <v>439</v>
      </c>
      <c r="C360" s="1131"/>
      <c r="D360" s="1131"/>
      <c r="E360" s="1131">
        <v>6740</v>
      </c>
      <c r="F360" s="1131">
        <v>6740</v>
      </c>
      <c r="G360" s="1131">
        <v>6740</v>
      </c>
      <c r="H360" s="1075">
        <f t="shared" si="16"/>
        <v>1</v>
      </c>
    </row>
    <row r="361" spans="1:8" ht="13.5" thickBot="1">
      <c r="A361" s="310"/>
      <c r="B361" s="331" t="s">
        <v>63</v>
      </c>
      <c r="C361" s="1121">
        <f>SUM(C360)</f>
        <v>0</v>
      </c>
      <c r="D361" s="1121">
        <f>SUM(D360)</f>
        <v>0</v>
      </c>
      <c r="E361" s="1121">
        <f>SUM(E360)</f>
        <v>6740</v>
      </c>
      <c r="F361" s="1121">
        <f>SUM(F360)</f>
        <v>6740</v>
      </c>
      <c r="G361" s="1121">
        <f>SUM(G360)</f>
        <v>6740</v>
      </c>
      <c r="H361" s="1064">
        <f t="shared" si="16"/>
        <v>1</v>
      </c>
    </row>
    <row r="362" spans="1:8" ht="15.75" thickBot="1">
      <c r="A362" s="310"/>
      <c r="B362" s="333" t="s">
        <v>75</v>
      </c>
      <c r="C362" s="970">
        <f>SUM(C353+C355+C359)</f>
        <v>1702826</v>
      </c>
      <c r="D362" s="970">
        <f>SUM(D353+D355+D359)</f>
        <v>1702826</v>
      </c>
      <c r="E362" s="970">
        <f>SUM(E353+E355+E359+E361)</f>
        <v>1814368</v>
      </c>
      <c r="F362" s="970">
        <f>SUM(F353+F355+F359+F361)</f>
        <v>1831720</v>
      </c>
      <c r="G362" s="970">
        <f>SUM(G353+G355+G359+G361)</f>
        <v>1720488</v>
      </c>
      <c r="H362" s="1064">
        <f t="shared" si="16"/>
        <v>0.9392745616142205</v>
      </c>
    </row>
    <row r="363" spans="1:9" ht="12.75">
      <c r="A363" s="310"/>
      <c r="B363" s="334" t="s">
        <v>328</v>
      </c>
      <c r="C363" s="1122">
        <v>534440</v>
      </c>
      <c r="D363" s="1122">
        <v>534440</v>
      </c>
      <c r="E363" s="1122">
        <v>529011</v>
      </c>
      <c r="F363" s="1122">
        <v>542058</v>
      </c>
      <c r="G363" s="1122">
        <f>542058+9</f>
        <v>542067</v>
      </c>
      <c r="H363" s="317">
        <f t="shared" si="16"/>
        <v>1.0000166033893052</v>
      </c>
      <c r="I363" s="709"/>
    </row>
    <row r="364" spans="1:9" ht="12.75">
      <c r="A364" s="310"/>
      <c r="B364" s="334" t="s">
        <v>329</v>
      </c>
      <c r="C364" s="1122">
        <v>107288</v>
      </c>
      <c r="D364" s="1122">
        <v>107288</v>
      </c>
      <c r="E364" s="1122">
        <v>107676</v>
      </c>
      <c r="F364" s="1122">
        <v>109633</v>
      </c>
      <c r="G364" s="1122">
        <f>109633+1</f>
        <v>109634</v>
      </c>
      <c r="H364" s="317">
        <f t="shared" si="16"/>
        <v>1.000009121341202</v>
      </c>
      <c r="I364" s="709"/>
    </row>
    <row r="365" spans="1:9" ht="12.75">
      <c r="A365" s="310"/>
      <c r="B365" s="334" t="s">
        <v>330</v>
      </c>
      <c r="C365" s="1122">
        <v>1049978</v>
      </c>
      <c r="D365" s="1122">
        <v>1049978</v>
      </c>
      <c r="E365" s="1122">
        <v>1156561</v>
      </c>
      <c r="F365" s="1122">
        <v>1143909</v>
      </c>
      <c r="G365" s="1122">
        <f>1143909-66402-44840</f>
        <v>1032667</v>
      </c>
      <c r="H365" s="317">
        <f t="shared" si="16"/>
        <v>0.9027527539340979</v>
      </c>
      <c r="I365" s="709"/>
    </row>
    <row r="366" spans="1:8" ht="12.75">
      <c r="A366" s="310"/>
      <c r="B366" s="335" t="s">
        <v>332</v>
      </c>
      <c r="C366" s="1122"/>
      <c r="D366" s="1122"/>
      <c r="E366" s="1122"/>
      <c r="F366" s="1122"/>
      <c r="G366" s="1122"/>
      <c r="H366" s="317"/>
    </row>
    <row r="367" spans="1:8" ht="13.5" thickBot="1">
      <c r="A367" s="310"/>
      <c r="B367" s="336" t="s">
        <v>331</v>
      </c>
      <c r="C367" s="1122"/>
      <c r="D367" s="1122"/>
      <c r="E367" s="1122"/>
      <c r="F367" s="1122"/>
      <c r="G367" s="1122"/>
      <c r="H367" s="676"/>
    </row>
    <row r="368" spans="1:8" ht="13.5" thickBot="1">
      <c r="A368" s="310"/>
      <c r="B368" s="337" t="s">
        <v>60</v>
      </c>
      <c r="C368" s="1124">
        <f>SUM(C363:C367)</f>
        <v>1691706</v>
      </c>
      <c r="D368" s="1124">
        <f>SUM(D363:D367)</f>
        <v>1691706</v>
      </c>
      <c r="E368" s="1124">
        <f>SUM(E363:E367)</f>
        <v>1793248</v>
      </c>
      <c r="F368" s="1124">
        <f>SUM(F363:F367)</f>
        <v>1795600</v>
      </c>
      <c r="G368" s="1124">
        <f>SUM(G363:G367)</f>
        <v>1684368</v>
      </c>
      <c r="H368" s="1064">
        <f t="shared" si="16"/>
        <v>0.9380530184896414</v>
      </c>
    </row>
    <row r="369" spans="1:8" ht="12.75">
      <c r="A369" s="310"/>
      <c r="B369" s="334" t="s">
        <v>251</v>
      </c>
      <c r="C369" s="1122">
        <v>11120</v>
      </c>
      <c r="D369" s="1122">
        <v>11120</v>
      </c>
      <c r="E369" s="1122">
        <v>21120</v>
      </c>
      <c r="F369" s="1122">
        <v>36120</v>
      </c>
      <c r="G369" s="1122">
        <v>36120</v>
      </c>
      <c r="H369" s="317">
        <f t="shared" si="16"/>
        <v>1</v>
      </c>
    </row>
    <row r="370" spans="1:8" ht="12.75">
      <c r="A370" s="310"/>
      <c r="B370" s="334" t="s">
        <v>252</v>
      </c>
      <c r="C370" s="1122"/>
      <c r="D370" s="1122"/>
      <c r="E370" s="1122"/>
      <c r="F370" s="1122"/>
      <c r="G370" s="1122"/>
      <c r="H370" s="317"/>
    </row>
    <row r="371" spans="1:8" ht="13.5" thickBot="1">
      <c r="A371" s="310"/>
      <c r="B371" s="336" t="s">
        <v>448</v>
      </c>
      <c r="C371" s="1129"/>
      <c r="D371" s="1129"/>
      <c r="E371" s="1129"/>
      <c r="F371" s="1129"/>
      <c r="G371" s="1129"/>
      <c r="H371" s="676"/>
    </row>
    <row r="372" spans="1:8" ht="13.5" thickBot="1">
      <c r="A372" s="310"/>
      <c r="B372" s="338" t="s">
        <v>66</v>
      </c>
      <c r="C372" s="1129">
        <f>SUM(C369:C371)</f>
        <v>11120</v>
      </c>
      <c r="D372" s="1129">
        <f>SUM(D369:D371)</f>
        <v>11120</v>
      </c>
      <c r="E372" s="1129">
        <f>SUM(E369:E371)</f>
        <v>21120</v>
      </c>
      <c r="F372" s="1129">
        <f>SUM(F369:F371)</f>
        <v>36120</v>
      </c>
      <c r="G372" s="1129">
        <f>SUM(G369:G371)</f>
        <v>36120</v>
      </c>
      <c r="H372" s="1064">
        <f t="shared" si="16"/>
        <v>1</v>
      </c>
    </row>
    <row r="373" spans="1:8" ht="15.75" thickBot="1">
      <c r="A373" s="307"/>
      <c r="B373" s="339" t="s">
        <v>112</v>
      </c>
      <c r="C373" s="970">
        <f>SUM(C368+C372)</f>
        <v>1702826</v>
      </c>
      <c r="D373" s="970">
        <f>SUM(D368+D372)</f>
        <v>1702826</v>
      </c>
      <c r="E373" s="970">
        <f>SUM(E368+E372)</f>
        <v>1814368</v>
      </c>
      <c r="F373" s="970">
        <f>SUM(F368+F372)</f>
        <v>1831720</v>
      </c>
      <c r="G373" s="970">
        <f>SUM(G368+G372)</f>
        <v>1720488</v>
      </c>
      <c r="H373" s="1076">
        <f t="shared" si="16"/>
        <v>0.9392745616142205</v>
      </c>
    </row>
    <row r="374" spans="1:8" ht="15">
      <c r="A374" s="224">
        <v>2799</v>
      </c>
      <c r="B374" s="227" t="s">
        <v>84</v>
      </c>
      <c r="C374" s="1137"/>
      <c r="D374" s="1137"/>
      <c r="E374" s="1137"/>
      <c r="F374" s="1137"/>
      <c r="G374" s="1137"/>
      <c r="H374" s="317"/>
    </row>
    <row r="375" spans="1:8" ht="12.75">
      <c r="A375" s="310"/>
      <c r="B375" s="312" t="s">
        <v>191</v>
      </c>
      <c r="C375" s="1125"/>
      <c r="D375" s="1125"/>
      <c r="E375" s="1125"/>
      <c r="F375" s="1125"/>
      <c r="G375" s="1125"/>
      <c r="H375" s="317"/>
    </row>
    <row r="376" spans="1:8" ht="13.5" thickBot="1">
      <c r="A376" s="310"/>
      <c r="B376" s="313" t="s">
        <v>192</v>
      </c>
      <c r="C376" s="1138">
        <f>C308+C342</f>
        <v>0</v>
      </c>
      <c r="D376" s="1138">
        <f>D308+D342</f>
        <v>0</v>
      </c>
      <c r="E376" s="1138">
        <f>E308+E342</f>
        <v>0</v>
      </c>
      <c r="F376" s="1138">
        <f>F308+F342</f>
        <v>0</v>
      </c>
      <c r="G376" s="1138">
        <f>G308+G342</f>
        <v>1500</v>
      </c>
      <c r="H376" s="676"/>
    </row>
    <row r="377" spans="1:8" ht="13.5" thickBot="1">
      <c r="A377" s="310"/>
      <c r="B377" s="314" t="s">
        <v>205</v>
      </c>
      <c r="C377" s="1136">
        <f>SUM(C376)</f>
        <v>0</v>
      </c>
      <c r="D377" s="1136">
        <f>SUM(D376)</f>
        <v>0</v>
      </c>
      <c r="E377" s="1136">
        <f>SUM(E376)</f>
        <v>0</v>
      </c>
      <c r="F377" s="1136">
        <f>SUM(F376)</f>
        <v>0</v>
      </c>
      <c r="G377" s="1136">
        <f>SUM(G376)</f>
        <v>1500</v>
      </c>
      <c r="H377" s="1075"/>
    </row>
    <row r="378" spans="1:8" ht="12.75">
      <c r="A378" s="310"/>
      <c r="B378" s="312" t="s">
        <v>194</v>
      </c>
      <c r="C378" s="1122">
        <f>SUM(C379:C380)</f>
        <v>41380</v>
      </c>
      <c r="D378" s="1122">
        <f>SUM(D379:D380)</f>
        <v>41380</v>
      </c>
      <c r="E378" s="1122">
        <f>SUM(E379:E380)</f>
        <v>24451</v>
      </c>
      <c r="F378" s="1122">
        <f>SUM(F379:F380)</f>
        <v>24451</v>
      </c>
      <c r="G378" s="1122">
        <f>SUM(G379:G380)</f>
        <v>24451</v>
      </c>
      <c r="H378" s="317">
        <f t="shared" si="16"/>
        <v>1</v>
      </c>
    </row>
    <row r="379" spans="1:8" ht="12.75">
      <c r="A379" s="310"/>
      <c r="B379" s="318" t="s">
        <v>195</v>
      </c>
      <c r="C379" s="1128">
        <f aca="true" t="shared" si="17" ref="C379:D383">SUM(C345+C311)</f>
        <v>0</v>
      </c>
      <c r="D379" s="1128">
        <f t="shared" si="17"/>
        <v>0</v>
      </c>
      <c r="E379" s="1128">
        <f aca="true" t="shared" si="18" ref="E379:F383">SUM(E345+E311)</f>
        <v>0</v>
      </c>
      <c r="F379" s="1128">
        <f t="shared" si="18"/>
        <v>0</v>
      </c>
      <c r="G379" s="1128">
        <f aca="true" t="shared" si="19" ref="G379">SUM(G345+G311)</f>
        <v>0</v>
      </c>
      <c r="H379" s="317"/>
    </row>
    <row r="380" spans="1:9" ht="12.75">
      <c r="A380" s="310"/>
      <c r="B380" s="318" t="s">
        <v>196</v>
      </c>
      <c r="C380" s="1128">
        <f t="shared" si="17"/>
        <v>41380</v>
      </c>
      <c r="D380" s="1128">
        <f t="shared" si="17"/>
        <v>41380</v>
      </c>
      <c r="E380" s="1128">
        <f t="shared" si="18"/>
        <v>24451</v>
      </c>
      <c r="F380" s="1128">
        <f t="shared" si="18"/>
        <v>24451</v>
      </c>
      <c r="G380" s="1128">
        <f aca="true" t="shared" si="20" ref="G380">SUM(G346+G312)</f>
        <v>24451</v>
      </c>
      <c r="H380" s="317">
        <f t="shared" si="16"/>
        <v>1</v>
      </c>
      <c r="I380" s="709"/>
    </row>
    <row r="381" spans="1:9" ht="12.75">
      <c r="A381" s="310"/>
      <c r="B381" s="320" t="s">
        <v>197</v>
      </c>
      <c r="C381" s="1122">
        <f t="shared" si="17"/>
        <v>8845</v>
      </c>
      <c r="D381" s="1122">
        <f t="shared" si="17"/>
        <v>8845</v>
      </c>
      <c r="E381" s="1122">
        <f t="shared" si="18"/>
        <v>8845</v>
      </c>
      <c r="F381" s="1122">
        <f t="shared" si="18"/>
        <v>8845</v>
      </c>
      <c r="G381" s="1122">
        <f aca="true" t="shared" si="21" ref="G381">SUM(G347+G313)</f>
        <v>8936</v>
      </c>
      <c r="H381" s="317">
        <f t="shared" si="16"/>
        <v>1.010288298473714</v>
      </c>
      <c r="I381" s="709"/>
    </row>
    <row r="382" spans="1:9" ht="12.75">
      <c r="A382" s="310"/>
      <c r="B382" s="320" t="s">
        <v>198</v>
      </c>
      <c r="C382" s="1122">
        <f t="shared" si="17"/>
        <v>138949</v>
      </c>
      <c r="D382" s="1122">
        <f t="shared" si="17"/>
        <v>138949</v>
      </c>
      <c r="E382" s="1122">
        <f t="shared" si="18"/>
        <v>138949</v>
      </c>
      <c r="F382" s="1122">
        <f t="shared" si="18"/>
        <v>138949</v>
      </c>
      <c r="G382" s="1122">
        <f aca="true" t="shared" si="22" ref="G382">SUM(G348+G314)</f>
        <v>102418</v>
      </c>
      <c r="H382" s="317">
        <f t="shared" si="16"/>
        <v>0.7370905871938624</v>
      </c>
      <c r="I382" s="709"/>
    </row>
    <row r="383" spans="1:9" ht="12.75">
      <c r="A383" s="310"/>
      <c r="B383" s="320" t="s">
        <v>199</v>
      </c>
      <c r="C383" s="1122">
        <f t="shared" si="17"/>
        <v>51077</v>
      </c>
      <c r="D383" s="1122">
        <f t="shared" si="17"/>
        <v>51077</v>
      </c>
      <c r="E383" s="1122">
        <f t="shared" si="18"/>
        <v>46506</v>
      </c>
      <c r="F383" s="1122">
        <f t="shared" si="18"/>
        <v>46506</v>
      </c>
      <c r="G383" s="1122">
        <f aca="true" t="shared" si="23" ref="G383">SUM(G349+G315)</f>
        <v>36643</v>
      </c>
      <c r="H383" s="317">
        <f t="shared" si="16"/>
        <v>0.7879198383004343</v>
      </c>
      <c r="I383" s="709"/>
    </row>
    <row r="384" spans="1:8" ht="12.75">
      <c r="A384" s="310"/>
      <c r="B384" s="320" t="s">
        <v>353</v>
      </c>
      <c r="C384" s="1122">
        <f>C316</f>
        <v>0</v>
      </c>
      <c r="D384" s="1122">
        <f>D316</f>
        <v>0</v>
      </c>
      <c r="E384" s="1122">
        <f>E316</f>
        <v>0</v>
      </c>
      <c r="F384" s="1122">
        <f>F316</f>
        <v>0</v>
      </c>
      <c r="G384" s="1122">
        <f>G316</f>
        <v>0</v>
      </c>
      <c r="H384" s="317"/>
    </row>
    <row r="385" spans="1:8" ht="12.75">
      <c r="A385" s="310"/>
      <c r="B385" s="321" t="s">
        <v>468</v>
      </c>
      <c r="C385" s="1122">
        <f aca="true" t="shared" si="24" ref="C385:E386">SUM(C350+C317)</f>
        <v>0</v>
      </c>
      <c r="D385" s="1122">
        <f t="shared" si="24"/>
        <v>0</v>
      </c>
      <c r="E385" s="1122">
        <f t="shared" si="24"/>
        <v>0</v>
      </c>
      <c r="F385" s="1122">
        <f aca="true" t="shared" si="25" ref="F385">SUM(F350+F317)</f>
        <v>0</v>
      </c>
      <c r="G385" s="1122">
        <f aca="true" t="shared" si="26" ref="G385">SUM(G350+G317)</f>
        <v>0</v>
      </c>
      <c r="H385" s="317"/>
    </row>
    <row r="386" spans="1:8" ht="13.5" thickBot="1">
      <c r="A386" s="310"/>
      <c r="B386" s="322" t="s">
        <v>200</v>
      </c>
      <c r="C386" s="1122">
        <f t="shared" si="24"/>
        <v>0</v>
      </c>
      <c r="D386" s="1122">
        <f t="shared" si="24"/>
        <v>0</v>
      </c>
      <c r="E386" s="1122">
        <f t="shared" si="24"/>
        <v>0</v>
      </c>
      <c r="F386" s="1122">
        <f aca="true" t="shared" si="27" ref="F386">SUM(F351+F318)</f>
        <v>0</v>
      </c>
      <c r="G386" s="1122">
        <f aca="true" t="shared" si="28" ref="G386">SUM(G351+G318)</f>
        <v>1609</v>
      </c>
      <c r="H386" s="676"/>
    </row>
    <row r="387" spans="1:8" ht="13.5" thickBot="1">
      <c r="A387" s="310"/>
      <c r="B387" s="324" t="s">
        <v>349</v>
      </c>
      <c r="C387" s="1124">
        <f>SUM(C378+C381+C382+C383+C386+C384+C385)</f>
        <v>240251</v>
      </c>
      <c r="D387" s="1124">
        <f>SUM(D378+D381+D382+D383+D386+D384+D385)</f>
        <v>240251</v>
      </c>
      <c r="E387" s="1124">
        <f>SUM(E378+E381+E382+E383+E386+E384+E385)</f>
        <v>218751</v>
      </c>
      <c r="F387" s="1124">
        <f>SUM(F378+F381+F382+F383+F386+F384+F385)</f>
        <v>218751</v>
      </c>
      <c r="G387" s="1124">
        <f>SUM(G378+G381+G382+G383+G386+G384+G385)</f>
        <v>174057</v>
      </c>
      <c r="H387" s="1064">
        <f t="shared" si="16"/>
        <v>0.7956855054376895</v>
      </c>
    </row>
    <row r="388" spans="1:8" ht="13.5" thickBot="1">
      <c r="A388" s="310"/>
      <c r="B388" s="326" t="s">
        <v>67</v>
      </c>
      <c r="C388" s="1135">
        <f>SUM(C387+C377)</f>
        <v>240251</v>
      </c>
      <c r="D388" s="1135">
        <f>SUM(D387+D377)</f>
        <v>240251</v>
      </c>
      <c r="E388" s="1135">
        <f>SUM(E387+E377)</f>
        <v>218751</v>
      </c>
      <c r="F388" s="1135">
        <f>SUM(F387+F377)</f>
        <v>218751</v>
      </c>
      <c r="G388" s="1135">
        <f>SUM(G387+G377)</f>
        <v>175557</v>
      </c>
      <c r="H388" s="1076">
        <f t="shared" si="16"/>
        <v>0.8025426169480369</v>
      </c>
    </row>
    <row r="389" spans="1:8" ht="12.75">
      <c r="A389" s="310"/>
      <c r="B389" s="707" t="s">
        <v>482</v>
      </c>
      <c r="C389" s="1144">
        <f>SUM(C321)</f>
        <v>0</v>
      </c>
      <c r="D389" s="1144">
        <f>SUM(D321)</f>
        <v>0</v>
      </c>
      <c r="E389" s="1144">
        <f>SUM(E321)</f>
        <v>0</v>
      </c>
      <c r="F389" s="1144">
        <f>SUM(F321)</f>
        <v>0</v>
      </c>
      <c r="G389" s="1144">
        <f>SUM(G321)</f>
        <v>0</v>
      </c>
      <c r="H389" s="317"/>
    </row>
    <row r="390" spans="1:8" ht="13.5" thickBot="1">
      <c r="A390" s="310"/>
      <c r="B390" s="700" t="s">
        <v>483</v>
      </c>
      <c r="C390" s="1131">
        <f>SUM(C354)</f>
        <v>0</v>
      </c>
      <c r="D390" s="1131">
        <f>SUM(D354)</f>
        <v>0</v>
      </c>
      <c r="E390" s="1131">
        <f>SUM(E354)</f>
        <v>0</v>
      </c>
      <c r="F390" s="1131">
        <f>SUM(F354)</f>
        <v>0</v>
      </c>
      <c r="G390" s="1131">
        <f>SUM(G354)</f>
        <v>0</v>
      </c>
      <c r="H390" s="676"/>
    </row>
    <row r="391" spans="1:8" ht="13.5" thickBot="1">
      <c r="A391" s="310"/>
      <c r="B391" s="327" t="s">
        <v>68</v>
      </c>
      <c r="C391" s="1145">
        <f>SUM(C389:C390)</f>
        <v>0</v>
      </c>
      <c r="D391" s="1145">
        <f>SUM(D389:D390)</f>
        <v>0</v>
      </c>
      <c r="E391" s="1145">
        <f>SUM(E389:E390)</f>
        <v>0</v>
      </c>
      <c r="F391" s="1145">
        <f>SUM(F389:F390)</f>
        <v>0</v>
      </c>
      <c r="G391" s="1145">
        <f>SUM(G389:G390)</f>
        <v>0</v>
      </c>
      <c r="H391" s="1075"/>
    </row>
    <row r="392" spans="1:8" ht="12.75">
      <c r="A392" s="310"/>
      <c r="B392" s="694" t="s">
        <v>439</v>
      </c>
      <c r="C392" s="1133">
        <f aca="true" t="shared" si="29" ref="C392:E393">SUM(C356+C323)</f>
        <v>0</v>
      </c>
      <c r="D392" s="1133">
        <f t="shared" si="29"/>
        <v>0</v>
      </c>
      <c r="E392" s="1133">
        <f t="shared" si="29"/>
        <v>10406</v>
      </c>
      <c r="F392" s="1133">
        <f aca="true" t="shared" si="30" ref="F392">SUM(F356+F323)</f>
        <v>10406</v>
      </c>
      <c r="G392" s="1133">
        <f aca="true" t="shared" si="31" ref="G392">SUM(G356+G323)</f>
        <v>10406</v>
      </c>
      <c r="H392" s="317">
        <f t="shared" si="16"/>
        <v>1</v>
      </c>
    </row>
    <row r="393" spans="1:9" ht="12.75">
      <c r="A393" s="310"/>
      <c r="B393" s="329" t="s">
        <v>475</v>
      </c>
      <c r="C393" s="1122">
        <f t="shared" si="29"/>
        <v>2347918</v>
      </c>
      <c r="D393" s="1122">
        <f t="shared" si="29"/>
        <v>2347918</v>
      </c>
      <c r="E393" s="1122">
        <f t="shared" si="29"/>
        <v>2412729</v>
      </c>
      <c r="F393" s="1122">
        <f aca="true" t="shared" si="32" ref="F393">SUM(F357+F324)</f>
        <v>2434345</v>
      </c>
      <c r="G393" s="1122">
        <f aca="true" t="shared" si="33" ref="G393">SUM(G357+G324)</f>
        <v>2459108</v>
      </c>
      <c r="H393" s="317">
        <f t="shared" si="16"/>
        <v>1.0101723461547152</v>
      </c>
      <c r="I393" s="709"/>
    </row>
    <row r="394" spans="1:9" ht="13.5" thickBot="1">
      <c r="A394" s="310"/>
      <c r="B394" s="330" t="s">
        <v>478</v>
      </c>
      <c r="C394" s="1123">
        <f>SUM(C358)</f>
        <v>396792</v>
      </c>
      <c r="D394" s="1123">
        <f>SUM(D358)</f>
        <v>396792</v>
      </c>
      <c r="E394" s="1123">
        <f>SUM(E358)</f>
        <v>437792</v>
      </c>
      <c r="F394" s="1123">
        <f>SUM(F358)</f>
        <v>437792</v>
      </c>
      <c r="G394" s="1123">
        <f>SUM(G358)</f>
        <v>371390</v>
      </c>
      <c r="H394" s="676">
        <f t="shared" si="16"/>
        <v>0.8483252320736788</v>
      </c>
      <c r="I394" s="709"/>
    </row>
    <row r="395" spans="1:8" ht="13.5" thickBot="1">
      <c r="A395" s="310"/>
      <c r="B395" s="331" t="s">
        <v>61</v>
      </c>
      <c r="C395" s="1121">
        <f>SUM(C392:C394)</f>
        <v>2744710</v>
      </c>
      <c r="D395" s="1121">
        <f>SUM(D392:D394)</f>
        <v>2744710</v>
      </c>
      <c r="E395" s="1121">
        <f>SUM(E392:E394)</f>
        <v>2860927</v>
      </c>
      <c r="F395" s="1121">
        <f>SUM(F392:F394)</f>
        <v>2882543</v>
      </c>
      <c r="G395" s="1121">
        <f>SUM(G392:G394)</f>
        <v>2840904</v>
      </c>
      <c r="H395" s="1064">
        <f t="shared" si="16"/>
        <v>0.9855547688273861</v>
      </c>
    </row>
    <row r="396" spans="1:8" ht="13.5" thickBot="1">
      <c r="A396" s="310"/>
      <c r="B396" s="247" t="s">
        <v>439</v>
      </c>
      <c r="C396" s="1131">
        <f>SUM(C327)</f>
        <v>0</v>
      </c>
      <c r="D396" s="1131">
        <f>SUM(D327)</f>
        <v>0</v>
      </c>
      <c r="E396" s="1131">
        <f>SUM(E327+E360)</f>
        <v>8535</v>
      </c>
      <c r="F396" s="1131">
        <f>SUM(F327+F360)</f>
        <v>8535</v>
      </c>
      <c r="G396" s="1131">
        <f>SUM(G327+G360)</f>
        <v>8535</v>
      </c>
      <c r="H396" s="1075">
        <f t="shared" si="16"/>
        <v>1</v>
      </c>
    </row>
    <row r="397" spans="1:8" ht="13.5" thickBot="1">
      <c r="A397" s="310"/>
      <c r="B397" s="331" t="s">
        <v>63</v>
      </c>
      <c r="C397" s="1121">
        <f>SUM(C396)</f>
        <v>0</v>
      </c>
      <c r="D397" s="1121">
        <f>SUM(D396)</f>
        <v>0</v>
      </c>
      <c r="E397" s="1121">
        <f>SUM(E396)</f>
        <v>8535</v>
      </c>
      <c r="F397" s="1121">
        <f>SUM(F396)</f>
        <v>8535</v>
      </c>
      <c r="G397" s="1121">
        <f>SUM(G396)</f>
        <v>8535</v>
      </c>
      <c r="H397" s="1064">
        <f t="shared" si="16"/>
        <v>1</v>
      </c>
    </row>
    <row r="398" spans="1:8" ht="15.75" thickBot="1">
      <c r="A398" s="310"/>
      <c r="B398" s="333" t="s">
        <v>75</v>
      </c>
      <c r="C398" s="970">
        <f>SUM(C388+C391+C395+C397)</f>
        <v>2984961</v>
      </c>
      <c r="D398" s="970">
        <f>SUM(D388+D391+D395+D397)</f>
        <v>2984961</v>
      </c>
      <c r="E398" s="970">
        <f>SUM(E388+E391+E395+E397)</f>
        <v>3088213</v>
      </c>
      <c r="F398" s="970">
        <f>SUM(F388+F391+F395+F397)</f>
        <v>3109829</v>
      </c>
      <c r="G398" s="970">
        <f>SUM(G388+G391+G395+G397)</f>
        <v>3024996</v>
      </c>
      <c r="H398" s="1064">
        <f t="shared" si="16"/>
        <v>0.9727210081326015</v>
      </c>
    </row>
    <row r="399" spans="1:9" ht="12.75">
      <c r="A399" s="310"/>
      <c r="B399" s="334" t="s">
        <v>328</v>
      </c>
      <c r="C399" s="1122">
        <f aca="true" t="shared" si="34" ref="C399:D403">SUM(C363+C329)</f>
        <v>1550263</v>
      </c>
      <c r="D399" s="1122">
        <f t="shared" si="34"/>
        <v>1550263</v>
      </c>
      <c r="E399" s="1122">
        <f aca="true" t="shared" si="35" ref="E399:F403">SUM(E363+E329)</f>
        <v>1547989</v>
      </c>
      <c r="F399" s="1122">
        <f t="shared" si="35"/>
        <v>1564739</v>
      </c>
      <c r="G399" s="1122">
        <f aca="true" t="shared" si="36" ref="G399">SUM(G363+G329)</f>
        <v>1586177</v>
      </c>
      <c r="H399" s="317">
        <f t="shared" si="16"/>
        <v>1.013700687462893</v>
      </c>
      <c r="I399" s="709"/>
    </row>
    <row r="400" spans="1:9" ht="12.75">
      <c r="A400" s="310"/>
      <c r="B400" s="334" t="s">
        <v>329</v>
      </c>
      <c r="C400" s="1122">
        <f t="shared" si="34"/>
        <v>303280</v>
      </c>
      <c r="D400" s="1122">
        <f t="shared" si="34"/>
        <v>303280</v>
      </c>
      <c r="E400" s="1122">
        <f t="shared" si="35"/>
        <v>306986</v>
      </c>
      <c r="F400" s="1122">
        <f t="shared" si="35"/>
        <v>309504</v>
      </c>
      <c r="G400" s="1122">
        <f aca="true" t="shared" si="37" ref="G400">SUM(G364+G330)</f>
        <v>312829</v>
      </c>
      <c r="H400" s="317">
        <f t="shared" si="16"/>
        <v>1.0107429952440032</v>
      </c>
      <c r="I400" s="709"/>
    </row>
    <row r="401" spans="1:9" ht="12.75">
      <c r="A401" s="310"/>
      <c r="B401" s="334" t="s">
        <v>330</v>
      </c>
      <c r="C401" s="1122">
        <f t="shared" si="34"/>
        <v>1102417</v>
      </c>
      <c r="D401" s="1122">
        <f t="shared" si="34"/>
        <v>1102417</v>
      </c>
      <c r="E401" s="1122">
        <f t="shared" si="35"/>
        <v>1209148</v>
      </c>
      <c r="F401" s="1122">
        <f t="shared" si="35"/>
        <v>1191296</v>
      </c>
      <c r="G401" s="1122">
        <f aca="true" t="shared" si="38" ref="G401">SUM(G365+G331)</f>
        <v>1079816</v>
      </c>
      <c r="H401" s="317">
        <f t="shared" si="16"/>
        <v>0.9064212420758568</v>
      </c>
      <c r="I401" s="709"/>
    </row>
    <row r="402" spans="1:8" ht="12.75">
      <c r="A402" s="310"/>
      <c r="B402" s="335" t="s">
        <v>332</v>
      </c>
      <c r="C402" s="1122">
        <f t="shared" si="34"/>
        <v>0</v>
      </c>
      <c r="D402" s="1122">
        <f t="shared" si="34"/>
        <v>0</v>
      </c>
      <c r="E402" s="1122">
        <f t="shared" si="35"/>
        <v>0</v>
      </c>
      <c r="F402" s="1122">
        <f t="shared" si="35"/>
        <v>0</v>
      </c>
      <c r="G402" s="1122">
        <f aca="true" t="shared" si="39" ref="G402">SUM(G366+G332)</f>
        <v>0</v>
      </c>
      <c r="H402" s="317"/>
    </row>
    <row r="403" spans="1:8" ht="13.5" thickBot="1">
      <c r="A403" s="310"/>
      <c r="B403" s="336" t="s">
        <v>331</v>
      </c>
      <c r="C403" s="1122">
        <f t="shared" si="34"/>
        <v>0</v>
      </c>
      <c r="D403" s="1122">
        <f t="shared" si="34"/>
        <v>0</v>
      </c>
      <c r="E403" s="1122">
        <f t="shared" si="35"/>
        <v>0</v>
      </c>
      <c r="F403" s="1122">
        <f t="shared" si="35"/>
        <v>0</v>
      </c>
      <c r="G403" s="1122">
        <f aca="true" t="shared" si="40" ref="G403">SUM(G367+G333)</f>
        <v>1484</v>
      </c>
      <c r="H403" s="676"/>
    </row>
    <row r="404" spans="1:8" ht="13.5" thickBot="1">
      <c r="A404" s="310"/>
      <c r="B404" s="337" t="s">
        <v>60</v>
      </c>
      <c r="C404" s="1124">
        <f>SUM(C399:C403)</f>
        <v>2955960</v>
      </c>
      <c r="D404" s="1124">
        <f>SUM(D399:D403)</f>
        <v>2955960</v>
      </c>
      <c r="E404" s="1124">
        <f>SUM(E399:E403)</f>
        <v>3064123</v>
      </c>
      <c r="F404" s="1124">
        <f>SUM(F399:F403)</f>
        <v>3065539</v>
      </c>
      <c r="G404" s="1124">
        <f>SUM(G399:G403)</f>
        <v>2980306</v>
      </c>
      <c r="H404" s="1064">
        <f t="shared" si="16"/>
        <v>0.9721964065699377</v>
      </c>
    </row>
    <row r="405" spans="1:9" ht="12.75">
      <c r="A405" s="310"/>
      <c r="B405" s="334" t="s">
        <v>251</v>
      </c>
      <c r="C405" s="1122">
        <f aca="true" t="shared" si="41" ref="C405:E406">SUM(C369+C335)</f>
        <v>29001</v>
      </c>
      <c r="D405" s="1122">
        <f t="shared" si="41"/>
        <v>29001</v>
      </c>
      <c r="E405" s="1122">
        <f t="shared" si="41"/>
        <v>24090</v>
      </c>
      <c r="F405" s="1122">
        <f aca="true" t="shared" si="42" ref="F405">SUM(F369+F335)</f>
        <v>44290</v>
      </c>
      <c r="G405" s="1122">
        <f aca="true" t="shared" si="43" ref="G405">SUM(G369+G335)</f>
        <v>44690</v>
      </c>
      <c r="H405" s="317">
        <f t="shared" si="16"/>
        <v>1.0090313840596072</v>
      </c>
      <c r="I405" s="709"/>
    </row>
    <row r="406" spans="1:8" ht="12.75">
      <c r="A406" s="310"/>
      <c r="B406" s="334" t="s">
        <v>252</v>
      </c>
      <c r="C406" s="1122">
        <f t="shared" si="41"/>
        <v>0</v>
      </c>
      <c r="D406" s="1122">
        <f t="shared" si="41"/>
        <v>0</v>
      </c>
      <c r="E406" s="1122">
        <f t="shared" si="41"/>
        <v>0</v>
      </c>
      <c r="F406" s="1122">
        <f aca="true" t="shared" si="44" ref="F406">SUM(F370+F336)</f>
        <v>0</v>
      </c>
      <c r="G406" s="1122">
        <f aca="true" t="shared" si="45" ref="G406">SUM(G370+G336)</f>
        <v>0</v>
      </c>
      <c r="H406" s="317"/>
    </row>
    <row r="407" spans="1:8" ht="13.5" thickBot="1">
      <c r="A407" s="310"/>
      <c r="B407" s="336" t="s">
        <v>448</v>
      </c>
      <c r="C407" s="1123"/>
      <c r="D407" s="1123"/>
      <c r="E407" s="1123"/>
      <c r="F407" s="1123"/>
      <c r="G407" s="1123"/>
      <c r="H407" s="676"/>
    </row>
    <row r="408" spans="1:8" ht="13.5" thickBot="1">
      <c r="A408" s="310"/>
      <c r="B408" s="338" t="s">
        <v>66</v>
      </c>
      <c r="C408" s="1124">
        <f>SUM(C405:C407)</f>
        <v>29001</v>
      </c>
      <c r="D408" s="1124">
        <f>SUM(D405:D407)</f>
        <v>29001</v>
      </c>
      <c r="E408" s="1124">
        <f>SUM(E405:E407)</f>
        <v>24090</v>
      </c>
      <c r="F408" s="1124">
        <f>SUM(F405:F407)</f>
        <v>44290</v>
      </c>
      <c r="G408" s="1124">
        <f>SUM(G405:G407)</f>
        <v>44690</v>
      </c>
      <c r="H408" s="1076">
        <f t="shared" si="16"/>
        <v>1.0090313840596072</v>
      </c>
    </row>
    <row r="409" spans="1:8" ht="15.75" thickBot="1">
      <c r="A409" s="307"/>
      <c r="B409" s="339" t="s">
        <v>112</v>
      </c>
      <c r="C409" s="970">
        <f>SUM(C404+C408)</f>
        <v>2984961</v>
      </c>
      <c r="D409" s="970">
        <f>SUM(D404+D408)</f>
        <v>2984961</v>
      </c>
      <c r="E409" s="970">
        <f>SUM(E404+E408)</f>
        <v>3088213</v>
      </c>
      <c r="F409" s="970">
        <f>SUM(F404+F408)</f>
        <v>3109829</v>
      </c>
      <c r="G409" s="970">
        <f>SUM(G404+G408)</f>
        <v>3024996</v>
      </c>
      <c r="H409" s="1237">
        <f t="shared" si="16"/>
        <v>0.9727210081326015</v>
      </c>
    </row>
    <row r="410" spans="1:8" ht="15">
      <c r="A410" s="224">
        <v>2850</v>
      </c>
      <c r="B410" s="227" t="s">
        <v>341</v>
      </c>
      <c r="C410" s="1122"/>
      <c r="D410" s="1122"/>
      <c r="E410" s="1122"/>
      <c r="F410" s="1122"/>
      <c r="G410" s="1122"/>
      <c r="H410" s="317"/>
    </row>
    <row r="411" spans="1:8" ht="12.6" customHeight="1">
      <c r="A411" s="310"/>
      <c r="B411" s="312" t="s">
        <v>191</v>
      </c>
      <c r="C411" s="1125"/>
      <c r="D411" s="1125"/>
      <c r="E411" s="1125"/>
      <c r="F411" s="1125"/>
      <c r="G411" s="1125"/>
      <c r="H411" s="317"/>
    </row>
    <row r="412" spans="1:8" ht="13.5" thickBot="1">
      <c r="A412" s="310"/>
      <c r="B412" s="313" t="s">
        <v>192</v>
      </c>
      <c r="C412" s="1146"/>
      <c r="D412" s="1146"/>
      <c r="E412" s="1146"/>
      <c r="F412" s="1146"/>
      <c r="G412" s="1146"/>
      <c r="H412" s="676"/>
    </row>
    <row r="413" spans="1:8" ht="13.5" thickBot="1">
      <c r="A413" s="310"/>
      <c r="B413" s="314" t="s">
        <v>205</v>
      </c>
      <c r="C413" s="1147"/>
      <c r="D413" s="1147"/>
      <c r="E413" s="1147"/>
      <c r="F413" s="1147"/>
      <c r="G413" s="1124">
        <f>SUM(G410:G412)</f>
        <v>0</v>
      </c>
      <c r="H413" s="1075"/>
    </row>
    <row r="414" spans="1:8" ht="12.75">
      <c r="A414" s="310"/>
      <c r="B414" s="312" t="s">
        <v>194</v>
      </c>
      <c r="C414" s="1122">
        <f>SUM(C415)</f>
        <v>3565</v>
      </c>
      <c r="D414" s="1122">
        <f>SUM(D415)</f>
        <v>3565</v>
      </c>
      <c r="E414" s="1122">
        <f>SUM(E415)</f>
        <v>3565</v>
      </c>
      <c r="F414" s="1122">
        <f>SUM(F415)</f>
        <v>3565</v>
      </c>
      <c r="G414" s="1122">
        <f>SUM(G415)</f>
        <v>3565</v>
      </c>
      <c r="H414" s="317">
        <f aca="true" t="shared" si="46" ref="H414:H472">SUM(G414/F414)</f>
        <v>1</v>
      </c>
    </row>
    <row r="415" spans="1:8" ht="12.75">
      <c r="A415" s="310"/>
      <c r="B415" s="318" t="s">
        <v>195</v>
      </c>
      <c r="C415" s="1128">
        <v>3565</v>
      </c>
      <c r="D415" s="1128">
        <v>3565</v>
      </c>
      <c r="E415" s="1128">
        <v>3565</v>
      </c>
      <c r="F415" s="1128">
        <v>3565</v>
      </c>
      <c r="G415" s="1128">
        <v>3565</v>
      </c>
      <c r="H415" s="317">
        <f t="shared" si="46"/>
        <v>1</v>
      </c>
    </row>
    <row r="416" spans="1:8" ht="12.75">
      <c r="A416" s="310"/>
      <c r="B416" s="318" t="s">
        <v>196</v>
      </c>
      <c r="C416" s="1128"/>
      <c r="D416" s="1128"/>
      <c r="E416" s="1128"/>
      <c r="F416" s="1128"/>
      <c r="G416" s="1128"/>
      <c r="H416" s="317"/>
    </row>
    <row r="417" spans="1:9" ht="12.75">
      <c r="A417" s="310"/>
      <c r="B417" s="320" t="s">
        <v>197</v>
      </c>
      <c r="C417" s="1122"/>
      <c r="D417" s="1122"/>
      <c r="E417" s="1122"/>
      <c r="F417" s="1122"/>
      <c r="G417" s="1122"/>
      <c r="H417" s="317"/>
      <c r="I417" s="709"/>
    </row>
    <row r="418" spans="1:9" ht="12.75">
      <c r="A418" s="310"/>
      <c r="B418" s="320" t="s">
        <v>198</v>
      </c>
      <c r="C418" s="1122">
        <v>17784</v>
      </c>
      <c r="D418" s="1122">
        <v>17784</v>
      </c>
      <c r="E418" s="1122">
        <v>17784</v>
      </c>
      <c r="F418" s="1122">
        <v>17784</v>
      </c>
      <c r="G418" s="1122">
        <v>17784</v>
      </c>
      <c r="H418" s="317">
        <f t="shared" si="46"/>
        <v>1</v>
      </c>
      <c r="I418" s="709"/>
    </row>
    <row r="419" spans="1:9" ht="12.75">
      <c r="A419" s="310"/>
      <c r="B419" s="320" t="s">
        <v>199</v>
      </c>
      <c r="C419" s="1122">
        <v>4802</v>
      </c>
      <c r="D419" s="1122">
        <v>4802</v>
      </c>
      <c r="E419" s="1122">
        <v>4802</v>
      </c>
      <c r="F419" s="1122">
        <v>4802</v>
      </c>
      <c r="G419" s="1122">
        <v>4802</v>
      </c>
      <c r="H419" s="317">
        <f t="shared" si="46"/>
        <v>1</v>
      </c>
      <c r="I419" s="709"/>
    </row>
    <row r="420" spans="1:8" ht="12.75">
      <c r="A420" s="310"/>
      <c r="B420" s="320" t="s">
        <v>353</v>
      </c>
      <c r="C420" s="1122"/>
      <c r="D420" s="1122"/>
      <c r="E420" s="1122"/>
      <c r="F420" s="1122"/>
      <c r="G420" s="1122"/>
      <c r="H420" s="317"/>
    </row>
    <row r="421" spans="1:8" ht="12.75">
      <c r="A421" s="310"/>
      <c r="B421" s="321" t="s">
        <v>468</v>
      </c>
      <c r="C421" s="1122"/>
      <c r="D421" s="1122"/>
      <c r="E421" s="1122"/>
      <c r="F421" s="1122"/>
      <c r="G421" s="1122"/>
      <c r="H421" s="317"/>
    </row>
    <row r="422" spans="1:8" ht="13.5" thickBot="1">
      <c r="A422" s="310"/>
      <c r="B422" s="322" t="s">
        <v>200</v>
      </c>
      <c r="C422" s="1122"/>
      <c r="D422" s="1122"/>
      <c r="E422" s="1122"/>
      <c r="F422" s="1122"/>
      <c r="G422" s="1122"/>
      <c r="H422" s="676"/>
    </row>
    <row r="423" spans="1:8" ht="13.5" thickBot="1">
      <c r="A423" s="310"/>
      <c r="B423" s="324" t="s">
        <v>349</v>
      </c>
      <c r="C423" s="1124">
        <f>SUM(C414+C417+C418+C419+C422+C420)</f>
        <v>26151</v>
      </c>
      <c r="D423" s="1124">
        <f>SUM(D414+D417+D418+D419+D422+D420)</f>
        <v>26151</v>
      </c>
      <c r="E423" s="1124">
        <f>SUM(E414+E417+E418+E419+E422+E420)</f>
        <v>26151</v>
      </c>
      <c r="F423" s="1124">
        <f>SUM(F414+F417+F418+F419+F422+F420)</f>
        <v>26151</v>
      </c>
      <c r="G423" s="1124">
        <f>SUM(G414+G417+G418+G419+G422+G420)</f>
        <v>26151</v>
      </c>
      <c r="H423" s="1064">
        <f t="shared" si="46"/>
        <v>1</v>
      </c>
    </row>
    <row r="424" spans="1:8" ht="13.5" thickBot="1">
      <c r="A424" s="310"/>
      <c r="B424" s="326" t="s">
        <v>67</v>
      </c>
      <c r="C424" s="1135">
        <f>SUM(C423+C413)</f>
        <v>26151</v>
      </c>
      <c r="D424" s="1135">
        <f>SUM(D423+D413)</f>
        <v>26151</v>
      </c>
      <c r="E424" s="1135">
        <f>SUM(E423+E413)</f>
        <v>26151</v>
      </c>
      <c r="F424" s="1135">
        <f>SUM(F423+F413)</f>
        <v>26151</v>
      </c>
      <c r="G424" s="1135">
        <f>SUM(G423+G413)</f>
        <v>26151</v>
      </c>
      <c r="H424" s="1076">
        <f t="shared" si="46"/>
        <v>1</v>
      </c>
    </row>
    <row r="425" spans="1:8" ht="13.5" thickBot="1">
      <c r="A425" s="310"/>
      <c r="B425" s="327" t="s">
        <v>68</v>
      </c>
      <c r="C425" s="1131"/>
      <c r="D425" s="1131"/>
      <c r="E425" s="1131"/>
      <c r="F425" s="1131"/>
      <c r="G425" s="1131"/>
      <c r="H425" s="1075"/>
    </row>
    <row r="426" spans="1:8" ht="12.75">
      <c r="A426" s="310"/>
      <c r="B426" s="694" t="s">
        <v>439</v>
      </c>
      <c r="C426" s="1133"/>
      <c r="D426" s="1133"/>
      <c r="E426" s="1133">
        <v>1893</v>
      </c>
      <c r="F426" s="1133">
        <v>1893</v>
      </c>
      <c r="G426" s="1133">
        <v>1893</v>
      </c>
      <c r="H426" s="317">
        <f t="shared" si="46"/>
        <v>1</v>
      </c>
    </row>
    <row r="427" spans="1:9" ht="12.75">
      <c r="A427" s="310"/>
      <c r="B427" s="329" t="s">
        <v>475</v>
      </c>
      <c r="C427" s="1122">
        <v>564035</v>
      </c>
      <c r="D427" s="1122">
        <v>564035</v>
      </c>
      <c r="E427" s="1122">
        <v>553961</v>
      </c>
      <c r="F427" s="1122">
        <v>558329</v>
      </c>
      <c r="G427" s="1122">
        <f>558329+3550+33</f>
        <v>561912</v>
      </c>
      <c r="H427" s="317">
        <f t="shared" si="46"/>
        <v>1.006417363239237</v>
      </c>
      <c r="I427" s="709"/>
    </row>
    <row r="428" spans="1:9" ht="13.5" thickBot="1">
      <c r="A428" s="310"/>
      <c r="B428" s="330" t="s">
        <v>478</v>
      </c>
      <c r="C428" s="1123">
        <v>20246</v>
      </c>
      <c r="D428" s="1123">
        <v>20246</v>
      </c>
      <c r="E428" s="1123">
        <v>20246</v>
      </c>
      <c r="F428" s="1123">
        <v>20246</v>
      </c>
      <c r="G428" s="1123">
        <v>20246</v>
      </c>
      <c r="H428" s="676">
        <f t="shared" si="46"/>
        <v>1</v>
      </c>
      <c r="I428" s="709"/>
    </row>
    <row r="429" spans="1:8" ht="13.5" thickBot="1">
      <c r="A429" s="310"/>
      <c r="B429" s="331" t="s">
        <v>61</v>
      </c>
      <c r="C429" s="1139">
        <f>SUM(C426:C428)</f>
        <v>584281</v>
      </c>
      <c r="D429" s="1139">
        <f>SUM(D426:D428)</f>
        <v>584281</v>
      </c>
      <c r="E429" s="1139">
        <f>SUM(E426:E428)</f>
        <v>576100</v>
      </c>
      <c r="F429" s="1139">
        <f>SUM(F426:F428)</f>
        <v>580468</v>
      </c>
      <c r="G429" s="1139">
        <f>SUM(G426:G428)</f>
        <v>584051</v>
      </c>
      <c r="H429" s="1064">
        <f t="shared" si="46"/>
        <v>1.006172605552761</v>
      </c>
    </row>
    <row r="430" spans="1:8" ht="13.5" thickBot="1">
      <c r="A430" s="310"/>
      <c r="B430" s="247" t="s">
        <v>439</v>
      </c>
      <c r="C430" s="1131"/>
      <c r="D430" s="1131"/>
      <c r="E430" s="1131">
        <v>961</v>
      </c>
      <c r="F430" s="1131">
        <v>961</v>
      </c>
      <c r="G430" s="1131">
        <v>961</v>
      </c>
      <c r="H430" s="1075">
        <f t="shared" si="46"/>
        <v>1</v>
      </c>
    </row>
    <row r="431" spans="1:8" ht="13.5" thickBot="1">
      <c r="A431" s="310"/>
      <c r="B431" s="331" t="s">
        <v>63</v>
      </c>
      <c r="C431" s="1121">
        <f>SUM(C430)</f>
        <v>0</v>
      </c>
      <c r="D431" s="1121">
        <f>SUM(D430)</f>
        <v>0</v>
      </c>
      <c r="E431" s="1121">
        <f>SUM(E430)</f>
        <v>961</v>
      </c>
      <c r="F431" s="1121">
        <f>SUM(F430)</f>
        <v>961</v>
      </c>
      <c r="G431" s="1121">
        <f>SUM(G430)</f>
        <v>961</v>
      </c>
      <c r="H431" s="1064">
        <f t="shared" si="46"/>
        <v>1</v>
      </c>
    </row>
    <row r="432" spans="1:8" ht="15.75" thickBot="1">
      <c r="A432" s="310"/>
      <c r="B432" s="333" t="s">
        <v>75</v>
      </c>
      <c r="C432" s="1148">
        <f>SUM(C424+C425+C429)</f>
        <v>610432</v>
      </c>
      <c r="D432" s="1148">
        <f>SUM(D424+D425+D429)</f>
        <v>610432</v>
      </c>
      <c r="E432" s="1148">
        <f>SUM(E424+E425+E429+E431)</f>
        <v>603212</v>
      </c>
      <c r="F432" s="1148">
        <f>SUM(F424+F425+F429+F431)</f>
        <v>607580</v>
      </c>
      <c r="G432" s="1148">
        <f>SUM(G424+G425+G429+G431)</f>
        <v>611163</v>
      </c>
      <c r="H432" s="1076">
        <f t="shared" si="46"/>
        <v>1.005897165805326</v>
      </c>
    </row>
    <row r="433" spans="1:9" ht="12.75" customHeight="1">
      <c r="A433" s="310"/>
      <c r="B433" s="334" t="s">
        <v>328</v>
      </c>
      <c r="C433" s="1122">
        <v>443387</v>
      </c>
      <c r="D433" s="1122">
        <v>443387</v>
      </c>
      <c r="E433" s="1122">
        <v>443810</v>
      </c>
      <c r="F433" s="1122">
        <v>447563</v>
      </c>
      <c r="G433" s="1122">
        <f>447563+3073+28</f>
        <v>450664</v>
      </c>
      <c r="H433" s="317">
        <f t="shared" si="46"/>
        <v>1.006928633510813</v>
      </c>
      <c r="I433" s="709"/>
    </row>
    <row r="434" spans="1:9" ht="12.75">
      <c r="A434" s="310"/>
      <c r="B434" s="334" t="s">
        <v>329</v>
      </c>
      <c r="C434" s="1122">
        <v>87317</v>
      </c>
      <c r="D434" s="1122">
        <v>87317</v>
      </c>
      <c r="E434" s="1122">
        <v>88001</v>
      </c>
      <c r="F434" s="1122">
        <v>88616</v>
      </c>
      <c r="G434" s="1122">
        <f>88616+477+5</f>
        <v>89098</v>
      </c>
      <c r="H434" s="317">
        <f t="shared" si="46"/>
        <v>1.0054391983389004</v>
      </c>
      <c r="I434" s="709"/>
    </row>
    <row r="435" spans="1:9" ht="12.75">
      <c r="A435" s="310"/>
      <c r="B435" s="334" t="s">
        <v>330</v>
      </c>
      <c r="C435" s="1122">
        <v>72783</v>
      </c>
      <c r="D435" s="1122">
        <v>72783</v>
      </c>
      <c r="E435" s="1122">
        <v>67781</v>
      </c>
      <c r="F435" s="1122">
        <v>67781</v>
      </c>
      <c r="G435" s="1122">
        <f>67781-1005</f>
        <v>66776</v>
      </c>
      <c r="H435" s="317">
        <f t="shared" si="46"/>
        <v>0.9851728360454994</v>
      </c>
      <c r="I435" s="709"/>
    </row>
    <row r="436" spans="1:8" ht="12.75">
      <c r="A436" s="310"/>
      <c r="B436" s="335" t="s">
        <v>332</v>
      </c>
      <c r="C436" s="1122"/>
      <c r="D436" s="1122"/>
      <c r="E436" s="1122"/>
      <c r="F436" s="1122"/>
      <c r="G436" s="1122"/>
      <c r="H436" s="317"/>
    </row>
    <row r="437" spans="1:8" ht="13.5" thickBot="1">
      <c r="A437" s="310"/>
      <c r="B437" s="336" t="s">
        <v>331</v>
      </c>
      <c r="C437" s="1122"/>
      <c r="D437" s="1122"/>
      <c r="E437" s="1122"/>
      <c r="F437" s="1122"/>
      <c r="G437" s="1122">
        <v>5</v>
      </c>
      <c r="H437" s="676"/>
    </row>
    <row r="438" spans="1:8" ht="13.5" thickBot="1">
      <c r="A438" s="310"/>
      <c r="B438" s="337" t="s">
        <v>60</v>
      </c>
      <c r="C438" s="1124">
        <f>SUM(C433:C437)</f>
        <v>603487</v>
      </c>
      <c r="D438" s="1124">
        <f>SUM(D433:D437)</f>
        <v>603487</v>
      </c>
      <c r="E438" s="1124">
        <f>SUM(E433:E437)</f>
        <v>599592</v>
      </c>
      <c r="F438" s="1124">
        <f>SUM(F433:F437)</f>
        <v>603960</v>
      </c>
      <c r="G438" s="1124">
        <f>SUM(G433:G437)</f>
        <v>606543</v>
      </c>
      <c r="H438" s="1064">
        <f t="shared" si="46"/>
        <v>1.0042767732962448</v>
      </c>
    </row>
    <row r="439" spans="1:9" ht="12.75">
      <c r="A439" s="310"/>
      <c r="B439" s="334" t="s">
        <v>251</v>
      </c>
      <c r="C439" s="1122">
        <v>6945</v>
      </c>
      <c r="D439" s="1122">
        <v>6945</v>
      </c>
      <c r="E439" s="1122">
        <v>3620</v>
      </c>
      <c r="F439" s="1122">
        <v>3620</v>
      </c>
      <c r="G439" s="1122">
        <f>3620+1000</f>
        <v>4620</v>
      </c>
      <c r="H439" s="317">
        <f t="shared" si="46"/>
        <v>1.276243093922652</v>
      </c>
      <c r="I439" s="709"/>
    </row>
    <row r="440" spans="1:8" ht="12.75">
      <c r="A440" s="310"/>
      <c r="B440" s="334" t="s">
        <v>252</v>
      </c>
      <c r="C440" s="1122"/>
      <c r="D440" s="1122"/>
      <c r="E440" s="1122"/>
      <c r="F440" s="1122"/>
      <c r="G440" s="1122"/>
      <c r="H440" s="317"/>
    </row>
    <row r="441" spans="1:8" ht="13.5" thickBot="1">
      <c r="A441" s="310"/>
      <c r="B441" s="336" t="s">
        <v>448</v>
      </c>
      <c r="C441" s="1122"/>
      <c r="D441" s="1122"/>
      <c r="E441" s="1122"/>
      <c r="F441" s="1122"/>
      <c r="G441" s="1122"/>
      <c r="H441" s="676"/>
    </row>
    <row r="442" spans="1:8" ht="13.5" thickBot="1">
      <c r="A442" s="310"/>
      <c r="B442" s="338" t="s">
        <v>66</v>
      </c>
      <c r="C442" s="1124">
        <f>SUM(C439:C441)</f>
        <v>6945</v>
      </c>
      <c r="D442" s="1124">
        <f>SUM(D439:D441)</f>
        <v>6945</v>
      </c>
      <c r="E442" s="1124">
        <f>SUM(E439:E441)</f>
        <v>3620</v>
      </c>
      <c r="F442" s="1124">
        <f>SUM(F439:F441)</f>
        <v>3620</v>
      </c>
      <c r="G442" s="1124">
        <f>SUM(G439:G441)</f>
        <v>4620</v>
      </c>
      <c r="H442" s="1064">
        <f t="shared" si="46"/>
        <v>1.276243093922652</v>
      </c>
    </row>
    <row r="443" spans="1:8" ht="15.75" thickBot="1">
      <c r="A443" s="307"/>
      <c r="B443" s="339" t="s">
        <v>112</v>
      </c>
      <c r="C443" s="970">
        <f>SUM(C438+C442)</f>
        <v>610432</v>
      </c>
      <c r="D443" s="970">
        <f>SUM(D438+D442)</f>
        <v>610432</v>
      </c>
      <c r="E443" s="970">
        <f>SUM(E438+E442)</f>
        <v>603212</v>
      </c>
      <c r="F443" s="970">
        <f>SUM(F438+F442)</f>
        <v>607580</v>
      </c>
      <c r="G443" s="970">
        <f>SUM(G438+G442)</f>
        <v>611163</v>
      </c>
      <c r="H443" s="1064">
        <f t="shared" si="46"/>
        <v>1.005897165805326</v>
      </c>
    </row>
    <row r="444" spans="1:8" ht="15">
      <c r="A444" s="224">
        <v>2875</v>
      </c>
      <c r="B444" s="227" t="s">
        <v>308</v>
      </c>
      <c r="C444" s="1122"/>
      <c r="D444" s="1122"/>
      <c r="E444" s="1122"/>
      <c r="F444" s="1122"/>
      <c r="G444" s="1122"/>
      <c r="H444" s="317"/>
    </row>
    <row r="445" spans="1:8" ht="12.6" customHeight="1">
      <c r="A445" s="310"/>
      <c r="B445" s="312" t="s">
        <v>191</v>
      </c>
      <c r="C445" s="1125"/>
      <c r="D445" s="1125"/>
      <c r="E445" s="1125"/>
      <c r="F445" s="1125"/>
      <c r="G445" s="1125"/>
      <c r="H445" s="317"/>
    </row>
    <row r="446" spans="1:8" ht="13.5" thickBot="1">
      <c r="A446" s="310"/>
      <c r="B446" s="313" t="s">
        <v>192</v>
      </c>
      <c r="C446" s="1123"/>
      <c r="D446" s="1123"/>
      <c r="E446" s="1123"/>
      <c r="F446" s="1123"/>
      <c r="G446" s="1123"/>
      <c r="H446" s="676"/>
    </row>
    <row r="447" spans="1:8" ht="13.5" thickBot="1">
      <c r="A447" s="310"/>
      <c r="B447" s="314" t="s">
        <v>205</v>
      </c>
      <c r="C447" s="1142"/>
      <c r="D447" s="1142"/>
      <c r="E447" s="1142"/>
      <c r="F447" s="1142"/>
      <c r="G447" s="1142">
        <f>SUM(G444:G446)</f>
        <v>0</v>
      </c>
      <c r="H447" s="1075"/>
    </row>
    <row r="448" spans="1:8" ht="12.75">
      <c r="A448" s="310"/>
      <c r="B448" s="312" t="s">
        <v>194</v>
      </c>
      <c r="C448" s="1122">
        <v>493</v>
      </c>
      <c r="D448" s="1122">
        <v>493</v>
      </c>
      <c r="E448" s="1122">
        <v>493</v>
      </c>
      <c r="F448" s="1122">
        <v>493</v>
      </c>
      <c r="G448" s="1122">
        <v>493</v>
      </c>
      <c r="H448" s="317">
        <f t="shared" si="46"/>
        <v>1</v>
      </c>
    </row>
    <row r="449" spans="1:8" ht="12.75">
      <c r="A449" s="310"/>
      <c r="B449" s="318" t="s">
        <v>195</v>
      </c>
      <c r="C449" s="1128"/>
      <c r="D449" s="1128"/>
      <c r="E449" s="1128"/>
      <c r="F449" s="1128"/>
      <c r="G449" s="1128"/>
      <c r="H449" s="317"/>
    </row>
    <row r="450" spans="1:9" ht="12.75">
      <c r="A450" s="310"/>
      <c r="B450" s="318" t="s">
        <v>196</v>
      </c>
      <c r="C450" s="1128">
        <v>493</v>
      </c>
      <c r="D450" s="1128">
        <v>493</v>
      </c>
      <c r="E450" s="1128">
        <v>493</v>
      </c>
      <c r="F450" s="1128">
        <v>493</v>
      </c>
      <c r="G450" s="1128">
        <v>493</v>
      </c>
      <c r="H450" s="317">
        <f t="shared" si="46"/>
        <v>1</v>
      </c>
      <c r="I450" s="709"/>
    </row>
    <row r="451" spans="1:9" ht="12.75">
      <c r="A451" s="310"/>
      <c r="B451" s="320" t="s">
        <v>197</v>
      </c>
      <c r="C451" s="1122"/>
      <c r="D451" s="1122"/>
      <c r="E451" s="1122"/>
      <c r="F451" s="1122"/>
      <c r="G451" s="1122"/>
      <c r="H451" s="317"/>
      <c r="I451" s="709"/>
    </row>
    <row r="452" spans="1:9" ht="12.75">
      <c r="A452" s="310"/>
      <c r="B452" s="320" t="s">
        <v>198</v>
      </c>
      <c r="C452" s="1122">
        <v>37982</v>
      </c>
      <c r="D452" s="1122">
        <v>37982</v>
      </c>
      <c r="E452" s="1122">
        <v>37982</v>
      </c>
      <c r="F452" s="1122">
        <v>37982</v>
      </c>
      <c r="G452" s="1122">
        <v>37982</v>
      </c>
      <c r="H452" s="317">
        <f t="shared" si="46"/>
        <v>1</v>
      </c>
      <c r="I452" s="709"/>
    </row>
    <row r="453" spans="1:9" ht="12.75">
      <c r="A453" s="310"/>
      <c r="B453" s="320" t="s">
        <v>199</v>
      </c>
      <c r="C453" s="1122">
        <v>5691</v>
      </c>
      <c r="D453" s="1122">
        <v>5691</v>
      </c>
      <c r="E453" s="1122">
        <v>5691</v>
      </c>
      <c r="F453" s="1122">
        <v>5691</v>
      </c>
      <c r="G453" s="1122">
        <v>5691</v>
      </c>
      <c r="H453" s="317">
        <f t="shared" si="46"/>
        <v>1</v>
      </c>
      <c r="I453" s="709"/>
    </row>
    <row r="454" spans="1:8" ht="12.75">
      <c r="A454" s="310"/>
      <c r="B454" s="320" t="s">
        <v>353</v>
      </c>
      <c r="C454" s="1122">
        <v>4401</v>
      </c>
      <c r="D454" s="1122">
        <v>4401</v>
      </c>
      <c r="E454" s="1122">
        <v>4401</v>
      </c>
      <c r="F454" s="1122">
        <v>4401</v>
      </c>
      <c r="G454" s="1122">
        <v>4401</v>
      </c>
      <c r="H454" s="317">
        <f t="shared" si="46"/>
        <v>1</v>
      </c>
    </row>
    <row r="455" spans="1:8" ht="12.75">
      <c r="A455" s="310"/>
      <c r="B455" s="321" t="s">
        <v>468</v>
      </c>
      <c r="C455" s="1122"/>
      <c r="D455" s="1122"/>
      <c r="E455" s="1122"/>
      <c r="F455" s="1122"/>
      <c r="G455" s="1122"/>
      <c r="H455" s="317"/>
    </row>
    <row r="456" spans="1:8" ht="13.5" thickBot="1">
      <c r="A456" s="310"/>
      <c r="B456" s="322" t="s">
        <v>200</v>
      </c>
      <c r="C456" s="1122"/>
      <c r="D456" s="1122"/>
      <c r="E456" s="1122"/>
      <c r="F456" s="1122"/>
      <c r="G456" s="1122"/>
      <c r="H456" s="676"/>
    </row>
    <row r="457" spans="1:8" ht="13.5" thickBot="1">
      <c r="A457" s="310"/>
      <c r="B457" s="324" t="s">
        <v>349</v>
      </c>
      <c r="C457" s="1124">
        <f>SUM(C448+C451+C452+C453+C456+C454)</f>
        <v>48567</v>
      </c>
      <c r="D457" s="1124">
        <f>SUM(D448+D451+D452+D453+D456+D454)</f>
        <v>48567</v>
      </c>
      <c r="E457" s="1124">
        <f>SUM(E448+E451+E452+E453+E456+E454)</f>
        <v>48567</v>
      </c>
      <c r="F457" s="1124">
        <f>SUM(F448+F451+F452+F453+F456+F454)</f>
        <v>48567</v>
      </c>
      <c r="G457" s="1124">
        <f>SUM(G448+G451+G452+G453+G456+G454)</f>
        <v>48567</v>
      </c>
      <c r="H457" s="1064">
        <f t="shared" si="46"/>
        <v>1</v>
      </c>
    </row>
    <row r="458" spans="1:8" ht="13.5" thickBot="1">
      <c r="A458" s="310"/>
      <c r="B458" s="326" t="s">
        <v>67</v>
      </c>
      <c r="C458" s="1135">
        <f>SUM(C457+C447)</f>
        <v>48567</v>
      </c>
      <c r="D458" s="1135">
        <f>SUM(D457+D447)</f>
        <v>48567</v>
      </c>
      <c r="E458" s="1135">
        <f>SUM(E457+E447)</f>
        <v>48567</v>
      </c>
      <c r="F458" s="1135">
        <f>SUM(F457+F447)</f>
        <v>48567</v>
      </c>
      <c r="G458" s="1135">
        <f>SUM(G457+G447)</f>
        <v>48567</v>
      </c>
      <c r="H458" s="1064">
        <f t="shared" si="46"/>
        <v>1</v>
      </c>
    </row>
    <row r="459" spans="1:8" ht="13.5" thickBot="1">
      <c r="A459" s="310"/>
      <c r="B459" s="327" t="s">
        <v>68</v>
      </c>
      <c r="C459" s="1131"/>
      <c r="D459" s="1131"/>
      <c r="E459" s="1131"/>
      <c r="F459" s="1131"/>
      <c r="G459" s="1131"/>
      <c r="H459" s="1075"/>
    </row>
    <row r="460" spans="1:8" ht="12.75">
      <c r="A460" s="310"/>
      <c r="B460" s="694" t="s">
        <v>439</v>
      </c>
      <c r="C460" s="1133"/>
      <c r="D460" s="1133"/>
      <c r="E460" s="1133">
        <v>6660</v>
      </c>
      <c r="F460" s="1133">
        <v>6660</v>
      </c>
      <c r="G460" s="1133">
        <v>6660</v>
      </c>
      <c r="H460" s="317">
        <f t="shared" si="46"/>
        <v>1</v>
      </c>
    </row>
    <row r="461" spans="1:9" ht="13.5" thickBot="1">
      <c r="A461" s="310"/>
      <c r="B461" s="330" t="s">
        <v>475</v>
      </c>
      <c r="C461" s="1123">
        <v>985251</v>
      </c>
      <c r="D461" s="1123">
        <v>985251</v>
      </c>
      <c r="E461" s="1123">
        <v>1038405</v>
      </c>
      <c r="F461" s="1123">
        <v>1049207</v>
      </c>
      <c r="G461" s="1123">
        <v>1062116</v>
      </c>
      <c r="H461" s="676">
        <f t="shared" si="46"/>
        <v>1.012303577844982</v>
      </c>
      <c r="I461" s="709"/>
    </row>
    <row r="462" spans="1:8" ht="13.5" thickBot="1">
      <c r="A462" s="310"/>
      <c r="B462" s="331" t="s">
        <v>61</v>
      </c>
      <c r="C462" s="1121">
        <f>SUM(C460:C461)</f>
        <v>985251</v>
      </c>
      <c r="D462" s="1121">
        <f>SUM(D460:D461)</f>
        <v>985251</v>
      </c>
      <c r="E462" s="1121">
        <f>SUM(E460:E461)</f>
        <v>1045065</v>
      </c>
      <c r="F462" s="1121">
        <f>SUM(F460:F461)</f>
        <v>1055867</v>
      </c>
      <c r="G462" s="1121">
        <f>SUM(G460:G461)</f>
        <v>1068776</v>
      </c>
      <c r="H462" s="1064">
        <f t="shared" si="46"/>
        <v>1.0122259716422617</v>
      </c>
    </row>
    <row r="463" spans="1:8" ht="13.5" thickBot="1">
      <c r="A463" s="310"/>
      <c r="B463" s="247" t="s">
        <v>439</v>
      </c>
      <c r="C463" s="1131"/>
      <c r="D463" s="1131"/>
      <c r="E463" s="1131"/>
      <c r="F463" s="1131"/>
      <c r="G463" s="1131"/>
      <c r="H463" s="1075"/>
    </row>
    <row r="464" spans="1:8" ht="13.5" thickBot="1">
      <c r="A464" s="310"/>
      <c r="B464" s="331" t="s">
        <v>63</v>
      </c>
      <c r="C464" s="1121"/>
      <c r="D464" s="1121"/>
      <c r="E464" s="1121"/>
      <c r="F464" s="1121"/>
      <c r="G464" s="1121"/>
      <c r="H464" s="1075"/>
    </row>
    <row r="465" spans="1:8" ht="15.75" thickBot="1">
      <c r="A465" s="310"/>
      <c r="B465" s="333" t="s">
        <v>75</v>
      </c>
      <c r="C465" s="970">
        <f>SUM(C458+C459+C462+C464)</f>
        <v>1033818</v>
      </c>
      <c r="D465" s="970">
        <f>SUM(D458+D459+D462+D464)</f>
        <v>1033818</v>
      </c>
      <c r="E465" s="970">
        <f>SUM(E458+E459+E462+E464)</f>
        <v>1093632</v>
      </c>
      <c r="F465" s="970">
        <f>SUM(F458+F459+F462+F464)</f>
        <v>1104434</v>
      </c>
      <c r="G465" s="970">
        <f>SUM(G458+G459+G462+G464)</f>
        <v>1117343</v>
      </c>
      <c r="H465" s="1064">
        <f t="shared" si="46"/>
        <v>1.0116883399098542</v>
      </c>
    </row>
    <row r="466" spans="1:9" ht="12.75">
      <c r="A466" s="310"/>
      <c r="B466" s="334" t="s">
        <v>328</v>
      </c>
      <c r="C466" s="1122">
        <v>673913</v>
      </c>
      <c r="D466" s="1122">
        <v>673913</v>
      </c>
      <c r="E466" s="1122">
        <v>720915</v>
      </c>
      <c r="F466" s="1122">
        <v>721605</v>
      </c>
      <c r="G466" s="1122">
        <v>729925</v>
      </c>
      <c r="H466" s="317">
        <f t="shared" si="46"/>
        <v>1.0115298535902606</v>
      </c>
      <c r="I466" s="709"/>
    </row>
    <row r="467" spans="1:9" ht="12.75">
      <c r="A467" s="310"/>
      <c r="B467" s="334" t="s">
        <v>329</v>
      </c>
      <c r="C467" s="1122">
        <v>131208</v>
      </c>
      <c r="D467" s="1122">
        <v>131208</v>
      </c>
      <c r="E467" s="1122">
        <v>140786</v>
      </c>
      <c r="F467" s="1122">
        <v>140898</v>
      </c>
      <c r="G467" s="1122">
        <v>142257</v>
      </c>
      <c r="H467" s="317">
        <f t="shared" si="46"/>
        <v>1.0096452753055403</v>
      </c>
      <c r="I467" s="709"/>
    </row>
    <row r="468" spans="1:9" ht="12.75">
      <c r="A468" s="310"/>
      <c r="B468" s="334" t="s">
        <v>330</v>
      </c>
      <c r="C468" s="1122">
        <v>220461</v>
      </c>
      <c r="D468" s="1122">
        <v>220461</v>
      </c>
      <c r="E468" s="1122">
        <v>223695</v>
      </c>
      <c r="F468" s="1122">
        <v>233695</v>
      </c>
      <c r="G468" s="1122">
        <v>236212</v>
      </c>
      <c r="H468" s="317">
        <f t="shared" si="46"/>
        <v>1.0107704486617173</v>
      </c>
      <c r="I468" s="709"/>
    </row>
    <row r="469" spans="1:9" ht="12.75">
      <c r="A469" s="310"/>
      <c r="B469" s="335" t="s">
        <v>332</v>
      </c>
      <c r="C469" s="1122">
        <v>600</v>
      </c>
      <c r="D469" s="1122">
        <v>600</v>
      </c>
      <c r="E469" s="1122">
        <v>600</v>
      </c>
      <c r="F469" s="1122">
        <v>600</v>
      </c>
      <c r="G469" s="1122">
        <v>600</v>
      </c>
      <c r="H469" s="317">
        <f t="shared" si="46"/>
        <v>1</v>
      </c>
      <c r="I469" s="709"/>
    </row>
    <row r="470" spans="1:8" ht="13.5" thickBot="1">
      <c r="A470" s="310"/>
      <c r="B470" s="336" t="s">
        <v>331</v>
      </c>
      <c r="C470" s="1122"/>
      <c r="D470" s="1122"/>
      <c r="E470" s="1122"/>
      <c r="F470" s="1122"/>
      <c r="G470" s="1122"/>
      <c r="H470" s="676"/>
    </row>
    <row r="471" spans="1:8" ht="13.5" thickBot="1">
      <c r="A471" s="310"/>
      <c r="B471" s="337" t="s">
        <v>60</v>
      </c>
      <c r="C471" s="1124">
        <f>SUM(C466:C470)</f>
        <v>1026182</v>
      </c>
      <c r="D471" s="1124">
        <f>SUM(D466:D470)</f>
        <v>1026182</v>
      </c>
      <c r="E471" s="1124">
        <f>SUM(E466:E470)</f>
        <v>1085996</v>
      </c>
      <c r="F471" s="1124">
        <f>SUM(F466:F470)</f>
        <v>1096798</v>
      </c>
      <c r="G471" s="1124">
        <f>SUM(G466:G470)</f>
        <v>1108994</v>
      </c>
      <c r="H471" s="1064">
        <f t="shared" si="46"/>
        <v>1.0111196409913221</v>
      </c>
    </row>
    <row r="472" spans="1:9" ht="12.75">
      <c r="A472" s="310"/>
      <c r="B472" s="334" t="s">
        <v>251</v>
      </c>
      <c r="C472" s="1122">
        <v>7636</v>
      </c>
      <c r="D472" s="1122">
        <v>7636</v>
      </c>
      <c r="E472" s="1122">
        <v>7636</v>
      </c>
      <c r="F472" s="1122">
        <v>7636</v>
      </c>
      <c r="G472" s="1122">
        <f>7636+713</f>
        <v>8349</v>
      </c>
      <c r="H472" s="317">
        <f t="shared" si="46"/>
        <v>1.0933734939759037</v>
      </c>
      <c r="I472" s="709"/>
    </row>
    <row r="473" spans="1:8" ht="12.75">
      <c r="A473" s="310"/>
      <c r="B473" s="334" t="s">
        <v>252</v>
      </c>
      <c r="C473" s="1122"/>
      <c r="D473" s="1122"/>
      <c r="E473" s="1122"/>
      <c r="F473" s="1122"/>
      <c r="G473" s="1122"/>
      <c r="H473" s="317"/>
    </row>
    <row r="474" spans="1:8" ht="13.5" thickBot="1">
      <c r="A474" s="310"/>
      <c r="B474" s="336" t="s">
        <v>448</v>
      </c>
      <c r="C474" s="1122"/>
      <c r="D474" s="1122"/>
      <c r="E474" s="1122"/>
      <c r="F474" s="1122"/>
      <c r="G474" s="1122"/>
      <c r="H474" s="676"/>
    </row>
    <row r="475" spans="1:8" ht="13.5" thickBot="1">
      <c r="A475" s="310"/>
      <c r="B475" s="338" t="s">
        <v>66</v>
      </c>
      <c r="C475" s="1124">
        <f>SUM(C472:C474)</f>
        <v>7636</v>
      </c>
      <c r="D475" s="1124">
        <f>SUM(D472:D474)</f>
        <v>7636</v>
      </c>
      <c r="E475" s="1124">
        <f>SUM(E472:E474)</f>
        <v>7636</v>
      </c>
      <c r="F475" s="1124">
        <f>SUM(F472:F474)</f>
        <v>7636</v>
      </c>
      <c r="G475" s="1124">
        <f>SUM(G472:G474)</f>
        <v>8349</v>
      </c>
      <c r="H475" s="1064">
        <f aca="true" t="shared" si="47" ref="H475:H536">SUM(G475/F475)</f>
        <v>1.0933734939759037</v>
      </c>
    </row>
    <row r="476" spans="1:8" ht="15.75" thickBot="1">
      <c r="A476" s="307"/>
      <c r="B476" s="339" t="s">
        <v>112</v>
      </c>
      <c r="C476" s="970">
        <f>SUM(C471+C475)</f>
        <v>1033818</v>
      </c>
      <c r="D476" s="970">
        <f>SUM(D471+D475)</f>
        <v>1033818</v>
      </c>
      <c r="E476" s="970">
        <f>SUM(E471+E475)</f>
        <v>1093632</v>
      </c>
      <c r="F476" s="970">
        <f>SUM(F471+F475)</f>
        <v>1104434</v>
      </c>
      <c r="G476" s="970">
        <f>SUM(G471+G475)</f>
        <v>1117343</v>
      </c>
      <c r="H476" s="1064">
        <f t="shared" si="47"/>
        <v>1.0116883399098542</v>
      </c>
    </row>
    <row r="477" spans="1:8" ht="15">
      <c r="A477" s="224">
        <v>2898</v>
      </c>
      <c r="B477" s="341" t="s">
        <v>342</v>
      </c>
      <c r="C477" s="1137"/>
      <c r="D477" s="1137"/>
      <c r="E477" s="1137"/>
      <c r="F477" s="1137"/>
      <c r="G477" s="1137"/>
      <c r="H477" s="317"/>
    </row>
    <row r="478" spans="1:8" ht="12.75">
      <c r="A478" s="310"/>
      <c r="B478" s="312" t="s">
        <v>191</v>
      </c>
      <c r="C478" s="1125"/>
      <c r="D478" s="1125"/>
      <c r="E478" s="1125"/>
      <c r="F478" s="1125"/>
      <c r="G478" s="1125"/>
      <c r="H478" s="317"/>
    </row>
    <row r="479" spans="1:8" ht="13.5" thickBot="1">
      <c r="A479" s="310"/>
      <c r="B479" s="313" t="s">
        <v>192</v>
      </c>
      <c r="C479" s="1123">
        <f>SUM(C446+C412)</f>
        <v>0</v>
      </c>
      <c r="D479" s="1123">
        <f>SUM(D446+D412)</f>
        <v>0</v>
      </c>
      <c r="E479" s="1123">
        <f>SUM(E446+E412)</f>
        <v>0</v>
      </c>
      <c r="F479" s="1123">
        <f>SUM(F446+F412)</f>
        <v>0</v>
      </c>
      <c r="G479" s="1123">
        <f>SUM(G446+G412)</f>
        <v>0</v>
      </c>
      <c r="H479" s="676"/>
    </row>
    <row r="480" spans="1:8" ht="13.5" thickBot="1">
      <c r="A480" s="310"/>
      <c r="B480" s="314" t="s">
        <v>205</v>
      </c>
      <c r="C480" s="1142">
        <f>SUM(C479)</f>
        <v>0</v>
      </c>
      <c r="D480" s="1142">
        <f>SUM(D479)</f>
        <v>0</v>
      </c>
      <c r="E480" s="1142">
        <f>SUM(E479)</f>
        <v>0</v>
      </c>
      <c r="F480" s="1142">
        <f>SUM(F479)</f>
        <v>0</v>
      </c>
      <c r="G480" s="1142">
        <f>SUM(G479)</f>
        <v>0</v>
      </c>
      <c r="H480" s="1075"/>
    </row>
    <row r="481" spans="1:8" ht="12.75">
      <c r="A481" s="310"/>
      <c r="B481" s="312" t="s">
        <v>194</v>
      </c>
      <c r="C481" s="1122">
        <f aca="true" t="shared" si="48" ref="C481:D486">SUM(C448+C414)</f>
        <v>4058</v>
      </c>
      <c r="D481" s="1122">
        <f t="shared" si="48"/>
        <v>4058</v>
      </c>
      <c r="E481" s="1122">
        <f aca="true" t="shared" si="49" ref="E481:E486">SUM(E448+E414)</f>
        <v>4058</v>
      </c>
      <c r="F481" s="1122">
        <f aca="true" t="shared" si="50" ref="F481">SUM(F448+F414)</f>
        <v>4058</v>
      </c>
      <c r="G481" s="1122">
        <f aca="true" t="shared" si="51" ref="G481">SUM(G448+G414)</f>
        <v>4058</v>
      </c>
      <c r="H481" s="317">
        <f t="shared" si="47"/>
        <v>1</v>
      </c>
    </row>
    <row r="482" spans="1:8" ht="12.75">
      <c r="A482" s="310"/>
      <c r="B482" s="318" t="s">
        <v>195</v>
      </c>
      <c r="C482" s="1128">
        <f t="shared" si="48"/>
        <v>3565</v>
      </c>
      <c r="D482" s="1128">
        <f t="shared" si="48"/>
        <v>3565</v>
      </c>
      <c r="E482" s="1128">
        <f t="shared" si="49"/>
        <v>3565</v>
      </c>
      <c r="F482" s="1128">
        <f aca="true" t="shared" si="52" ref="F482">SUM(F449+F415)</f>
        <v>3565</v>
      </c>
      <c r="G482" s="1128">
        <f aca="true" t="shared" si="53" ref="G482">SUM(G449+G415)</f>
        <v>3565</v>
      </c>
      <c r="H482" s="317">
        <f t="shared" si="47"/>
        <v>1</v>
      </c>
    </row>
    <row r="483" spans="1:8" ht="12.75">
      <c r="A483" s="310"/>
      <c r="B483" s="318" t="s">
        <v>196</v>
      </c>
      <c r="C483" s="1128">
        <f t="shared" si="48"/>
        <v>493</v>
      </c>
      <c r="D483" s="1128">
        <f t="shared" si="48"/>
        <v>493</v>
      </c>
      <c r="E483" s="1128">
        <f t="shared" si="49"/>
        <v>493</v>
      </c>
      <c r="F483" s="1128">
        <f aca="true" t="shared" si="54" ref="F483">SUM(F450+F416)</f>
        <v>493</v>
      </c>
      <c r="G483" s="1128">
        <f aca="true" t="shared" si="55" ref="G483">SUM(G450+G416)</f>
        <v>493</v>
      </c>
      <c r="H483" s="317">
        <f t="shared" si="47"/>
        <v>1</v>
      </c>
    </row>
    <row r="484" spans="1:9" ht="12.75">
      <c r="A484" s="310"/>
      <c r="B484" s="320" t="s">
        <v>197</v>
      </c>
      <c r="C484" s="1122">
        <f t="shared" si="48"/>
        <v>0</v>
      </c>
      <c r="D484" s="1122">
        <f t="shared" si="48"/>
        <v>0</v>
      </c>
      <c r="E484" s="1122">
        <f t="shared" si="49"/>
        <v>0</v>
      </c>
      <c r="F484" s="1122">
        <f aca="true" t="shared" si="56" ref="F484">SUM(F451+F417)</f>
        <v>0</v>
      </c>
      <c r="G484" s="1122">
        <f aca="true" t="shared" si="57" ref="G484">SUM(G451+G417)</f>
        <v>0</v>
      </c>
      <c r="H484" s="317"/>
      <c r="I484" s="709"/>
    </row>
    <row r="485" spans="1:9" ht="12.75">
      <c r="A485" s="310"/>
      <c r="B485" s="320" t="s">
        <v>198</v>
      </c>
      <c r="C485" s="1122">
        <f t="shared" si="48"/>
        <v>55766</v>
      </c>
      <c r="D485" s="1122">
        <f t="shared" si="48"/>
        <v>55766</v>
      </c>
      <c r="E485" s="1122">
        <f t="shared" si="49"/>
        <v>55766</v>
      </c>
      <c r="F485" s="1122">
        <f aca="true" t="shared" si="58" ref="F485">SUM(F452+F418)</f>
        <v>55766</v>
      </c>
      <c r="G485" s="1122">
        <f aca="true" t="shared" si="59" ref="G485">SUM(G452+G418)</f>
        <v>55766</v>
      </c>
      <c r="H485" s="317">
        <f t="shared" si="47"/>
        <v>1</v>
      </c>
      <c r="I485" s="709"/>
    </row>
    <row r="486" spans="1:9" ht="12.75">
      <c r="A486" s="310"/>
      <c r="B486" s="320" t="s">
        <v>199</v>
      </c>
      <c r="C486" s="1122">
        <f t="shared" si="48"/>
        <v>10493</v>
      </c>
      <c r="D486" s="1122">
        <f t="shared" si="48"/>
        <v>10493</v>
      </c>
      <c r="E486" s="1122">
        <f t="shared" si="49"/>
        <v>10493</v>
      </c>
      <c r="F486" s="1122">
        <f aca="true" t="shared" si="60" ref="F486">SUM(F453+F419)</f>
        <v>10493</v>
      </c>
      <c r="G486" s="1122">
        <f aca="true" t="shared" si="61" ref="G486">SUM(G453+G419)</f>
        <v>10493</v>
      </c>
      <c r="H486" s="317">
        <f t="shared" si="47"/>
        <v>1</v>
      </c>
      <c r="I486" s="709"/>
    </row>
    <row r="487" spans="1:8" ht="12.75">
      <c r="A487" s="310"/>
      <c r="B487" s="320" t="s">
        <v>353</v>
      </c>
      <c r="C487" s="1122">
        <f>SUM(C420+C454)</f>
        <v>4401</v>
      </c>
      <c r="D487" s="1122">
        <f>SUM(D420+D454)</f>
        <v>4401</v>
      </c>
      <c r="E487" s="1122">
        <f>SUM(E420+E454)</f>
        <v>4401</v>
      </c>
      <c r="F487" s="1122">
        <f>SUM(F420+F454)</f>
        <v>4401</v>
      </c>
      <c r="G487" s="1122">
        <f>SUM(G420+G454)</f>
        <v>4401</v>
      </c>
      <c r="H487" s="317">
        <f t="shared" si="47"/>
        <v>1</v>
      </c>
    </row>
    <row r="488" spans="1:8" ht="12.75">
      <c r="A488" s="310"/>
      <c r="B488" s="321" t="s">
        <v>468</v>
      </c>
      <c r="C488" s="1122">
        <f aca="true" t="shared" si="62" ref="C488:E489">SUM(C455+C421)</f>
        <v>0</v>
      </c>
      <c r="D488" s="1122">
        <f t="shared" si="62"/>
        <v>0</v>
      </c>
      <c r="E488" s="1122">
        <f t="shared" si="62"/>
        <v>0</v>
      </c>
      <c r="F488" s="1122">
        <f aca="true" t="shared" si="63" ref="F488">SUM(F455+F421)</f>
        <v>0</v>
      </c>
      <c r="G488" s="1122">
        <f aca="true" t="shared" si="64" ref="G488">SUM(G455+G421)</f>
        <v>0</v>
      </c>
      <c r="H488" s="317"/>
    </row>
    <row r="489" spans="1:8" ht="13.5" thickBot="1">
      <c r="A489" s="310"/>
      <c r="B489" s="322" t="s">
        <v>200</v>
      </c>
      <c r="C489" s="1122">
        <f t="shared" si="62"/>
        <v>0</v>
      </c>
      <c r="D489" s="1122">
        <f t="shared" si="62"/>
        <v>0</v>
      </c>
      <c r="E489" s="1122">
        <f t="shared" si="62"/>
        <v>0</v>
      </c>
      <c r="F489" s="1122">
        <f aca="true" t="shared" si="65" ref="F489">SUM(F456+F422)</f>
        <v>0</v>
      </c>
      <c r="G489" s="1122">
        <f aca="true" t="shared" si="66" ref="G489">SUM(G456+G422)</f>
        <v>0</v>
      </c>
      <c r="H489" s="676"/>
    </row>
    <row r="490" spans="1:8" ht="13.5" thickBot="1">
      <c r="A490" s="310"/>
      <c r="B490" s="324" t="s">
        <v>349</v>
      </c>
      <c r="C490" s="1124">
        <f>SUM(C481+C484+C485+C486+C489+C487)</f>
        <v>74718</v>
      </c>
      <c r="D490" s="1124">
        <f>SUM(D481+D484+D485+D486+D489+D487)</f>
        <v>74718</v>
      </c>
      <c r="E490" s="1124">
        <f>SUM(E481+E484+E485+E486+E489+E487)</f>
        <v>74718</v>
      </c>
      <c r="F490" s="1124">
        <f>SUM(F481+F484+F485+F486+F489+F487)</f>
        <v>74718</v>
      </c>
      <c r="G490" s="1124">
        <f>SUM(G481+G484+G485+G486+G489+G487)</f>
        <v>74718</v>
      </c>
      <c r="H490" s="1064">
        <f t="shared" si="47"/>
        <v>1</v>
      </c>
    </row>
    <row r="491" spans="1:8" ht="13.5" thickBot="1">
      <c r="A491" s="310"/>
      <c r="B491" s="326" t="s">
        <v>67</v>
      </c>
      <c r="C491" s="1135">
        <f>SUM(C490+C480)</f>
        <v>74718</v>
      </c>
      <c r="D491" s="1135">
        <f>SUM(D490+D480)</f>
        <v>74718</v>
      </c>
      <c r="E491" s="1135">
        <f>SUM(E490+E480)</f>
        <v>74718</v>
      </c>
      <c r="F491" s="1135">
        <f>SUM(F490+F480)</f>
        <v>74718</v>
      </c>
      <c r="G491" s="1135">
        <f>SUM(G490+G480)</f>
        <v>74718</v>
      </c>
      <c r="H491" s="1076">
        <f t="shared" si="47"/>
        <v>1</v>
      </c>
    </row>
    <row r="492" spans="1:8" ht="13.5" thickBot="1">
      <c r="A492" s="310"/>
      <c r="B492" s="327" t="s">
        <v>68</v>
      </c>
      <c r="C492" s="1134"/>
      <c r="D492" s="1134"/>
      <c r="E492" s="1134"/>
      <c r="F492" s="1134"/>
      <c r="G492" s="1134"/>
      <c r="H492" s="1075"/>
    </row>
    <row r="493" spans="1:8" ht="12.75">
      <c r="A493" s="310"/>
      <c r="B493" s="694" t="s">
        <v>439</v>
      </c>
      <c r="C493" s="1133">
        <f aca="true" t="shared" si="67" ref="C493:E494">SUM(C460+C426)</f>
        <v>0</v>
      </c>
      <c r="D493" s="1133">
        <f t="shared" si="67"/>
        <v>0</v>
      </c>
      <c r="E493" s="1133">
        <f t="shared" si="67"/>
        <v>8553</v>
      </c>
      <c r="F493" s="1133">
        <f aca="true" t="shared" si="68" ref="F493">SUM(F460+F426)</f>
        <v>8553</v>
      </c>
      <c r="G493" s="1133">
        <f aca="true" t="shared" si="69" ref="G493">SUM(G460+G426)</f>
        <v>8553</v>
      </c>
      <c r="H493" s="317">
        <f t="shared" si="47"/>
        <v>1</v>
      </c>
    </row>
    <row r="494" spans="1:9" ht="12.75">
      <c r="A494" s="310"/>
      <c r="B494" s="329" t="s">
        <v>475</v>
      </c>
      <c r="C494" s="1122">
        <f t="shared" si="67"/>
        <v>1549286</v>
      </c>
      <c r="D494" s="1122">
        <f t="shared" si="67"/>
        <v>1549286</v>
      </c>
      <c r="E494" s="1122">
        <f t="shared" si="67"/>
        <v>1592366</v>
      </c>
      <c r="F494" s="1122">
        <f aca="true" t="shared" si="70" ref="F494">SUM(F461+F427)</f>
        <v>1607536</v>
      </c>
      <c r="G494" s="1122">
        <f aca="true" t="shared" si="71" ref="G494">SUM(G461+G427)</f>
        <v>1624028</v>
      </c>
      <c r="H494" s="317">
        <f t="shared" si="47"/>
        <v>1.0102591792656588</v>
      </c>
      <c r="I494" s="709"/>
    </row>
    <row r="495" spans="1:9" ht="13.5" thickBot="1">
      <c r="A495" s="310"/>
      <c r="B495" s="330" t="s">
        <v>478</v>
      </c>
      <c r="C495" s="1123">
        <f>SUM(C428)</f>
        <v>20246</v>
      </c>
      <c r="D495" s="1123">
        <f>SUM(D428)</f>
        <v>20246</v>
      </c>
      <c r="E495" s="1123">
        <f>SUM(E428)</f>
        <v>20246</v>
      </c>
      <c r="F495" s="1123">
        <f>SUM(F428)</f>
        <v>20246</v>
      </c>
      <c r="G495" s="1123">
        <f>SUM(G428)</f>
        <v>20246</v>
      </c>
      <c r="H495" s="676">
        <f t="shared" si="47"/>
        <v>1</v>
      </c>
      <c r="I495" s="709"/>
    </row>
    <row r="496" spans="1:8" ht="13.5" thickBot="1">
      <c r="A496" s="310"/>
      <c r="B496" s="331" t="s">
        <v>61</v>
      </c>
      <c r="C496" s="1121">
        <f>SUM(C493:C495)</f>
        <v>1569532</v>
      </c>
      <c r="D496" s="1121">
        <f>SUM(D493:D495)</f>
        <v>1569532</v>
      </c>
      <c r="E496" s="1121">
        <f>SUM(E493:E495)</f>
        <v>1621165</v>
      </c>
      <c r="F496" s="1121">
        <f>SUM(F493:F495)</f>
        <v>1636335</v>
      </c>
      <c r="G496" s="1121">
        <f>SUM(G493:G495)</f>
        <v>1652827</v>
      </c>
      <c r="H496" s="1064">
        <f t="shared" si="47"/>
        <v>1.0100786208203087</v>
      </c>
    </row>
    <row r="497" spans="1:8" ht="13.5" thickBot="1">
      <c r="A497" s="310"/>
      <c r="B497" s="247" t="s">
        <v>439</v>
      </c>
      <c r="C497" s="1149">
        <f>SUM(C463)</f>
        <v>0</v>
      </c>
      <c r="D497" s="1149">
        <f>SUM(D463)</f>
        <v>0</v>
      </c>
      <c r="E497" s="1149">
        <f>SUM(E463+E430)</f>
        <v>961</v>
      </c>
      <c r="F497" s="1149">
        <f>SUM(F463+F430)</f>
        <v>961</v>
      </c>
      <c r="G497" s="1149">
        <f>SUM(G463+G430)</f>
        <v>961</v>
      </c>
      <c r="H497" s="1075">
        <f t="shared" si="47"/>
        <v>1</v>
      </c>
    </row>
    <row r="498" spans="1:8" ht="13.5" thickBot="1">
      <c r="A498" s="310"/>
      <c r="B498" s="331" t="s">
        <v>63</v>
      </c>
      <c r="C498" s="1121">
        <f>SUM(C497)</f>
        <v>0</v>
      </c>
      <c r="D498" s="1121">
        <f>SUM(D497)</f>
        <v>0</v>
      </c>
      <c r="E498" s="1121">
        <f>SUM(E497)</f>
        <v>961</v>
      </c>
      <c r="F498" s="1121">
        <f>SUM(F497)</f>
        <v>961</v>
      </c>
      <c r="G498" s="1121">
        <f>SUM(G497)</f>
        <v>961</v>
      </c>
      <c r="H498" s="1064">
        <f t="shared" si="47"/>
        <v>1</v>
      </c>
    </row>
    <row r="499" spans="1:8" ht="15.75" thickBot="1">
      <c r="A499" s="310"/>
      <c r="B499" s="333" t="s">
        <v>75</v>
      </c>
      <c r="C499" s="970">
        <f>SUM(C491+C492+C496+C498)</f>
        <v>1644250</v>
      </c>
      <c r="D499" s="970">
        <f>SUM(D491+D492+D496+D498)</f>
        <v>1644250</v>
      </c>
      <c r="E499" s="970">
        <f>SUM(E491+E492+E496+E498)</f>
        <v>1696844</v>
      </c>
      <c r="F499" s="970">
        <f>SUM(F491+F492+F496+F498)</f>
        <v>1712014</v>
      </c>
      <c r="G499" s="970">
        <f>SUM(G491+G492+G496+G498)</f>
        <v>1728506</v>
      </c>
      <c r="H499" s="1064">
        <f t="shared" si="47"/>
        <v>1.0096330987947528</v>
      </c>
    </row>
    <row r="500" spans="1:9" ht="12.75">
      <c r="A500" s="310"/>
      <c r="B500" s="334" t="s">
        <v>328</v>
      </c>
      <c r="C500" s="1122">
        <f aca="true" t="shared" si="72" ref="C500:D504">SUM(C466+C433)</f>
        <v>1117300</v>
      </c>
      <c r="D500" s="1122">
        <f t="shared" si="72"/>
        <v>1117300</v>
      </c>
      <c r="E500" s="1122">
        <f aca="true" t="shared" si="73" ref="E500:F504">SUM(E466+E433)</f>
        <v>1164725</v>
      </c>
      <c r="F500" s="1122">
        <f t="shared" si="73"/>
        <v>1169168</v>
      </c>
      <c r="G500" s="1122">
        <f aca="true" t="shared" si="74" ref="G500">SUM(G466+G433)</f>
        <v>1180589</v>
      </c>
      <c r="H500" s="317">
        <f t="shared" si="47"/>
        <v>1.0097684849397177</v>
      </c>
      <c r="I500" s="709"/>
    </row>
    <row r="501" spans="1:9" ht="12.75">
      <c r="A501" s="310"/>
      <c r="B501" s="334" t="s">
        <v>329</v>
      </c>
      <c r="C501" s="1122">
        <f t="shared" si="72"/>
        <v>218525</v>
      </c>
      <c r="D501" s="1122">
        <f t="shared" si="72"/>
        <v>218525</v>
      </c>
      <c r="E501" s="1122">
        <f t="shared" si="73"/>
        <v>228787</v>
      </c>
      <c r="F501" s="1122">
        <f t="shared" si="73"/>
        <v>229514</v>
      </c>
      <c r="G501" s="1122">
        <f aca="true" t="shared" si="75" ref="G501">SUM(G467+G434)</f>
        <v>231355</v>
      </c>
      <c r="H501" s="317">
        <f t="shared" si="47"/>
        <v>1.0080212971757714</v>
      </c>
      <c r="I501" s="709"/>
    </row>
    <row r="502" spans="1:9" ht="12.75">
      <c r="A502" s="310"/>
      <c r="B502" s="334" t="s">
        <v>330</v>
      </c>
      <c r="C502" s="1122">
        <f t="shared" si="72"/>
        <v>293244</v>
      </c>
      <c r="D502" s="1122">
        <f t="shared" si="72"/>
        <v>293244</v>
      </c>
      <c r="E502" s="1122">
        <f t="shared" si="73"/>
        <v>291476</v>
      </c>
      <c r="F502" s="1122">
        <f t="shared" si="73"/>
        <v>301476</v>
      </c>
      <c r="G502" s="1122">
        <f aca="true" t="shared" si="76" ref="G502">SUM(G468+G435)</f>
        <v>302988</v>
      </c>
      <c r="H502" s="317">
        <f t="shared" si="47"/>
        <v>1.0050153246029534</v>
      </c>
      <c r="I502" s="709"/>
    </row>
    <row r="503" spans="1:9" ht="12.75">
      <c r="A503" s="310"/>
      <c r="B503" s="335" t="s">
        <v>332</v>
      </c>
      <c r="C503" s="1122">
        <f t="shared" si="72"/>
        <v>600</v>
      </c>
      <c r="D503" s="1122">
        <f t="shared" si="72"/>
        <v>600</v>
      </c>
      <c r="E503" s="1122">
        <f t="shared" si="73"/>
        <v>600</v>
      </c>
      <c r="F503" s="1122">
        <f t="shared" si="73"/>
        <v>600</v>
      </c>
      <c r="G503" s="1122">
        <f aca="true" t="shared" si="77" ref="G503">SUM(G469+G436)</f>
        <v>600</v>
      </c>
      <c r="H503" s="317">
        <f t="shared" si="47"/>
        <v>1</v>
      </c>
      <c r="I503" s="709"/>
    </row>
    <row r="504" spans="1:8" ht="13.5" thickBot="1">
      <c r="A504" s="310"/>
      <c r="B504" s="336" t="s">
        <v>331</v>
      </c>
      <c r="C504" s="1122">
        <f t="shared" si="72"/>
        <v>0</v>
      </c>
      <c r="D504" s="1122">
        <f t="shared" si="72"/>
        <v>0</v>
      </c>
      <c r="E504" s="1122">
        <f t="shared" si="73"/>
        <v>0</v>
      </c>
      <c r="F504" s="1122">
        <f t="shared" si="73"/>
        <v>0</v>
      </c>
      <c r="G504" s="1122">
        <f aca="true" t="shared" si="78" ref="G504">SUM(G470+G437)</f>
        <v>5</v>
      </c>
      <c r="H504" s="676"/>
    </row>
    <row r="505" spans="1:8" ht="13.5" thickBot="1">
      <c r="A505" s="310"/>
      <c r="B505" s="337" t="s">
        <v>60</v>
      </c>
      <c r="C505" s="1124">
        <f>SUM(C500:C504)</f>
        <v>1629669</v>
      </c>
      <c r="D505" s="1124">
        <f>SUM(D500:D504)</f>
        <v>1629669</v>
      </c>
      <c r="E505" s="1124">
        <f>SUM(E500:E504)</f>
        <v>1685588</v>
      </c>
      <c r="F505" s="1124">
        <f>SUM(F500:F504)</f>
        <v>1700758</v>
      </c>
      <c r="G505" s="1124">
        <f>SUM(G500:G504)</f>
        <v>1715537</v>
      </c>
      <c r="H505" s="1064">
        <f t="shared" si="47"/>
        <v>1.0086896548480149</v>
      </c>
    </row>
    <row r="506" spans="1:8" ht="12.75">
      <c r="A506" s="310"/>
      <c r="B506" s="334" t="s">
        <v>251</v>
      </c>
      <c r="C506" s="1122">
        <f>SUM(C472+C439)</f>
        <v>14581</v>
      </c>
      <c r="D506" s="1122">
        <f>SUM(D472+D439)</f>
        <v>14581</v>
      </c>
      <c r="E506" s="1122">
        <f>SUM(E472+E439)</f>
        <v>11256</v>
      </c>
      <c r="F506" s="1122">
        <f>SUM(F472+F439)</f>
        <v>11256</v>
      </c>
      <c r="G506" s="1122">
        <f>SUM(G472+G439)</f>
        <v>12969</v>
      </c>
      <c r="H506" s="317">
        <f t="shared" si="47"/>
        <v>1.1521855010660982</v>
      </c>
    </row>
    <row r="507" spans="1:8" ht="12.75">
      <c r="A507" s="310"/>
      <c r="B507" s="334" t="s">
        <v>252</v>
      </c>
      <c r="C507" s="1122">
        <f>SUM(C473)</f>
        <v>0</v>
      </c>
      <c r="D507" s="1122">
        <f>SUM(D473)</f>
        <v>0</v>
      </c>
      <c r="E507" s="1122">
        <f>SUM(E473)</f>
        <v>0</v>
      </c>
      <c r="F507" s="1122">
        <f>SUM(F473)</f>
        <v>0</v>
      </c>
      <c r="G507" s="1122">
        <f>SUM(G473)</f>
        <v>0</v>
      </c>
      <c r="H507" s="317"/>
    </row>
    <row r="508" spans="1:8" ht="13.5" thickBot="1">
      <c r="A508" s="310"/>
      <c r="B508" s="336" t="s">
        <v>448</v>
      </c>
      <c r="C508" s="1123"/>
      <c r="D508" s="1123"/>
      <c r="E508" s="1123"/>
      <c r="F508" s="1123"/>
      <c r="G508" s="1123"/>
      <c r="H508" s="676"/>
    </row>
    <row r="509" spans="1:8" ht="13.5" thickBot="1">
      <c r="A509" s="310"/>
      <c r="B509" s="338" t="s">
        <v>66</v>
      </c>
      <c r="C509" s="1124">
        <f>SUM(C506:C508)</f>
        <v>14581</v>
      </c>
      <c r="D509" s="1124">
        <f>SUM(D506:D508)</f>
        <v>14581</v>
      </c>
      <c r="E509" s="1124">
        <f>SUM(E506:E508)</f>
        <v>11256</v>
      </c>
      <c r="F509" s="1124">
        <f>SUM(F506:F508)</f>
        <v>11256</v>
      </c>
      <c r="G509" s="1124">
        <f>SUM(G506:G508)</f>
        <v>12969</v>
      </c>
      <c r="H509" s="1064">
        <f t="shared" si="47"/>
        <v>1.1521855010660982</v>
      </c>
    </row>
    <row r="510" spans="1:8" ht="15.75" thickBot="1">
      <c r="A510" s="307"/>
      <c r="B510" s="339" t="s">
        <v>112</v>
      </c>
      <c r="C510" s="1148">
        <f>SUM(C505+C509)</f>
        <v>1644250</v>
      </c>
      <c r="D510" s="1148">
        <f>SUM(D505+D509)</f>
        <v>1644250</v>
      </c>
      <c r="E510" s="1148">
        <f>SUM(E505+E509)</f>
        <v>1696844</v>
      </c>
      <c r="F510" s="1148">
        <f>SUM(F505+F509)</f>
        <v>1712014</v>
      </c>
      <c r="G510" s="1148">
        <f>SUM(G505+G509)</f>
        <v>1728506</v>
      </c>
      <c r="H510" s="1064">
        <f t="shared" si="47"/>
        <v>1.0096330987947528</v>
      </c>
    </row>
    <row r="511" spans="1:8" ht="15">
      <c r="A511" s="224">
        <v>2985</v>
      </c>
      <c r="B511" s="227" t="s">
        <v>343</v>
      </c>
      <c r="C511" s="1122"/>
      <c r="D511" s="1122"/>
      <c r="E511" s="1122"/>
      <c r="F511" s="1122"/>
      <c r="G511" s="1122"/>
      <c r="H511" s="317"/>
    </row>
    <row r="512" spans="1:8" ht="12.6" customHeight="1">
      <c r="A512" s="310"/>
      <c r="B512" s="312" t="s">
        <v>191</v>
      </c>
      <c r="C512" s="1125"/>
      <c r="D512" s="1125"/>
      <c r="E512" s="1125"/>
      <c r="F512" s="1125"/>
      <c r="G512" s="1125"/>
      <c r="H512" s="317"/>
    </row>
    <row r="513" spans="1:8" ht="13.5" thickBot="1">
      <c r="A513" s="310"/>
      <c r="B513" s="313" t="s">
        <v>192</v>
      </c>
      <c r="C513" s="1138"/>
      <c r="D513" s="1138"/>
      <c r="E513" s="1138"/>
      <c r="F513" s="1138"/>
      <c r="G513" s="1138">
        <v>2802</v>
      </c>
      <c r="H513" s="676"/>
    </row>
    <row r="514" spans="1:8" ht="13.5" thickBot="1">
      <c r="A514" s="310"/>
      <c r="B514" s="314" t="s">
        <v>205</v>
      </c>
      <c r="C514" s="1136"/>
      <c r="D514" s="1136"/>
      <c r="E514" s="1136"/>
      <c r="F514" s="1136"/>
      <c r="G514" s="1136">
        <f>SUM(G511:G513)</f>
        <v>2802</v>
      </c>
      <c r="H514" s="1075"/>
    </row>
    <row r="515" spans="1:8" ht="12.75">
      <c r="A515" s="310"/>
      <c r="B515" s="312" t="s">
        <v>414</v>
      </c>
      <c r="C515" s="1150"/>
      <c r="D515" s="1150"/>
      <c r="E515" s="1150"/>
      <c r="F515" s="1150"/>
      <c r="G515" s="1150"/>
      <c r="H515" s="317"/>
    </row>
    <row r="516" spans="1:8" ht="12.75">
      <c r="A516" s="310"/>
      <c r="B516" s="312" t="s">
        <v>194</v>
      </c>
      <c r="C516" s="1122">
        <f>SUM(C517)</f>
        <v>12126</v>
      </c>
      <c r="D516" s="1122">
        <f>SUM(D517)</f>
        <v>12126</v>
      </c>
      <c r="E516" s="1122">
        <f>SUM(E517)</f>
        <v>4252</v>
      </c>
      <c r="F516" s="1122">
        <f>SUM(F517)</f>
        <v>4252</v>
      </c>
      <c r="G516" s="1122">
        <f>SUM(G517)</f>
        <v>6024</v>
      </c>
      <c r="H516" s="317">
        <f t="shared" si="47"/>
        <v>1.4167450611476953</v>
      </c>
    </row>
    <row r="517" spans="1:9" ht="12.75">
      <c r="A517" s="310"/>
      <c r="B517" s="318" t="s">
        <v>195</v>
      </c>
      <c r="C517" s="1128">
        <v>12126</v>
      </c>
      <c r="D517" s="1128">
        <v>12126</v>
      </c>
      <c r="E517" s="1128">
        <v>4252</v>
      </c>
      <c r="F517" s="1128">
        <v>4252</v>
      </c>
      <c r="G517" s="1128">
        <f>4252+1772</f>
        <v>6024</v>
      </c>
      <c r="H517" s="317">
        <f t="shared" si="47"/>
        <v>1.4167450611476953</v>
      </c>
      <c r="I517" s="709"/>
    </row>
    <row r="518" spans="1:8" ht="12.75">
      <c r="A518" s="310"/>
      <c r="B518" s="318" t="s">
        <v>196</v>
      </c>
      <c r="C518" s="1128"/>
      <c r="D518" s="1128"/>
      <c r="E518" s="1128"/>
      <c r="F518" s="1128"/>
      <c r="G518" s="1128"/>
      <c r="H518" s="317"/>
    </row>
    <row r="519" spans="1:8" ht="12.75">
      <c r="A519" s="310"/>
      <c r="B519" s="320" t="s">
        <v>197</v>
      </c>
      <c r="C519" s="1122"/>
      <c r="D519" s="1122"/>
      <c r="E519" s="1122"/>
      <c r="F519" s="1122"/>
      <c r="G519" s="1122">
        <v>198</v>
      </c>
      <c r="H519" s="317"/>
    </row>
    <row r="520" spans="1:8" ht="12.75">
      <c r="A520" s="310"/>
      <c r="B520" s="320" t="s">
        <v>198</v>
      </c>
      <c r="C520" s="1122"/>
      <c r="D520" s="1122"/>
      <c r="E520" s="1122"/>
      <c r="F520" s="1122"/>
      <c r="G520" s="1122"/>
      <c r="H520" s="317"/>
    </row>
    <row r="521" spans="1:9" ht="12.75">
      <c r="A521" s="310"/>
      <c r="B521" s="320" t="s">
        <v>199</v>
      </c>
      <c r="C521" s="1122">
        <v>3274</v>
      </c>
      <c r="D521" s="1122">
        <v>3274</v>
      </c>
      <c r="E521" s="1122">
        <v>1148</v>
      </c>
      <c r="F521" s="1122">
        <v>1148</v>
      </c>
      <c r="G521" s="1122">
        <f>1148+720</f>
        <v>1868</v>
      </c>
      <c r="H521" s="317">
        <f t="shared" si="47"/>
        <v>1.627177700348432</v>
      </c>
      <c r="I521" s="709"/>
    </row>
    <row r="522" spans="1:8" ht="12.75">
      <c r="A522" s="310"/>
      <c r="B522" s="320" t="s">
        <v>353</v>
      </c>
      <c r="C522" s="1122"/>
      <c r="D522" s="1122"/>
      <c r="E522" s="1122"/>
      <c r="F522" s="1122"/>
      <c r="G522" s="1122"/>
      <c r="H522" s="317"/>
    </row>
    <row r="523" spans="1:8" ht="12.75">
      <c r="A523" s="310"/>
      <c r="B523" s="321" t="s">
        <v>468</v>
      </c>
      <c r="C523" s="1122"/>
      <c r="D523" s="1122"/>
      <c r="E523" s="1122"/>
      <c r="F523" s="1122"/>
      <c r="G523" s="1122"/>
      <c r="H523" s="317"/>
    </row>
    <row r="524" spans="1:8" ht="13.5" thickBot="1">
      <c r="A524" s="310"/>
      <c r="B524" s="322" t="s">
        <v>200</v>
      </c>
      <c r="C524" s="1122"/>
      <c r="D524" s="1122"/>
      <c r="E524" s="1122"/>
      <c r="F524" s="1122"/>
      <c r="G524" s="1122">
        <v>694</v>
      </c>
      <c r="H524" s="676"/>
    </row>
    <row r="525" spans="1:8" ht="13.5" thickBot="1">
      <c r="A525" s="310"/>
      <c r="B525" s="324" t="s">
        <v>349</v>
      </c>
      <c r="C525" s="1124">
        <f>SUM(C516+C519+C520+C521+C524+C515+C522+C523)</f>
        <v>15400</v>
      </c>
      <c r="D525" s="1124">
        <f>SUM(D516+D519+D520+D521+D524+D515+D522+D523)</f>
        <v>15400</v>
      </c>
      <c r="E525" s="1124">
        <f>SUM(E516+E519+E520+E521+E524+E515+E522+E523)</f>
        <v>5400</v>
      </c>
      <c r="F525" s="1124">
        <f>SUM(F516+F519+F520+F521+F524+F515+F522+F523)</f>
        <v>5400</v>
      </c>
      <c r="G525" s="1124">
        <f>SUM(G516+G519+G520+G521+G524+G515+G522+G523)</f>
        <v>8784</v>
      </c>
      <c r="H525" s="1064">
        <f t="shared" si="47"/>
        <v>1.6266666666666667</v>
      </c>
    </row>
    <row r="526" spans="1:8" ht="13.5" thickBot="1">
      <c r="A526" s="310"/>
      <c r="B526" s="617" t="s">
        <v>230</v>
      </c>
      <c r="C526" s="1129"/>
      <c r="D526" s="1129"/>
      <c r="E526" s="1129"/>
      <c r="F526" s="1129"/>
      <c r="G526" s="1129"/>
      <c r="H526" s="1075"/>
    </row>
    <row r="527" spans="1:8" ht="13.5" thickBot="1">
      <c r="A527" s="310"/>
      <c r="B527" s="326" t="s">
        <v>67</v>
      </c>
      <c r="C527" s="1135">
        <f>SUM(C525+C514+C526)</f>
        <v>15400</v>
      </c>
      <c r="D527" s="1135">
        <f>SUM(D525+D514+D526)</f>
        <v>15400</v>
      </c>
      <c r="E527" s="1135">
        <f>SUM(E525+E514+E526)</f>
        <v>5400</v>
      </c>
      <c r="F527" s="1135">
        <f>SUM(F525+F514+F526)</f>
        <v>5400</v>
      </c>
      <c r="G527" s="1135">
        <f>SUM(G525+G514+G526)</f>
        <v>11586</v>
      </c>
      <c r="H527" s="1064">
        <f t="shared" si="47"/>
        <v>2.1455555555555557</v>
      </c>
    </row>
    <row r="528" spans="1:8" ht="13.5" thickBot="1">
      <c r="A528" s="310"/>
      <c r="B528" s="128" t="s">
        <v>244</v>
      </c>
      <c r="C528" s="1131"/>
      <c r="D528" s="1131"/>
      <c r="E528" s="1131"/>
      <c r="F528" s="1131"/>
      <c r="G528" s="1131"/>
      <c r="H528" s="1075"/>
    </row>
    <row r="529" spans="1:8" ht="13.5" thickBot="1">
      <c r="A529" s="310"/>
      <c r="B529" s="327" t="s">
        <v>68</v>
      </c>
      <c r="C529" s="1132"/>
      <c r="D529" s="1132"/>
      <c r="E529" s="1132"/>
      <c r="F529" s="1132"/>
      <c r="G529" s="1132"/>
      <c r="H529" s="1075"/>
    </row>
    <row r="530" spans="1:8" ht="12.75">
      <c r="A530" s="310"/>
      <c r="B530" s="694" t="s">
        <v>439</v>
      </c>
      <c r="C530" s="1133"/>
      <c r="D530" s="1133"/>
      <c r="E530" s="1133">
        <v>2303</v>
      </c>
      <c r="F530" s="1133">
        <v>2303</v>
      </c>
      <c r="G530" s="1133">
        <v>2303</v>
      </c>
      <c r="H530" s="317">
        <f t="shared" si="47"/>
        <v>1</v>
      </c>
    </row>
    <row r="531" spans="1:9" ht="13.5" thickBot="1">
      <c r="A531" s="310"/>
      <c r="B531" s="330" t="s">
        <v>475</v>
      </c>
      <c r="C531" s="1123">
        <v>339720</v>
      </c>
      <c r="D531" s="1123">
        <v>289720</v>
      </c>
      <c r="E531" s="1123">
        <v>344910</v>
      </c>
      <c r="F531" s="1123">
        <v>346029</v>
      </c>
      <c r="G531" s="1123">
        <v>346029</v>
      </c>
      <c r="H531" s="676">
        <f t="shared" si="47"/>
        <v>1</v>
      </c>
      <c r="I531" s="709"/>
    </row>
    <row r="532" spans="1:8" ht="13.5" thickBot="1">
      <c r="A532" s="310"/>
      <c r="B532" s="331" t="s">
        <v>61</v>
      </c>
      <c r="C532" s="1121">
        <f>SUM(C530:C531)</f>
        <v>339720</v>
      </c>
      <c r="D532" s="1121">
        <f>SUM(D530:D531)</f>
        <v>289720</v>
      </c>
      <c r="E532" s="1121">
        <f>SUM(E530:E531)</f>
        <v>347213</v>
      </c>
      <c r="F532" s="1121">
        <f>SUM(F530:F531)</f>
        <v>348332</v>
      </c>
      <c r="G532" s="1121">
        <f>SUM(G530:G531)</f>
        <v>348332</v>
      </c>
      <c r="H532" s="1064">
        <f t="shared" si="47"/>
        <v>1</v>
      </c>
    </row>
    <row r="533" spans="1:8" ht="15.75" thickBot="1">
      <c r="A533" s="310"/>
      <c r="B533" s="333" t="s">
        <v>75</v>
      </c>
      <c r="C533" s="970">
        <f>SUM(C527+C529+C532)</f>
        <v>355120</v>
      </c>
      <c r="D533" s="970">
        <f>SUM(D527+D529+D532)</f>
        <v>305120</v>
      </c>
      <c r="E533" s="970">
        <f>SUM(E527+E529+E532)</f>
        <v>352613</v>
      </c>
      <c r="F533" s="970">
        <f>SUM(F527+F529+F532)</f>
        <v>353732</v>
      </c>
      <c r="G533" s="970">
        <f>SUM(G527+G529+G532)</f>
        <v>359918</v>
      </c>
      <c r="H533" s="1064">
        <f t="shared" si="47"/>
        <v>1.0174878156344351</v>
      </c>
    </row>
    <row r="534" spans="1:9" ht="12.75">
      <c r="A534" s="310"/>
      <c r="B534" s="334" t="s">
        <v>328</v>
      </c>
      <c r="C534" s="1122">
        <v>143561</v>
      </c>
      <c r="D534" s="1122">
        <v>143561</v>
      </c>
      <c r="E534" s="1122">
        <v>146675</v>
      </c>
      <c r="F534" s="1122">
        <v>147644</v>
      </c>
      <c r="G534" s="1122">
        <v>147644</v>
      </c>
      <c r="H534" s="317">
        <f t="shared" si="47"/>
        <v>1</v>
      </c>
      <c r="I534" s="709"/>
    </row>
    <row r="535" spans="1:9" ht="12.75">
      <c r="A535" s="310"/>
      <c r="B535" s="334" t="s">
        <v>329</v>
      </c>
      <c r="C535" s="1122">
        <v>29656</v>
      </c>
      <c r="D535" s="1122">
        <v>29656</v>
      </c>
      <c r="E535" s="1122">
        <v>32613</v>
      </c>
      <c r="F535" s="1122">
        <v>32763</v>
      </c>
      <c r="G535" s="1122">
        <v>32763</v>
      </c>
      <c r="H535" s="317">
        <f t="shared" si="47"/>
        <v>1</v>
      </c>
      <c r="I535" s="709"/>
    </row>
    <row r="536" spans="1:9" ht="12.75">
      <c r="A536" s="310"/>
      <c r="B536" s="334" t="s">
        <v>330</v>
      </c>
      <c r="C536" s="1122">
        <v>177446</v>
      </c>
      <c r="D536" s="1122">
        <v>127446</v>
      </c>
      <c r="E536" s="1122">
        <v>163281</v>
      </c>
      <c r="F536" s="1122">
        <v>163281</v>
      </c>
      <c r="G536" s="1122">
        <f>163281+6186-2</f>
        <v>169465</v>
      </c>
      <c r="H536" s="317">
        <f t="shared" si="47"/>
        <v>1.0378733594233254</v>
      </c>
      <c r="I536" s="709"/>
    </row>
    <row r="537" spans="1:8" ht="12.75">
      <c r="A537" s="310"/>
      <c r="B537" s="334" t="s">
        <v>332</v>
      </c>
      <c r="C537" s="1122"/>
      <c r="D537" s="1122"/>
      <c r="E537" s="1122"/>
      <c r="F537" s="1122"/>
      <c r="G537" s="1122"/>
      <c r="H537" s="317"/>
    </row>
    <row r="538" spans="1:8" ht="13.5" thickBot="1">
      <c r="A538" s="310"/>
      <c r="B538" s="562" t="s">
        <v>331</v>
      </c>
      <c r="C538" s="1123"/>
      <c r="D538" s="1123"/>
      <c r="E538" s="1123"/>
      <c r="F538" s="1123"/>
      <c r="G538" s="1123">
        <v>2</v>
      </c>
      <c r="H538" s="676"/>
    </row>
    <row r="539" spans="1:8" ht="13.5" thickBot="1">
      <c r="A539" s="561"/>
      <c r="B539" s="722" t="s">
        <v>60</v>
      </c>
      <c r="C539" s="1151">
        <f>SUM(C534:C538)</f>
        <v>350663</v>
      </c>
      <c r="D539" s="1151">
        <f>SUM(D534:D538)</f>
        <v>300663</v>
      </c>
      <c r="E539" s="1151">
        <f>SUM(E534:E538)</f>
        <v>342569</v>
      </c>
      <c r="F539" s="1151">
        <f>SUM(F534:F538)</f>
        <v>343688</v>
      </c>
      <c r="G539" s="1151">
        <f>SUM(G534:G538)</f>
        <v>349874</v>
      </c>
      <c r="H539" s="1064">
        <f aca="true" t="shared" si="79" ref="H539:H599">SUM(G539/F539)</f>
        <v>1.0179988827075719</v>
      </c>
    </row>
    <row r="540" spans="1:9" ht="12.75">
      <c r="A540" s="310"/>
      <c r="B540" s="559" t="s">
        <v>14</v>
      </c>
      <c r="C540" s="1128">
        <v>65176</v>
      </c>
      <c r="D540" s="1128">
        <v>15176</v>
      </c>
      <c r="E540" s="1128">
        <v>50176</v>
      </c>
      <c r="F540" s="1128">
        <v>50176</v>
      </c>
      <c r="G540" s="1128">
        <v>50176</v>
      </c>
      <c r="H540" s="317">
        <f t="shared" si="79"/>
        <v>1</v>
      </c>
      <c r="I540" s="997"/>
    </row>
    <row r="541" spans="1:9" ht="12.75">
      <c r="A541" s="310"/>
      <c r="B541" s="721" t="s">
        <v>13</v>
      </c>
      <c r="C541" s="1152">
        <v>46255</v>
      </c>
      <c r="D541" s="1152">
        <v>46255</v>
      </c>
      <c r="E541" s="1152">
        <v>38853</v>
      </c>
      <c r="F541" s="1152">
        <v>38853</v>
      </c>
      <c r="G541" s="1152">
        <v>38853</v>
      </c>
      <c r="H541" s="1238">
        <f t="shared" si="79"/>
        <v>1</v>
      </c>
      <c r="I541" s="997"/>
    </row>
    <row r="542" spans="1:9" ht="12.75">
      <c r="A542" s="310"/>
      <c r="B542" s="334" t="s">
        <v>251</v>
      </c>
      <c r="C542" s="1122">
        <v>4457</v>
      </c>
      <c r="D542" s="1122">
        <v>4457</v>
      </c>
      <c r="E542" s="1122">
        <v>10044</v>
      </c>
      <c r="F542" s="1122">
        <v>10044</v>
      </c>
      <c r="G542" s="1122">
        <v>10044</v>
      </c>
      <c r="H542" s="317">
        <f t="shared" si="79"/>
        <v>1</v>
      </c>
      <c r="I542" s="709"/>
    </row>
    <row r="543" spans="1:8" ht="12.75">
      <c r="A543" s="310"/>
      <c r="B543" s="334" t="s">
        <v>252</v>
      </c>
      <c r="C543" s="1122"/>
      <c r="D543" s="1122"/>
      <c r="E543" s="1122"/>
      <c r="F543" s="1122"/>
      <c r="G543" s="1122"/>
      <c r="H543" s="317"/>
    </row>
    <row r="544" spans="1:8" ht="13.5" thickBot="1">
      <c r="A544" s="310"/>
      <c r="B544" s="336" t="s">
        <v>448</v>
      </c>
      <c r="C544" s="1123"/>
      <c r="D544" s="1123"/>
      <c r="E544" s="1123"/>
      <c r="F544" s="1123"/>
      <c r="G544" s="1123"/>
      <c r="H544" s="676"/>
    </row>
    <row r="545" spans="1:8" ht="13.5" thickBot="1">
      <c r="A545" s="310"/>
      <c r="B545" s="338" t="s">
        <v>66</v>
      </c>
      <c r="C545" s="1124">
        <f>SUM(C542:C544)</f>
        <v>4457</v>
      </c>
      <c r="D545" s="1124">
        <f>SUM(D542:D544)</f>
        <v>4457</v>
      </c>
      <c r="E545" s="1124">
        <f>SUM(E542:E544)</f>
        <v>10044</v>
      </c>
      <c r="F545" s="1124">
        <f>SUM(F542:F544)</f>
        <v>10044</v>
      </c>
      <c r="G545" s="1124">
        <f>SUM(G542:G544)</f>
        <v>10044</v>
      </c>
      <c r="H545" s="1064">
        <f t="shared" si="79"/>
        <v>1</v>
      </c>
    </row>
    <row r="546" spans="1:8" ht="15.75" thickBot="1">
      <c r="A546" s="307"/>
      <c r="B546" s="339" t="s">
        <v>112</v>
      </c>
      <c r="C546" s="970">
        <f>SUM(C539+C545)</f>
        <v>355120</v>
      </c>
      <c r="D546" s="970">
        <f>SUM(D539+D545)</f>
        <v>305120</v>
      </c>
      <c r="E546" s="970">
        <f>SUM(E539+E545)</f>
        <v>352613</v>
      </c>
      <c r="F546" s="970">
        <f>SUM(F539+F545)</f>
        <v>353732</v>
      </c>
      <c r="G546" s="970">
        <f>SUM(G539+G545)</f>
        <v>359918</v>
      </c>
      <c r="H546" s="1076">
        <f t="shared" si="79"/>
        <v>1.0174878156344351</v>
      </c>
    </row>
    <row r="547" spans="1:8" ht="15">
      <c r="A547" s="224">
        <v>2986</v>
      </c>
      <c r="B547" s="227" t="s">
        <v>411</v>
      </c>
      <c r="C547" s="1122"/>
      <c r="D547" s="1122"/>
      <c r="E547" s="1122"/>
      <c r="F547" s="1122"/>
      <c r="G547" s="1122"/>
      <c r="H547" s="317"/>
    </row>
    <row r="548" spans="1:8" ht="12.75">
      <c r="A548" s="310"/>
      <c r="B548" s="312" t="s">
        <v>191</v>
      </c>
      <c r="C548" s="1125"/>
      <c r="D548" s="1125"/>
      <c r="E548" s="1125"/>
      <c r="F548" s="1125"/>
      <c r="G548" s="1125"/>
      <c r="H548" s="317"/>
    </row>
    <row r="549" spans="1:9" ht="13.5" thickBot="1">
      <c r="A549" s="310"/>
      <c r="B549" s="313" t="s">
        <v>192</v>
      </c>
      <c r="C549" s="1138"/>
      <c r="D549" s="1138"/>
      <c r="E549" s="1138"/>
      <c r="F549" s="1138"/>
      <c r="G549" s="1138">
        <v>42300</v>
      </c>
      <c r="H549" s="676"/>
      <c r="I549" s="709"/>
    </row>
    <row r="550" spans="1:8" ht="13.5" thickBot="1">
      <c r="A550" s="310"/>
      <c r="B550" s="314" t="s">
        <v>205</v>
      </c>
      <c r="C550" s="1136"/>
      <c r="D550" s="1136"/>
      <c r="E550" s="1136"/>
      <c r="F550" s="1136"/>
      <c r="G550" s="1136">
        <f>SUM(G547:G549)</f>
        <v>42300</v>
      </c>
      <c r="H550" s="1075"/>
    </row>
    <row r="551" spans="1:8" ht="12.75">
      <c r="A551" s="310"/>
      <c r="B551" s="312" t="s">
        <v>194</v>
      </c>
      <c r="C551" s="1122">
        <f>SUM(C552:C553)</f>
        <v>13386</v>
      </c>
      <c r="D551" s="1122">
        <f>SUM(D552:D553)</f>
        <v>13386</v>
      </c>
      <c r="E551" s="1122">
        <f>SUM(E552:E553)</f>
        <v>11024</v>
      </c>
      <c r="F551" s="1122">
        <f>SUM(F552:F553)</f>
        <v>11024</v>
      </c>
      <c r="G551" s="1122">
        <f>SUM(G552:G553)</f>
        <v>6100</v>
      </c>
      <c r="H551" s="317">
        <f t="shared" si="79"/>
        <v>0.5533381712626996</v>
      </c>
    </row>
    <row r="552" spans="1:9" ht="12.75">
      <c r="A552" s="310"/>
      <c r="B552" s="318" t="s">
        <v>195</v>
      </c>
      <c r="C552" s="1128">
        <v>13386</v>
      </c>
      <c r="D552" s="1128">
        <v>13386</v>
      </c>
      <c r="E552" s="1128">
        <v>11024</v>
      </c>
      <c r="F552" s="1128">
        <v>11024</v>
      </c>
      <c r="G552" s="1128">
        <f>11024-4924</f>
        <v>6100</v>
      </c>
      <c r="H552" s="317">
        <f t="shared" si="79"/>
        <v>0.5533381712626996</v>
      </c>
      <c r="I552" s="709"/>
    </row>
    <row r="553" spans="1:8" ht="12.75">
      <c r="A553" s="310"/>
      <c r="B553" s="318" t="s">
        <v>196</v>
      </c>
      <c r="C553" s="1128"/>
      <c r="D553" s="1128"/>
      <c r="E553" s="1128"/>
      <c r="F553" s="1128"/>
      <c r="G553" s="1128"/>
      <c r="H553" s="317"/>
    </row>
    <row r="554" spans="1:8" ht="12.75">
      <c r="A554" s="310"/>
      <c r="B554" s="320" t="s">
        <v>197</v>
      </c>
      <c r="C554" s="1122"/>
      <c r="D554" s="1122"/>
      <c r="E554" s="1122"/>
      <c r="F554" s="1122"/>
      <c r="G554" s="1122"/>
      <c r="H554" s="317"/>
    </row>
    <row r="555" spans="1:8" ht="12.75">
      <c r="A555" s="310"/>
      <c r="B555" s="320" t="s">
        <v>198</v>
      </c>
      <c r="C555" s="1122"/>
      <c r="D555" s="1122"/>
      <c r="E555" s="1122"/>
      <c r="F555" s="1122"/>
      <c r="G555" s="1122"/>
      <c r="H555" s="317"/>
    </row>
    <row r="556" spans="1:9" ht="12.75">
      <c r="A556" s="310"/>
      <c r="B556" s="320" t="s">
        <v>199</v>
      </c>
      <c r="C556" s="1122">
        <v>3614</v>
      </c>
      <c r="D556" s="1122">
        <v>3614</v>
      </c>
      <c r="E556" s="1122">
        <v>2976</v>
      </c>
      <c r="F556" s="1122">
        <v>2976</v>
      </c>
      <c r="G556" s="1122">
        <f>2976-1329</f>
        <v>1647</v>
      </c>
      <c r="H556" s="317">
        <f t="shared" si="79"/>
        <v>0.5534274193548387</v>
      </c>
      <c r="I556" s="709"/>
    </row>
    <row r="557" spans="1:9" ht="12.75">
      <c r="A557" s="310"/>
      <c r="B557" s="320" t="s">
        <v>1048</v>
      </c>
      <c r="C557" s="1122"/>
      <c r="D557" s="1122"/>
      <c r="E557" s="1122"/>
      <c r="F557" s="1122"/>
      <c r="G557" s="1122">
        <v>9479</v>
      </c>
      <c r="H557" s="317"/>
      <c r="I557" s="709"/>
    </row>
    <row r="558" spans="1:8" ht="12.75">
      <c r="A558" s="310"/>
      <c r="B558" s="321" t="s">
        <v>468</v>
      </c>
      <c r="C558" s="1122"/>
      <c r="D558" s="1122"/>
      <c r="E558" s="1122"/>
      <c r="F558" s="1122"/>
      <c r="G558" s="1122"/>
      <c r="H558" s="317"/>
    </row>
    <row r="559" spans="1:8" ht="13.5" thickBot="1">
      <c r="A559" s="310"/>
      <c r="B559" s="322" t="s">
        <v>200</v>
      </c>
      <c r="C559" s="1122"/>
      <c r="D559" s="1122"/>
      <c r="E559" s="1122"/>
      <c r="F559" s="1122"/>
      <c r="G559" s="1122"/>
      <c r="H559" s="676"/>
    </row>
    <row r="560" spans="1:8" ht="13.5" thickBot="1">
      <c r="A560" s="310"/>
      <c r="B560" s="324" t="s">
        <v>349</v>
      </c>
      <c r="C560" s="1124">
        <f>SUM(C551+C554+C555+C556+C559+C557+C558)</f>
        <v>17000</v>
      </c>
      <c r="D560" s="1124">
        <f>SUM(D551+D554+D555+D556+D559+D557+D558)</f>
        <v>17000</v>
      </c>
      <c r="E560" s="1124">
        <f>SUM(E551+E554+E555+E556+E559+E557+E558)</f>
        <v>14000</v>
      </c>
      <c r="F560" s="1124">
        <f>SUM(F551+F554+F555+F556+F559+F557+F558)</f>
        <v>14000</v>
      </c>
      <c r="G560" s="1124">
        <f>SUM(G551+G554+G555+G556+G559+G557+G558)</f>
        <v>17226</v>
      </c>
      <c r="H560" s="1064">
        <f t="shared" si="79"/>
        <v>1.2304285714285714</v>
      </c>
    </row>
    <row r="561" spans="1:8" ht="13.5" thickBot="1">
      <c r="A561" s="310"/>
      <c r="B561" s="617" t="s">
        <v>230</v>
      </c>
      <c r="C561" s="1129"/>
      <c r="D561" s="1129"/>
      <c r="E561" s="1129"/>
      <c r="F561" s="1129"/>
      <c r="G561" s="1129"/>
      <c r="H561" s="1075"/>
    </row>
    <row r="562" spans="1:8" ht="13.5" thickBot="1">
      <c r="A562" s="310"/>
      <c r="B562" s="326" t="s">
        <v>67</v>
      </c>
      <c r="C562" s="1135">
        <f>SUM(C560+C550+C561)</f>
        <v>17000</v>
      </c>
      <c r="D562" s="1135">
        <f>SUM(D560+D550+D561)</f>
        <v>17000</v>
      </c>
      <c r="E562" s="1135">
        <f>SUM(E560+E550+E561)</f>
        <v>14000</v>
      </c>
      <c r="F562" s="1135">
        <f>SUM(F560+F550+F561)</f>
        <v>14000</v>
      </c>
      <c r="G562" s="1135">
        <f>SUM(G560+G550+G561)</f>
        <v>59526</v>
      </c>
      <c r="H562" s="1064">
        <f t="shared" si="79"/>
        <v>4.251857142857143</v>
      </c>
    </row>
    <row r="563" spans="1:8" ht="13.5" thickBot="1">
      <c r="A563" s="310"/>
      <c r="B563" s="128" t="s">
        <v>244</v>
      </c>
      <c r="C563" s="1131"/>
      <c r="D563" s="1131"/>
      <c r="E563" s="1131"/>
      <c r="F563" s="1131"/>
      <c r="G563" s="1131"/>
      <c r="H563" s="1075"/>
    </row>
    <row r="564" spans="1:8" ht="13.5" thickBot="1">
      <c r="A564" s="310"/>
      <c r="B564" s="1261" t="s">
        <v>1289</v>
      </c>
      <c r="C564" s="1131"/>
      <c r="D564" s="1131"/>
      <c r="E564" s="1131"/>
      <c r="F564" s="1131"/>
      <c r="G564" s="1131">
        <v>1500</v>
      </c>
      <c r="H564" s="1075"/>
    </row>
    <row r="565" spans="1:8" ht="13.5" thickBot="1">
      <c r="A565" s="310"/>
      <c r="B565" s="327" t="s">
        <v>68</v>
      </c>
      <c r="C565" s="1132"/>
      <c r="D565" s="1132"/>
      <c r="E565" s="1132"/>
      <c r="F565" s="1132"/>
      <c r="G565" s="1132">
        <f>SUM(G563:G564)</f>
        <v>1500</v>
      </c>
      <c r="H565" s="1075"/>
    </row>
    <row r="566" spans="1:8" ht="12.75">
      <c r="A566" s="310"/>
      <c r="B566" s="694" t="s">
        <v>439</v>
      </c>
      <c r="C566" s="1133"/>
      <c r="D566" s="1133"/>
      <c r="E566" s="1133">
        <v>21393</v>
      </c>
      <c r="F566" s="1133">
        <v>21393</v>
      </c>
      <c r="G566" s="1133">
        <v>21393</v>
      </c>
      <c r="H566" s="317">
        <f t="shared" si="79"/>
        <v>1</v>
      </c>
    </row>
    <row r="567" spans="1:9" ht="13.5" thickBot="1">
      <c r="A567" s="310"/>
      <c r="B567" s="330" t="s">
        <v>475</v>
      </c>
      <c r="C567" s="1123">
        <v>181613</v>
      </c>
      <c r="D567" s="1123">
        <v>181613</v>
      </c>
      <c r="E567" s="1123">
        <v>161360</v>
      </c>
      <c r="F567" s="1123">
        <v>161360</v>
      </c>
      <c r="G567" s="1123">
        <v>161360</v>
      </c>
      <c r="H567" s="676">
        <f t="shared" si="79"/>
        <v>1</v>
      </c>
      <c r="I567" s="709"/>
    </row>
    <row r="568" spans="1:8" ht="13.5" thickBot="1">
      <c r="A568" s="310"/>
      <c r="B568" s="331" t="s">
        <v>61</v>
      </c>
      <c r="C568" s="1121">
        <f>SUM(C566:C567)</f>
        <v>181613</v>
      </c>
      <c r="D568" s="1121">
        <f>SUM(D566:D567)</f>
        <v>181613</v>
      </c>
      <c r="E568" s="1121">
        <f>SUM(E566:E567)</f>
        <v>182753</v>
      </c>
      <c r="F568" s="1121">
        <f>SUM(F566:F567)</f>
        <v>182753</v>
      </c>
      <c r="G568" s="1121">
        <f>SUM(G566:G567)</f>
        <v>182753</v>
      </c>
      <c r="H568" s="1064">
        <f t="shared" si="79"/>
        <v>1</v>
      </c>
    </row>
    <row r="569" spans="1:8" ht="13.5" thickBot="1">
      <c r="A569" s="310"/>
      <c r="B569" s="247" t="s">
        <v>439</v>
      </c>
      <c r="C569" s="1149"/>
      <c r="D569" s="1149"/>
      <c r="E569" s="1149">
        <v>10000</v>
      </c>
      <c r="F569" s="1149">
        <v>10000</v>
      </c>
      <c r="G569" s="1149">
        <v>10000</v>
      </c>
      <c r="H569" s="1075">
        <f t="shared" si="79"/>
        <v>1</v>
      </c>
    </row>
    <row r="570" spans="1:8" ht="13.5" thickBot="1">
      <c r="A570" s="310"/>
      <c r="B570" s="331" t="s">
        <v>63</v>
      </c>
      <c r="C570" s="1121">
        <f>SUM(C569)</f>
        <v>0</v>
      </c>
      <c r="D570" s="1121">
        <f>SUM(D569)</f>
        <v>0</v>
      </c>
      <c r="E570" s="1121">
        <f>SUM(E569)</f>
        <v>10000</v>
      </c>
      <c r="F570" s="1121">
        <f>SUM(F569)</f>
        <v>10000</v>
      </c>
      <c r="G570" s="1121">
        <f>SUM(G569)</f>
        <v>10000</v>
      </c>
      <c r="H570" s="1064">
        <f t="shared" si="79"/>
        <v>1</v>
      </c>
    </row>
    <row r="571" spans="1:8" ht="15.75" thickBot="1">
      <c r="A571" s="310"/>
      <c r="B571" s="333" t="s">
        <v>75</v>
      </c>
      <c r="C571" s="970">
        <f>SUM(C562+C565+C568)</f>
        <v>198613</v>
      </c>
      <c r="D571" s="970">
        <f>SUM(D562+D565+D568)</f>
        <v>198613</v>
      </c>
      <c r="E571" s="970">
        <f>SUM(E562+E565+E568+E569)</f>
        <v>206753</v>
      </c>
      <c r="F571" s="970">
        <f>SUM(F562+F565+F568+F569)</f>
        <v>206753</v>
      </c>
      <c r="G571" s="970">
        <f>SUM(G562+G565+G568+G569)</f>
        <v>253779</v>
      </c>
      <c r="H571" s="1064">
        <f t="shared" si="79"/>
        <v>1.227450145826179</v>
      </c>
    </row>
    <row r="572" spans="1:9" ht="12.75">
      <c r="A572" s="310"/>
      <c r="B572" s="334" t="s">
        <v>328</v>
      </c>
      <c r="C572" s="1122">
        <v>58661</v>
      </c>
      <c r="D572" s="1122">
        <v>58661</v>
      </c>
      <c r="E572" s="1122">
        <v>59003</v>
      </c>
      <c r="F572" s="1122">
        <v>59003</v>
      </c>
      <c r="G572" s="1122">
        <f>59003+8658</f>
        <v>67661</v>
      </c>
      <c r="H572" s="317">
        <f t="shared" si="79"/>
        <v>1.1467383014422996</v>
      </c>
      <c r="I572" s="709"/>
    </row>
    <row r="573" spans="1:9" ht="12.75">
      <c r="A573" s="310"/>
      <c r="B573" s="334" t="s">
        <v>329</v>
      </c>
      <c r="C573" s="1122">
        <v>10660</v>
      </c>
      <c r="D573" s="1122">
        <v>10660</v>
      </c>
      <c r="E573" s="1122">
        <v>11021</v>
      </c>
      <c r="F573" s="1122">
        <v>11021</v>
      </c>
      <c r="G573" s="1122">
        <f>11021+1342</f>
        <v>12363</v>
      </c>
      <c r="H573" s="317">
        <f t="shared" si="79"/>
        <v>1.1217675347064695</v>
      </c>
      <c r="I573" s="709"/>
    </row>
    <row r="574" spans="1:9" ht="12.75">
      <c r="A574" s="310"/>
      <c r="B574" s="334" t="s">
        <v>330</v>
      </c>
      <c r="C574" s="1122">
        <v>126792</v>
      </c>
      <c r="D574" s="1122">
        <v>126792</v>
      </c>
      <c r="E574" s="1122">
        <v>124229</v>
      </c>
      <c r="F574" s="1122">
        <v>124229</v>
      </c>
      <c r="G574" s="1122">
        <f>124229+20526</f>
        <v>144755</v>
      </c>
      <c r="H574" s="317">
        <f t="shared" si="79"/>
        <v>1.1652271208815976</v>
      </c>
      <c r="I574" s="709"/>
    </row>
    <row r="575" spans="1:8" ht="12.75">
      <c r="A575" s="310"/>
      <c r="B575" s="334" t="s">
        <v>332</v>
      </c>
      <c r="C575" s="1122"/>
      <c r="D575" s="1122"/>
      <c r="E575" s="1122"/>
      <c r="F575" s="1122"/>
      <c r="G575" s="1122"/>
      <c r="H575" s="317"/>
    </row>
    <row r="576" spans="1:8" ht="13.5" thickBot="1">
      <c r="A576" s="310"/>
      <c r="B576" s="562" t="s">
        <v>331</v>
      </c>
      <c r="C576" s="1123"/>
      <c r="D576" s="1123"/>
      <c r="E576" s="1123"/>
      <c r="F576" s="1123"/>
      <c r="G576" s="1123"/>
      <c r="H576" s="676"/>
    </row>
    <row r="577" spans="1:8" ht="13.5" thickBot="1">
      <c r="A577" s="310"/>
      <c r="B577" s="337" t="s">
        <v>60</v>
      </c>
      <c r="C577" s="1153">
        <f>SUM(C572:C576)</f>
        <v>196113</v>
      </c>
      <c r="D577" s="1153">
        <f>SUM(D572:D576)</f>
        <v>196113</v>
      </c>
      <c r="E577" s="1153">
        <f>SUM(E572:E576)</f>
        <v>194253</v>
      </c>
      <c r="F577" s="1153">
        <f>SUM(F572:F576)</f>
        <v>194253</v>
      </c>
      <c r="G577" s="1153">
        <f>SUM(G572:G576)</f>
        <v>224779</v>
      </c>
      <c r="H577" s="1064">
        <f t="shared" si="79"/>
        <v>1.1571455781892686</v>
      </c>
    </row>
    <row r="578" spans="1:9" ht="12.75">
      <c r="A578" s="310"/>
      <c r="B578" s="334" t="s">
        <v>251</v>
      </c>
      <c r="C578" s="1122">
        <v>2500</v>
      </c>
      <c r="D578" s="1122">
        <v>2500</v>
      </c>
      <c r="E578" s="1122">
        <v>12500</v>
      </c>
      <c r="F578" s="1122">
        <v>12500</v>
      </c>
      <c r="G578" s="1122">
        <f>12500+16500</f>
        <v>29000</v>
      </c>
      <c r="H578" s="317">
        <f t="shared" si="79"/>
        <v>2.32</v>
      </c>
      <c r="I578" s="709"/>
    </row>
    <row r="579" spans="1:8" ht="12.75">
      <c r="A579" s="310"/>
      <c r="B579" s="334" t="s">
        <v>252</v>
      </c>
      <c r="C579" s="1122"/>
      <c r="D579" s="1122"/>
      <c r="E579" s="1122"/>
      <c r="F579" s="1122"/>
      <c r="G579" s="1122"/>
      <c r="H579" s="317"/>
    </row>
    <row r="580" spans="1:8" ht="13.5" thickBot="1">
      <c r="A580" s="310"/>
      <c r="B580" s="336" t="s">
        <v>448</v>
      </c>
      <c r="C580" s="1123"/>
      <c r="D580" s="1123"/>
      <c r="E580" s="1123"/>
      <c r="F580" s="1123"/>
      <c r="G580" s="1123"/>
      <c r="H580" s="676"/>
    </row>
    <row r="581" spans="1:8" ht="13.5" thickBot="1">
      <c r="A581" s="310"/>
      <c r="B581" s="338" t="s">
        <v>66</v>
      </c>
      <c r="C581" s="1124">
        <f>SUM(C578:C580)</f>
        <v>2500</v>
      </c>
      <c r="D581" s="1124">
        <f>SUM(D578:D580)</f>
        <v>2500</v>
      </c>
      <c r="E581" s="1124">
        <f>SUM(E578:E580)</f>
        <v>12500</v>
      </c>
      <c r="F581" s="1124">
        <f>SUM(F578:F580)</f>
        <v>12500</v>
      </c>
      <c r="G581" s="1124">
        <f>SUM(G578:G580)</f>
        <v>29000</v>
      </c>
      <c r="H581" s="1064">
        <f t="shared" si="79"/>
        <v>2.32</v>
      </c>
    </row>
    <row r="582" spans="1:8" ht="15.75" thickBot="1">
      <c r="A582" s="307"/>
      <c r="B582" s="339" t="s">
        <v>112</v>
      </c>
      <c r="C582" s="970">
        <f>SUM(C581,C577)</f>
        <v>198613</v>
      </c>
      <c r="D582" s="970">
        <f>SUM(D581,D577)</f>
        <v>198613</v>
      </c>
      <c r="E582" s="970">
        <f>SUM(E581,E577)</f>
        <v>206753</v>
      </c>
      <c r="F582" s="970">
        <f>SUM(F581,F577)</f>
        <v>206753</v>
      </c>
      <c r="G582" s="970">
        <f>SUM(G581,G577)</f>
        <v>253779</v>
      </c>
      <c r="H582" s="1064">
        <f t="shared" si="79"/>
        <v>1.227450145826179</v>
      </c>
    </row>
    <row r="583" spans="1:8" ht="15">
      <c r="A583" s="224">
        <v>2991</v>
      </c>
      <c r="B583" s="227" t="s">
        <v>206</v>
      </c>
      <c r="C583" s="1137"/>
      <c r="D583" s="1137"/>
      <c r="E583" s="1137"/>
      <c r="F583" s="1137"/>
      <c r="G583" s="1137"/>
      <c r="H583" s="317"/>
    </row>
    <row r="584" spans="1:8" ht="12.75">
      <c r="A584" s="310"/>
      <c r="B584" s="312" t="s">
        <v>191</v>
      </c>
      <c r="C584" s="1125"/>
      <c r="D584" s="1125"/>
      <c r="E584" s="1125"/>
      <c r="F584" s="1125"/>
      <c r="G584" s="1125"/>
      <c r="H584" s="317"/>
    </row>
    <row r="585" spans="1:9" ht="13.5" thickBot="1">
      <c r="A585" s="310"/>
      <c r="B585" s="313" t="s">
        <v>192</v>
      </c>
      <c r="C585" s="1123">
        <f>SUM(C479+C513+C376+C549)</f>
        <v>0</v>
      </c>
      <c r="D585" s="1123">
        <f>SUM(D479+D513+D376+D549)</f>
        <v>0</v>
      </c>
      <c r="E585" s="1123">
        <f>SUM(E479+E513+E376+E549)</f>
        <v>0</v>
      </c>
      <c r="F585" s="1123">
        <f>SUM(F479+F513+F376+F549)</f>
        <v>0</v>
      </c>
      <c r="G585" s="1123">
        <f>SUM(G479+G513+G376+G549)</f>
        <v>46602</v>
      </c>
      <c r="H585" s="676"/>
      <c r="I585" s="709"/>
    </row>
    <row r="586" spans="1:8" ht="13.5" thickBot="1">
      <c r="A586" s="310"/>
      <c r="B586" s="314" t="s">
        <v>205</v>
      </c>
      <c r="C586" s="1154">
        <f>SUM(C585)</f>
        <v>0</v>
      </c>
      <c r="D586" s="1154">
        <f>SUM(D585)</f>
        <v>0</v>
      </c>
      <c r="E586" s="1154">
        <f>SUM(E585)</f>
        <v>0</v>
      </c>
      <c r="F586" s="1154">
        <f>SUM(F585)</f>
        <v>0</v>
      </c>
      <c r="G586" s="1154">
        <f>SUM(G585)</f>
        <v>46602</v>
      </c>
      <c r="H586" s="1075"/>
    </row>
    <row r="587" spans="1:8" ht="12.75">
      <c r="A587" s="310"/>
      <c r="B587" s="312" t="s">
        <v>416</v>
      </c>
      <c r="C587" s="1122">
        <f>SUM(C515)</f>
        <v>0</v>
      </c>
      <c r="D587" s="1122">
        <f>SUM(D515)</f>
        <v>0</v>
      </c>
      <c r="E587" s="1122">
        <f>SUM(E515)</f>
        <v>0</v>
      </c>
      <c r="F587" s="1122">
        <f>SUM(F515)</f>
        <v>0</v>
      </c>
      <c r="G587" s="1122">
        <f>SUM(G515)</f>
        <v>0</v>
      </c>
      <c r="H587" s="317"/>
    </row>
    <row r="588" spans="1:8" ht="12.75">
      <c r="A588" s="310"/>
      <c r="B588" s="312" t="s">
        <v>194</v>
      </c>
      <c r="C588" s="1122">
        <f aca="true" t="shared" si="80" ref="C588:E589">SUM(C516+C481+C378+C551)</f>
        <v>70950</v>
      </c>
      <c r="D588" s="1122">
        <f t="shared" si="80"/>
        <v>70950</v>
      </c>
      <c r="E588" s="1122">
        <f t="shared" si="80"/>
        <v>43785</v>
      </c>
      <c r="F588" s="1122">
        <f aca="true" t="shared" si="81" ref="F588">SUM(F516+F481+F378+F551)</f>
        <v>43785</v>
      </c>
      <c r="G588" s="1122">
        <f aca="true" t="shared" si="82" ref="G588">SUM(G516+G481+G378+G551)</f>
        <v>40633</v>
      </c>
      <c r="H588" s="317">
        <f t="shared" si="79"/>
        <v>0.928011876213315</v>
      </c>
    </row>
    <row r="589" spans="1:9" ht="12.75">
      <c r="A589" s="310"/>
      <c r="B589" s="318" t="s">
        <v>195</v>
      </c>
      <c r="C589" s="1128">
        <f t="shared" si="80"/>
        <v>29077</v>
      </c>
      <c r="D589" s="1128">
        <f t="shared" si="80"/>
        <v>29077</v>
      </c>
      <c r="E589" s="1128">
        <f t="shared" si="80"/>
        <v>18841</v>
      </c>
      <c r="F589" s="1128">
        <f aca="true" t="shared" si="83" ref="F589">SUM(F517+F482+F379+F552)</f>
        <v>18841</v>
      </c>
      <c r="G589" s="1128">
        <f aca="true" t="shared" si="84" ref="G589">SUM(G517+G482+G379+G552)</f>
        <v>15689</v>
      </c>
      <c r="H589" s="317">
        <f t="shared" si="79"/>
        <v>0.8327052704208906</v>
      </c>
      <c r="I589" s="709"/>
    </row>
    <row r="590" spans="1:9" ht="12.75">
      <c r="A590" s="310"/>
      <c r="B590" s="318" t="s">
        <v>196</v>
      </c>
      <c r="C590" s="1128">
        <f aca="true" t="shared" si="85" ref="C590:E592">SUM(C518+C483+C380)</f>
        <v>41873</v>
      </c>
      <c r="D590" s="1128">
        <f t="shared" si="85"/>
        <v>41873</v>
      </c>
      <c r="E590" s="1128">
        <f t="shared" si="85"/>
        <v>24944</v>
      </c>
      <c r="F590" s="1128">
        <f aca="true" t="shared" si="86" ref="F590">SUM(F518+F483+F380)</f>
        <v>24944</v>
      </c>
      <c r="G590" s="1128">
        <f aca="true" t="shared" si="87" ref="G590">SUM(G518+G483+G380)</f>
        <v>24944</v>
      </c>
      <c r="H590" s="317">
        <f t="shared" si="79"/>
        <v>1</v>
      </c>
      <c r="I590" s="709"/>
    </row>
    <row r="591" spans="1:9" ht="12.75">
      <c r="A591" s="310"/>
      <c r="B591" s="320" t="s">
        <v>197</v>
      </c>
      <c r="C591" s="1122">
        <f t="shared" si="85"/>
        <v>8845</v>
      </c>
      <c r="D591" s="1122">
        <f t="shared" si="85"/>
        <v>8845</v>
      </c>
      <c r="E591" s="1122">
        <f t="shared" si="85"/>
        <v>8845</v>
      </c>
      <c r="F591" s="1122">
        <f aca="true" t="shared" si="88" ref="F591">SUM(F519+F484+F381)</f>
        <v>8845</v>
      </c>
      <c r="G591" s="1122">
        <f aca="true" t="shared" si="89" ref="G591">SUM(G519+G484+G381)</f>
        <v>9134</v>
      </c>
      <c r="H591" s="317">
        <f t="shared" si="79"/>
        <v>1.0326738270209157</v>
      </c>
      <c r="I591" s="709"/>
    </row>
    <row r="592" spans="1:9" ht="12.75">
      <c r="A592" s="310"/>
      <c r="B592" s="320" t="s">
        <v>198</v>
      </c>
      <c r="C592" s="1122">
        <f t="shared" si="85"/>
        <v>194715</v>
      </c>
      <c r="D592" s="1122">
        <f t="shared" si="85"/>
        <v>194715</v>
      </c>
      <c r="E592" s="1122">
        <f t="shared" si="85"/>
        <v>194715</v>
      </c>
      <c r="F592" s="1122">
        <f aca="true" t="shared" si="90" ref="F592">SUM(F520+F485+F382)</f>
        <v>194715</v>
      </c>
      <c r="G592" s="1122">
        <f aca="true" t="shared" si="91" ref="G592">SUM(G520+G485+G382)</f>
        <v>158184</v>
      </c>
      <c r="H592" s="317">
        <f t="shared" si="79"/>
        <v>0.8123873353362607</v>
      </c>
      <c r="I592" s="709"/>
    </row>
    <row r="593" spans="1:9" ht="12.75">
      <c r="A593" s="310"/>
      <c r="B593" s="320" t="s">
        <v>199</v>
      </c>
      <c r="C593" s="1122">
        <f>SUM(C521+C486+C383+C556)</f>
        <v>68458</v>
      </c>
      <c r="D593" s="1122">
        <f>SUM(D521+D486+D383+D556)</f>
        <v>68458</v>
      </c>
      <c r="E593" s="1122">
        <f>SUM(E521+E486+E383+E556)</f>
        <v>61123</v>
      </c>
      <c r="F593" s="1122">
        <f>SUM(F521+F486+F383+F556)</f>
        <v>61123</v>
      </c>
      <c r="G593" s="1122">
        <f>SUM(G521+G486+G383+G556)</f>
        <v>50651</v>
      </c>
      <c r="H593" s="317">
        <f t="shared" si="79"/>
        <v>0.8286733308247305</v>
      </c>
      <c r="I593" s="709"/>
    </row>
    <row r="594" spans="1:8" ht="12.75">
      <c r="A594" s="310"/>
      <c r="B594" s="320" t="s">
        <v>353</v>
      </c>
      <c r="C594" s="1122">
        <f>C487+C522+C557</f>
        <v>4401</v>
      </c>
      <c r="D594" s="1122">
        <f>D487+D522+D557</f>
        <v>4401</v>
      </c>
      <c r="E594" s="1122">
        <f>E487+E522+E557</f>
        <v>4401</v>
      </c>
      <c r="F594" s="1122">
        <f>F487+F522+F557</f>
        <v>4401</v>
      </c>
      <c r="G594" s="1122">
        <f>G487+G522+G557</f>
        <v>13880</v>
      </c>
      <c r="H594" s="317">
        <f t="shared" si="79"/>
        <v>3.153828675301068</v>
      </c>
    </row>
    <row r="595" spans="1:8" ht="12.75">
      <c r="A595" s="310"/>
      <c r="B595" s="321" t="s">
        <v>468</v>
      </c>
      <c r="C595" s="1122">
        <f aca="true" t="shared" si="92" ref="C595:E596">SUM(C523+C488+C385+C558)</f>
        <v>0</v>
      </c>
      <c r="D595" s="1122">
        <f t="shared" si="92"/>
        <v>0</v>
      </c>
      <c r="E595" s="1122">
        <f t="shared" si="92"/>
        <v>0</v>
      </c>
      <c r="F595" s="1122">
        <f aca="true" t="shared" si="93" ref="F595">SUM(F523+F488+F385+F558)</f>
        <v>0</v>
      </c>
      <c r="G595" s="1122">
        <f aca="true" t="shared" si="94" ref="G595">SUM(G523+G488+G385+G558)</f>
        <v>0</v>
      </c>
      <c r="H595" s="317"/>
    </row>
    <row r="596" spans="1:8" ht="13.5" thickBot="1">
      <c r="A596" s="310"/>
      <c r="B596" s="322" t="s">
        <v>200</v>
      </c>
      <c r="C596" s="1122">
        <f t="shared" si="92"/>
        <v>0</v>
      </c>
      <c r="D596" s="1122">
        <f t="shared" si="92"/>
        <v>0</v>
      </c>
      <c r="E596" s="1122">
        <f t="shared" si="92"/>
        <v>0</v>
      </c>
      <c r="F596" s="1122">
        <f aca="true" t="shared" si="95" ref="F596">SUM(F524+F489+F386+F559)</f>
        <v>0</v>
      </c>
      <c r="G596" s="1122">
        <f aca="true" t="shared" si="96" ref="G596">SUM(G524+G489+G386+G559)</f>
        <v>2303</v>
      </c>
      <c r="H596" s="676"/>
    </row>
    <row r="597" spans="1:8" ht="13.5" thickBot="1">
      <c r="A597" s="310"/>
      <c r="B597" s="324" t="s">
        <v>349</v>
      </c>
      <c r="C597" s="1124">
        <f>SUM(C588+C591+C592+C593+C596+C594+C595+C587)</f>
        <v>347369</v>
      </c>
      <c r="D597" s="1124">
        <f>SUM(D588+D591+D592+D593+D596+D594+D595+D587)</f>
        <v>347369</v>
      </c>
      <c r="E597" s="1124">
        <f>SUM(E588+E591+E592+E593+E596+E594+E595+E587)</f>
        <v>312869</v>
      </c>
      <c r="F597" s="1124">
        <f>SUM(F588+F591+F592+F593+F596+F594+F595+F587)</f>
        <v>312869</v>
      </c>
      <c r="G597" s="1124">
        <f>SUM(G588+G591+G592+G593+G596+G594+G595+G587)</f>
        <v>274785</v>
      </c>
      <c r="H597" s="1064">
        <f t="shared" si="79"/>
        <v>0.8782749329591618</v>
      </c>
    </row>
    <row r="598" spans="1:8" ht="13.5" thickBot="1">
      <c r="A598" s="310"/>
      <c r="B598" s="617" t="s">
        <v>230</v>
      </c>
      <c r="C598" s="1124">
        <f>SUM(C526)</f>
        <v>0</v>
      </c>
      <c r="D598" s="1124">
        <f>SUM(D526)</f>
        <v>0</v>
      </c>
      <c r="E598" s="1124">
        <f>SUM(E526)</f>
        <v>0</v>
      </c>
      <c r="F598" s="1124">
        <f>SUM(F526)</f>
        <v>0</v>
      </c>
      <c r="G598" s="1124">
        <f>SUM(G526)</f>
        <v>0</v>
      </c>
      <c r="H598" s="1075"/>
    </row>
    <row r="599" spans="1:8" ht="13.5" thickBot="1">
      <c r="A599" s="310"/>
      <c r="B599" s="326" t="s">
        <v>67</v>
      </c>
      <c r="C599" s="1130">
        <f>SUM(C597+C586+C598)</f>
        <v>347369</v>
      </c>
      <c r="D599" s="1130">
        <f>SUM(D597+D586+D598)</f>
        <v>347369</v>
      </c>
      <c r="E599" s="1130">
        <f>SUM(E597+E586+E598)</f>
        <v>312869</v>
      </c>
      <c r="F599" s="1130">
        <f>SUM(F597+F586+F598)</f>
        <v>312869</v>
      </c>
      <c r="G599" s="1130">
        <f>SUM(G597+G586+G598)</f>
        <v>321387</v>
      </c>
      <c r="H599" s="1064">
        <f t="shared" si="79"/>
        <v>1.0272254521860587</v>
      </c>
    </row>
    <row r="600" spans="1:8" ht="12.75">
      <c r="A600" s="310"/>
      <c r="B600" s="707" t="s">
        <v>482</v>
      </c>
      <c r="C600" s="1144">
        <f>SUM(C389)</f>
        <v>0</v>
      </c>
      <c r="D600" s="1144">
        <f>SUM(D389)</f>
        <v>0</v>
      </c>
      <c r="E600" s="1144">
        <f>SUM(E389)</f>
        <v>0</v>
      </c>
      <c r="F600" s="1144">
        <f>SUM(F389)</f>
        <v>0</v>
      </c>
      <c r="G600" s="1144">
        <f>G564</f>
        <v>1500</v>
      </c>
      <c r="H600" s="317"/>
    </row>
    <row r="601" spans="1:8" ht="13.5" thickBot="1">
      <c r="A601" s="310"/>
      <c r="B601" s="145" t="s">
        <v>244</v>
      </c>
      <c r="C601" s="1131">
        <f>SUM(C528+C390)</f>
        <v>0</v>
      </c>
      <c r="D601" s="1131">
        <f>SUM(D528+D390)</f>
        <v>0</v>
      </c>
      <c r="E601" s="1131">
        <f>SUM(E528+E390)</f>
        <v>0</v>
      </c>
      <c r="F601" s="1131">
        <f>SUM(F528+F390)</f>
        <v>0</v>
      </c>
      <c r="G601" s="1131">
        <f>SUM(G528+G390)</f>
        <v>0</v>
      </c>
      <c r="H601" s="676"/>
    </row>
    <row r="602" spans="1:8" ht="13.5" thickBot="1">
      <c r="A602" s="310"/>
      <c r="B602" s="327" t="s">
        <v>68</v>
      </c>
      <c r="C602" s="1145">
        <f>SUM(C600+C601)</f>
        <v>0</v>
      </c>
      <c r="D602" s="1145">
        <f>SUM(D600+D601)</f>
        <v>0</v>
      </c>
      <c r="E602" s="1145">
        <f>SUM(E600+E601)</f>
        <v>0</v>
      </c>
      <c r="F602" s="1145">
        <f>SUM(F600+F601)</f>
        <v>0</v>
      </c>
      <c r="G602" s="1145">
        <f>SUM(G600+G601)</f>
        <v>1500</v>
      </c>
      <c r="H602" s="1075"/>
    </row>
    <row r="603" spans="1:8" ht="12.75">
      <c r="A603" s="310"/>
      <c r="B603" s="694" t="s">
        <v>439</v>
      </c>
      <c r="C603" s="1133">
        <f aca="true" t="shared" si="97" ref="C603:E604">SUM(C530+C493+C392+C566)</f>
        <v>0</v>
      </c>
      <c r="D603" s="1133">
        <f t="shared" si="97"/>
        <v>0</v>
      </c>
      <c r="E603" s="1133">
        <f t="shared" si="97"/>
        <v>42655</v>
      </c>
      <c r="F603" s="1133">
        <f aca="true" t="shared" si="98" ref="F603">SUM(F530+F493+F392+F566)</f>
        <v>42655</v>
      </c>
      <c r="G603" s="1133">
        <f aca="true" t="shared" si="99" ref="G603">SUM(G530+G493+G392+G566)</f>
        <v>42655</v>
      </c>
      <c r="H603" s="317">
        <f aca="true" t="shared" si="100" ref="H603:H620">SUM(G603/F603)</f>
        <v>1</v>
      </c>
    </row>
    <row r="604" spans="1:9" ht="12.75">
      <c r="A604" s="310"/>
      <c r="B604" s="329" t="s">
        <v>475</v>
      </c>
      <c r="C604" s="1122">
        <f t="shared" si="97"/>
        <v>4418537</v>
      </c>
      <c r="D604" s="1122">
        <f t="shared" si="97"/>
        <v>4368537</v>
      </c>
      <c r="E604" s="1122">
        <f t="shared" si="97"/>
        <v>4511365</v>
      </c>
      <c r="F604" s="1122">
        <f aca="true" t="shared" si="101" ref="F604">SUM(F531+F494+F393+F567)</f>
        <v>4549270</v>
      </c>
      <c r="G604" s="1122">
        <f aca="true" t="shared" si="102" ref="G604">SUM(G531+G494+G393+G567)</f>
        <v>4590525</v>
      </c>
      <c r="H604" s="317">
        <f t="shared" si="100"/>
        <v>1.0090684879112473</v>
      </c>
      <c r="I604" s="709"/>
    </row>
    <row r="605" spans="1:9" ht="13.5" thickBot="1">
      <c r="A605" s="310"/>
      <c r="B605" s="330" t="s">
        <v>478</v>
      </c>
      <c r="C605" s="1123">
        <f>SUM(C495+C394)</f>
        <v>417038</v>
      </c>
      <c r="D605" s="1123">
        <f>SUM(D495+D394)</f>
        <v>417038</v>
      </c>
      <c r="E605" s="1123">
        <f>SUM(E495+E394)</f>
        <v>458038</v>
      </c>
      <c r="F605" s="1123">
        <f>SUM(F495+F394)</f>
        <v>458038</v>
      </c>
      <c r="G605" s="1123">
        <f>SUM(G495+G394)</f>
        <v>391636</v>
      </c>
      <c r="H605" s="676">
        <f t="shared" si="100"/>
        <v>0.8550294953693799</v>
      </c>
      <c r="I605" s="709"/>
    </row>
    <row r="606" spans="1:8" ht="13.5" thickBot="1">
      <c r="A606" s="310"/>
      <c r="B606" s="331" t="s">
        <v>61</v>
      </c>
      <c r="C606" s="1121">
        <f>SUM(C603:C605)</f>
        <v>4835575</v>
      </c>
      <c r="D606" s="1121">
        <f>SUM(D603:D605)</f>
        <v>4785575</v>
      </c>
      <c r="E606" s="1121">
        <f>SUM(E603:E605)</f>
        <v>5012058</v>
      </c>
      <c r="F606" s="1121">
        <f>SUM(F603:F605)</f>
        <v>5049963</v>
      </c>
      <c r="G606" s="1121">
        <f>SUM(G603:G605)</f>
        <v>5024816</v>
      </c>
      <c r="H606" s="1064">
        <f t="shared" si="100"/>
        <v>0.9950203595551096</v>
      </c>
    </row>
    <row r="607" spans="1:8" ht="13.5" thickBot="1">
      <c r="A607" s="310"/>
      <c r="B607" s="247" t="s">
        <v>439</v>
      </c>
      <c r="C607" s="1131">
        <f>SUM(C498)</f>
        <v>0</v>
      </c>
      <c r="D607" s="1131">
        <f>SUM(D498)</f>
        <v>0</v>
      </c>
      <c r="E607" s="1131">
        <f>SUM(E498+E569+E396)</f>
        <v>19496</v>
      </c>
      <c r="F607" s="1131">
        <f>SUM(F498+F569+F396)</f>
        <v>19496</v>
      </c>
      <c r="G607" s="1131">
        <f>SUM(G498+G569+G396)</f>
        <v>19496</v>
      </c>
      <c r="H607" s="1075">
        <f t="shared" si="100"/>
        <v>1</v>
      </c>
    </row>
    <row r="608" spans="1:8" ht="13.5" thickBot="1">
      <c r="A608" s="310"/>
      <c r="B608" s="331" t="s">
        <v>63</v>
      </c>
      <c r="C608" s="1121">
        <f>SUM(C607)</f>
        <v>0</v>
      </c>
      <c r="D608" s="1121">
        <f>SUM(D607)</f>
        <v>0</v>
      </c>
      <c r="E608" s="1121">
        <f>SUM(E607)</f>
        <v>19496</v>
      </c>
      <c r="F608" s="1121">
        <f>SUM(F607)</f>
        <v>19496</v>
      </c>
      <c r="G608" s="1121">
        <f>SUM(G607)</f>
        <v>19496</v>
      </c>
      <c r="H608" s="1064">
        <f t="shared" si="100"/>
        <v>1</v>
      </c>
    </row>
    <row r="609" spans="1:8" ht="15.75" thickBot="1">
      <c r="A609" s="310"/>
      <c r="B609" s="333" t="s">
        <v>75</v>
      </c>
      <c r="C609" s="970">
        <f>SUM(C599+C602+C606+C608)</f>
        <v>5182944</v>
      </c>
      <c r="D609" s="970">
        <f>SUM(D599+D602+D606+D608)</f>
        <v>5132944</v>
      </c>
      <c r="E609" s="970">
        <f>SUM(E599+E602+E606+E608)</f>
        <v>5344423</v>
      </c>
      <c r="F609" s="970">
        <f>SUM(F599+F602+F606+F608)</f>
        <v>5382328</v>
      </c>
      <c r="G609" s="970">
        <f>SUM(G599+G602+G606+G608)</f>
        <v>5367199</v>
      </c>
      <c r="H609" s="1064">
        <f t="shared" si="100"/>
        <v>0.9971891345157708</v>
      </c>
    </row>
    <row r="610" spans="1:9" ht="12.75">
      <c r="A610" s="310"/>
      <c r="B610" s="334" t="s">
        <v>328</v>
      </c>
      <c r="C610" s="1122">
        <f aca="true" t="shared" si="103" ref="C610:E612">SUM(C534+C500+C399+C572)</f>
        <v>2869785</v>
      </c>
      <c r="D610" s="1122">
        <f t="shared" si="103"/>
        <v>2869785</v>
      </c>
      <c r="E610" s="1122">
        <f t="shared" si="103"/>
        <v>2918392</v>
      </c>
      <c r="F610" s="1122">
        <f aca="true" t="shared" si="104" ref="F610">SUM(F534+F500+F399+F572)</f>
        <v>2940554</v>
      </c>
      <c r="G610" s="1122">
        <f aca="true" t="shared" si="105" ref="G610">SUM(G534+G500+G399+G572)</f>
        <v>2982071</v>
      </c>
      <c r="H610" s="317">
        <f t="shared" si="100"/>
        <v>1.01411876809608</v>
      </c>
      <c r="I610" s="709"/>
    </row>
    <row r="611" spans="1:9" ht="12.75">
      <c r="A611" s="310"/>
      <c r="B611" s="334" t="s">
        <v>329</v>
      </c>
      <c r="C611" s="1122">
        <f t="shared" si="103"/>
        <v>562121</v>
      </c>
      <c r="D611" s="1122">
        <f t="shared" si="103"/>
        <v>562121</v>
      </c>
      <c r="E611" s="1122">
        <f t="shared" si="103"/>
        <v>579407</v>
      </c>
      <c r="F611" s="1122">
        <f aca="true" t="shared" si="106" ref="F611">SUM(F535+F501+F400+F573)</f>
        <v>582802</v>
      </c>
      <c r="G611" s="1122">
        <f aca="true" t="shared" si="107" ref="G611">SUM(G535+G501+G400+G573)</f>
        <v>589310</v>
      </c>
      <c r="H611" s="317">
        <f t="shared" si="100"/>
        <v>1.011166742735955</v>
      </c>
      <c r="I611" s="709"/>
    </row>
    <row r="612" spans="1:9" ht="12.75">
      <c r="A612" s="310"/>
      <c r="B612" s="334" t="s">
        <v>330</v>
      </c>
      <c r="C612" s="1122">
        <f t="shared" si="103"/>
        <v>1699899</v>
      </c>
      <c r="D612" s="1122">
        <f t="shared" si="103"/>
        <v>1649899</v>
      </c>
      <c r="E612" s="1122">
        <f t="shared" si="103"/>
        <v>1788134</v>
      </c>
      <c r="F612" s="1122">
        <f aca="true" t="shared" si="108" ref="F612">SUM(F536+F502+F401+F574)</f>
        <v>1780282</v>
      </c>
      <c r="G612" s="1122">
        <f aca="true" t="shared" si="109" ref="G612">SUM(G536+G502+G401+G574)</f>
        <v>1697024</v>
      </c>
      <c r="H612" s="317">
        <f t="shared" si="100"/>
        <v>0.9532332518106682</v>
      </c>
      <c r="I612" s="709"/>
    </row>
    <row r="613" spans="1:9" ht="12.75">
      <c r="A613" s="310"/>
      <c r="B613" s="335" t="s">
        <v>332</v>
      </c>
      <c r="C613" s="1122">
        <f>SUM(C469)</f>
        <v>600</v>
      </c>
      <c r="D613" s="1122">
        <f>SUM(D469)</f>
        <v>600</v>
      </c>
      <c r="E613" s="1122">
        <f>SUM(E469)</f>
        <v>600</v>
      </c>
      <c r="F613" s="1122">
        <f>SUM(F469)</f>
        <v>600</v>
      </c>
      <c r="G613" s="1122">
        <f>SUM(G469)</f>
        <v>600</v>
      </c>
      <c r="H613" s="317">
        <f t="shared" si="100"/>
        <v>1</v>
      </c>
      <c r="I613" s="709"/>
    </row>
    <row r="614" spans="1:8" ht="13.5" thickBot="1">
      <c r="A614" s="310"/>
      <c r="B614" s="336" t="s">
        <v>331</v>
      </c>
      <c r="C614" s="1122">
        <f>SUM(C538+C504+C403)</f>
        <v>0</v>
      </c>
      <c r="D614" s="1122">
        <f>SUM(D538+D504+D403)</f>
        <v>0</v>
      </c>
      <c r="E614" s="1122">
        <f>SUM(E538+E504+E403)</f>
        <v>0</v>
      </c>
      <c r="F614" s="1122">
        <f>SUM(F538+F504+F403)</f>
        <v>0</v>
      </c>
      <c r="G614" s="1122">
        <f>SUM(G538+G504+G403)</f>
        <v>1491</v>
      </c>
      <c r="H614" s="676"/>
    </row>
    <row r="615" spans="1:8" ht="13.5" thickBot="1">
      <c r="A615" s="310"/>
      <c r="B615" s="337" t="s">
        <v>60</v>
      </c>
      <c r="C615" s="1124">
        <f>SUM(C610:C614)</f>
        <v>5132405</v>
      </c>
      <c r="D615" s="1124">
        <f>SUM(D610:D614)</f>
        <v>5082405</v>
      </c>
      <c r="E615" s="1124">
        <f>SUM(E610:E614)</f>
        <v>5286533</v>
      </c>
      <c r="F615" s="1124">
        <f>SUM(F610:F614)</f>
        <v>5304238</v>
      </c>
      <c r="G615" s="1124">
        <f>SUM(G610:G614)</f>
        <v>5270496</v>
      </c>
      <c r="H615" s="1064">
        <f t="shared" si="100"/>
        <v>0.9936386715679048</v>
      </c>
    </row>
    <row r="616" spans="1:9" ht="12.75">
      <c r="A616" s="310"/>
      <c r="B616" s="334" t="s">
        <v>251</v>
      </c>
      <c r="C616" s="1122">
        <f>SUM(C405+C506+C542+C578)</f>
        <v>50539</v>
      </c>
      <c r="D616" s="1122">
        <f>SUM(D405+D506+D542+D578)</f>
        <v>50539</v>
      </c>
      <c r="E616" s="1122">
        <f>SUM(E405+E506+E542+E578)</f>
        <v>57890</v>
      </c>
      <c r="F616" s="1122">
        <f>SUM(F405+F506+F542+F578)</f>
        <v>78090</v>
      </c>
      <c r="G616" s="1122">
        <f>SUM(G405+G506+G542+G578)</f>
        <v>96703</v>
      </c>
      <c r="H616" s="317">
        <f t="shared" si="100"/>
        <v>1.238353182225637</v>
      </c>
      <c r="I616" s="709"/>
    </row>
    <row r="617" spans="1:8" ht="12.75">
      <c r="A617" s="310"/>
      <c r="B617" s="334" t="s">
        <v>252</v>
      </c>
      <c r="C617" s="1122">
        <f>SUM(C543+C507+C406)</f>
        <v>0</v>
      </c>
      <c r="D617" s="1122">
        <f>SUM(D543+D507+D406)</f>
        <v>0</v>
      </c>
      <c r="E617" s="1122">
        <f>SUM(E543+E507+E406)</f>
        <v>0</v>
      </c>
      <c r="F617" s="1122">
        <f>SUM(F543+F507+F406)</f>
        <v>0</v>
      </c>
      <c r="G617" s="1122">
        <f>SUM(G543+G507+G406)</f>
        <v>0</v>
      </c>
      <c r="H617" s="317"/>
    </row>
    <row r="618" spans="1:8" ht="13.5" thickBot="1">
      <c r="A618" s="310"/>
      <c r="B618" s="336" t="s">
        <v>448</v>
      </c>
      <c r="C618" s="1123"/>
      <c r="D618" s="1123"/>
      <c r="E618" s="1123"/>
      <c r="F618" s="1123"/>
      <c r="G618" s="1123"/>
      <c r="H618" s="676"/>
    </row>
    <row r="619" spans="1:10" ht="13.5" thickBot="1">
      <c r="A619" s="310"/>
      <c r="B619" s="338" t="s">
        <v>66</v>
      </c>
      <c r="C619" s="1124">
        <f>SUM(C616:C618)</f>
        <v>50539</v>
      </c>
      <c r="D619" s="1124">
        <f>SUM(D616:D618)</f>
        <v>50539</v>
      </c>
      <c r="E619" s="1124">
        <f>SUM(E616:E618)</f>
        <v>57890</v>
      </c>
      <c r="F619" s="1124">
        <f>SUM(F616:F618)</f>
        <v>78090</v>
      </c>
      <c r="G619" s="1124">
        <f>SUM(G616:G618)</f>
        <v>96703</v>
      </c>
      <c r="H619" s="1064">
        <f t="shared" si="100"/>
        <v>1.238353182225637</v>
      </c>
      <c r="J619" s="1097"/>
    </row>
    <row r="620" spans="1:10" ht="15.75" thickBot="1">
      <c r="A620" s="307"/>
      <c r="B620" s="339" t="s">
        <v>112</v>
      </c>
      <c r="C620" s="970">
        <f>SUM(C615+C619)</f>
        <v>5182944</v>
      </c>
      <c r="D620" s="970">
        <f>SUM(D615+D619)</f>
        <v>5132944</v>
      </c>
      <c r="E620" s="970">
        <f>SUM(E615+E619)</f>
        <v>5344423</v>
      </c>
      <c r="F620" s="970">
        <f>SUM(F615+F619)</f>
        <v>5382328</v>
      </c>
      <c r="G620" s="970">
        <f>SUM(G615+G619)</f>
        <v>5367199</v>
      </c>
      <c r="H620" s="1076">
        <f t="shared" si="100"/>
        <v>0.9971891345157708</v>
      </c>
      <c r="J620" s="1098"/>
    </row>
  </sheetData>
  <mergeCells count="10">
    <mergeCell ref="A2:H2"/>
    <mergeCell ref="H5:H7"/>
    <mergeCell ref="A1:H1"/>
    <mergeCell ref="B5:B7"/>
    <mergeCell ref="A5:A7"/>
    <mergeCell ref="C5:C7"/>
    <mergeCell ref="D5:D7"/>
    <mergeCell ref="E5:E7"/>
    <mergeCell ref="F5:F7"/>
    <mergeCell ref="G5:G7"/>
  </mergeCells>
  <printOptions horizontalCentered="1" verticalCentered="1"/>
  <pageMargins left="0" right="0" top="0.984251968503937" bottom="0.7874015748031497" header="0.31496062992125984" footer="0.5118110236220472"/>
  <pageSetup firstPageNumber="12" useFirstPageNumber="1" horizontalDpi="600" verticalDpi="600" orientation="portrait" paperSize="9" scale="66" r:id="rId3"/>
  <headerFooter alignWithMargins="0">
    <oddFooter>&amp;C&amp;P. oldal</oddFooter>
  </headerFooter>
  <rowBreaks count="8" manualBreakCount="8">
    <brk id="75" max="16383" man="1"/>
    <brk id="142" max="16383" man="1"/>
    <brk id="206" max="16383" man="1"/>
    <brk id="272" max="16383" man="1"/>
    <brk id="339" max="16383" man="1"/>
    <brk id="409" max="16383" man="1"/>
    <brk id="476" max="16383" man="1"/>
    <brk id="546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3793" r:id="rId4" name="Button 1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4" r:id="rId5" name="Button 2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5" r:id="rId6" name="Button 3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6" r:id="rId7" name="Button 4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7" r:id="rId8" name="Button 5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8" r:id="rId9" name="Button 6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9" r:id="rId10" name="Button 7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0" r:id="rId11" name="Button 8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1" r:id="rId12" name="Button 9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2" r:id="rId13" name="Button 10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3" r:id="rId14" name="Button 11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4" r:id="rId15" name="Button 12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5" r:id="rId16" name="Button 13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6" r:id="rId17" name="Button 14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7" r:id="rId18" name="Button 15">
              <controlPr defaultSize="0" print="0" autoFill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8" r:id="rId19" name="Button 16">
              <controlPr defaultSize="0" print="0" autoFill="0" autoLine="0" autoPict="0" macro="[6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showZeros="0" workbookViewId="0" topLeftCell="A16">
      <selection activeCell="G37" sqref="G37"/>
    </sheetView>
  </sheetViews>
  <sheetFormatPr defaultColWidth="9.125" defaultRowHeight="12.75"/>
  <cols>
    <col min="1" max="1" width="6.875" style="346" customWidth="1"/>
    <col min="2" max="2" width="50.125" style="345" customWidth="1"/>
    <col min="3" max="7" width="13.875" style="345" customWidth="1"/>
    <col min="8" max="8" width="8.875" style="345" customWidth="1"/>
    <col min="9" max="9" width="28.25390625" style="345" customWidth="1"/>
    <col min="10" max="16384" width="9.125" style="345" customWidth="1"/>
  </cols>
  <sheetData>
    <row r="1" spans="1:8" ht="12">
      <c r="A1" s="1336" t="s">
        <v>320</v>
      </c>
      <c r="B1" s="1337"/>
      <c r="C1" s="1338"/>
      <c r="D1" s="1338"/>
      <c r="E1" s="1338"/>
      <c r="F1" s="1338"/>
      <c r="G1" s="1338"/>
      <c r="H1" s="1338"/>
    </row>
    <row r="2" spans="1:8" ht="12.75">
      <c r="A2" s="1336" t="s">
        <v>1063</v>
      </c>
      <c r="B2" s="1337"/>
      <c r="C2" s="1338"/>
      <c r="D2" s="1338"/>
      <c r="E2" s="1338"/>
      <c r="F2" s="1338"/>
      <c r="G2" s="1338"/>
      <c r="H2" s="1338"/>
    </row>
    <row r="3" spans="3:8" ht="11.45" customHeight="1">
      <c r="C3" s="347"/>
      <c r="D3" s="347"/>
      <c r="E3" s="347"/>
      <c r="F3" s="347"/>
      <c r="G3" s="347"/>
      <c r="H3" s="347" t="s">
        <v>181</v>
      </c>
    </row>
    <row r="4" spans="1:8" s="350" customFormat="1" ht="11.45" customHeight="1">
      <c r="A4" s="348"/>
      <c r="B4" s="349"/>
      <c r="C4" s="1331" t="s">
        <v>1193</v>
      </c>
      <c r="D4" s="1331" t="s">
        <v>1226</v>
      </c>
      <c r="E4" s="1331" t="s">
        <v>1264</v>
      </c>
      <c r="F4" s="1331" t="s">
        <v>1273</v>
      </c>
      <c r="G4" s="1331" t="s">
        <v>1277</v>
      </c>
      <c r="H4" s="1334" t="s">
        <v>1281</v>
      </c>
    </row>
    <row r="5" spans="1:8" s="350" customFormat="1" ht="12" customHeight="1">
      <c r="A5" s="351" t="s">
        <v>279</v>
      </c>
      <c r="B5" s="352" t="s">
        <v>291</v>
      </c>
      <c r="C5" s="1332"/>
      <c r="D5" s="1332"/>
      <c r="E5" s="1332"/>
      <c r="F5" s="1332"/>
      <c r="G5" s="1332"/>
      <c r="H5" s="1334"/>
    </row>
    <row r="6" spans="1:8" s="350" customFormat="1" ht="12.75" customHeight="1" thickBot="1">
      <c r="A6" s="353"/>
      <c r="B6" s="354"/>
      <c r="C6" s="1333"/>
      <c r="D6" s="1333"/>
      <c r="E6" s="1333"/>
      <c r="F6" s="1333"/>
      <c r="G6" s="1333"/>
      <c r="H6" s="1335"/>
    </row>
    <row r="7" spans="1:8" s="350" customFormat="1" ht="12" customHeight="1">
      <c r="A7" s="355" t="s">
        <v>163</v>
      </c>
      <c r="B7" s="356" t="s">
        <v>164</v>
      </c>
      <c r="C7" s="357" t="s">
        <v>165</v>
      </c>
      <c r="D7" s="357" t="s">
        <v>166</v>
      </c>
      <c r="E7" s="357" t="s">
        <v>167</v>
      </c>
      <c r="F7" s="357" t="s">
        <v>43</v>
      </c>
      <c r="G7" s="357" t="s">
        <v>369</v>
      </c>
      <c r="H7" s="357" t="s">
        <v>570</v>
      </c>
    </row>
    <row r="8" spans="1:8" ht="12" customHeight="1">
      <c r="A8" s="348">
        <v>3010</v>
      </c>
      <c r="B8" s="358" t="s">
        <v>51</v>
      </c>
      <c r="C8" s="359">
        <f>SUM(C18)</f>
        <v>15008</v>
      </c>
      <c r="D8" s="359">
        <f>SUM(D18)</f>
        <v>8008</v>
      </c>
      <c r="E8" s="359">
        <f>SUM(E18)</f>
        <v>17132</v>
      </c>
      <c r="F8" s="359">
        <f>SUM(F18)</f>
        <v>17132</v>
      </c>
      <c r="G8" s="359">
        <f>SUM(G18)</f>
        <v>17132</v>
      </c>
      <c r="H8" s="360">
        <f>SUM(G8/F8)</f>
        <v>1</v>
      </c>
    </row>
    <row r="9" spans="1:8" ht="12" customHeight="1">
      <c r="A9" s="73">
        <v>3011</v>
      </c>
      <c r="B9" s="361" t="s">
        <v>114</v>
      </c>
      <c r="C9" s="359"/>
      <c r="D9" s="359"/>
      <c r="E9" s="359"/>
      <c r="F9" s="359"/>
      <c r="G9" s="359"/>
      <c r="H9" s="360"/>
    </row>
    <row r="10" spans="1:8" ht="12" customHeight="1">
      <c r="A10" s="362"/>
      <c r="B10" s="363" t="s">
        <v>115</v>
      </c>
      <c r="C10" s="295">
        <v>2475</v>
      </c>
      <c r="D10" s="295">
        <v>2475</v>
      </c>
      <c r="E10" s="295">
        <v>2477</v>
      </c>
      <c r="F10" s="295">
        <v>2477</v>
      </c>
      <c r="G10" s="295">
        <v>2477</v>
      </c>
      <c r="H10" s="1065">
        <f aca="true" t="shared" si="0" ref="H10:H54">SUM(G10/F10)</f>
        <v>1</v>
      </c>
    </row>
    <row r="11" spans="1:8" ht="12" customHeight="1">
      <c r="A11" s="362"/>
      <c r="B11" s="179" t="s">
        <v>298</v>
      </c>
      <c r="C11" s="295">
        <v>533</v>
      </c>
      <c r="D11" s="295">
        <v>533</v>
      </c>
      <c r="E11" s="295">
        <v>567</v>
      </c>
      <c r="F11" s="295">
        <v>567</v>
      </c>
      <c r="G11" s="295">
        <v>567</v>
      </c>
      <c r="H11" s="1065">
        <f t="shared" si="0"/>
        <v>1</v>
      </c>
    </row>
    <row r="12" spans="1:8" ht="12" customHeight="1">
      <c r="A12" s="289"/>
      <c r="B12" s="364" t="s">
        <v>284</v>
      </c>
      <c r="C12" s="295">
        <v>5000</v>
      </c>
      <c r="D12" s="295">
        <v>5000</v>
      </c>
      <c r="E12" s="295">
        <v>5144</v>
      </c>
      <c r="F12" s="295">
        <v>5144</v>
      </c>
      <c r="G12" s="295">
        <v>5144</v>
      </c>
      <c r="H12" s="1065">
        <f t="shared" si="0"/>
        <v>1</v>
      </c>
    </row>
    <row r="13" spans="1:8" ht="12" customHeight="1">
      <c r="A13" s="362"/>
      <c r="B13" s="296" t="s">
        <v>120</v>
      </c>
      <c r="C13" s="295"/>
      <c r="D13" s="295"/>
      <c r="E13" s="295"/>
      <c r="F13" s="295"/>
      <c r="G13" s="295"/>
      <c r="H13" s="1065"/>
    </row>
    <row r="14" spans="1:8" ht="12" customHeight="1">
      <c r="A14" s="362"/>
      <c r="B14" s="179" t="s">
        <v>293</v>
      </c>
      <c r="C14" s="365"/>
      <c r="D14" s="365"/>
      <c r="E14" s="365"/>
      <c r="F14" s="365"/>
      <c r="G14" s="365"/>
      <c r="H14" s="1065"/>
    </row>
    <row r="15" spans="1:8" ht="12" customHeight="1">
      <c r="A15" s="289"/>
      <c r="B15" s="363" t="s">
        <v>253</v>
      </c>
      <c r="C15" s="295">
        <v>7000</v>
      </c>
      <c r="D15" s="295"/>
      <c r="E15" s="295">
        <v>8944</v>
      </c>
      <c r="F15" s="295">
        <v>8944</v>
      </c>
      <c r="G15" s="295">
        <v>8944</v>
      </c>
      <c r="H15" s="1065">
        <f t="shared" si="0"/>
        <v>1</v>
      </c>
    </row>
    <row r="16" spans="1:8" ht="12" customHeight="1">
      <c r="A16" s="289"/>
      <c r="B16" s="72" t="s">
        <v>254</v>
      </c>
      <c r="C16" s="1019"/>
      <c r="D16" s="1019"/>
      <c r="E16" s="1019"/>
      <c r="F16" s="1019"/>
      <c r="G16" s="1019"/>
      <c r="H16" s="1065"/>
    </row>
    <row r="17" spans="1:8" ht="12" customHeight="1" thickBot="1">
      <c r="A17" s="362"/>
      <c r="B17" s="366" t="s">
        <v>272</v>
      </c>
      <c r="C17" s="954"/>
      <c r="D17" s="954"/>
      <c r="E17" s="954"/>
      <c r="F17" s="954"/>
      <c r="G17" s="954"/>
      <c r="H17" s="1067"/>
    </row>
    <row r="18" spans="1:8" ht="12" customHeight="1" thickBot="1">
      <c r="A18" s="353"/>
      <c r="B18" s="367" t="s">
        <v>277</v>
      </c>
      <c r="C18" s="972">
        <f>SUM(C10:C17)</f>
        <v>15008</v>
      </c>
      <c r="D18" s="972">
        <f>SUM(D10:D17)</f>
        <v>8008</v>
      </c>
      <c r="E18" s="972">
        <f>SUM(E10:E17)</f>
        <v>17132</v>
      </c>
      <c r="F18" s="972">
        <f>SUM(F10:F17)</f>
        <v>17132</v>
      </c>
      <c r="G18" s="972">
        <f>SUM(G10:G17)</f>
        <v>17132</v>
      </c>
      <c r="H18" s="1068">
        <f t="shared" si="0"/>
        <v>1</v>
      </c>
    </row>
    <row r="19" spans="1:8" s="350" customFormat="1" ht="12" customHeight="1">
      <c r="A19" s="368">
        <v>3020</v>
      </c>
      <c r="B19" s="209" t="s">
        <v>91</v>
      </c>
      <c r="C19" s="1026">
        <f>SUM(C29+C39)</f>
        <v>2060676</v>
      </c>
      <c r="D19" s="1026">
        <f>SUM(D29+D39)</f>
        <v>2060676</v>
      </c>
      <c r="E19" s="1026">
        <f>SUM(E29+E39)</f>
        <v>2305427</v>
      </c>
      <c r="F19" s="1026">
        <f>SUM(F29+F39)</f>
        <v>2305577</v>
      </c>
      <c r="G19" s="1026">
        <f>SUM(G29+G39)</f>
        <v>2305714</v>
      </c>
      <c r="H19" s="1066">
        <f t="shared" si="0"/>
        <v>1.0000594211340588</v>
      </c>
    </row>
    <row r="20" spans="1:8" s="350" customFormat="1" ht="12" customHeight="1">
      <c r="A20" s="351">
        <v>3021</v>
      </c>
      <c r="B20" s="369" t="s">
        <v>365</v>
      </c>
      <c r="C20" s="1017"/>
      <c r="D20" s="1017"/>
      <c r="E20" s="1017"/>
      <c r="F20" s="1017"/>
      <c r="G20" s="1017"/>
      <c r="H20" s="1065"/>
    </row>
    <row r="21" spans="1:8" ht="12" customHeight="1">
      <c r="A21" s="362"/>
      <c r="B21" s="363" t="s">
        <v>115</v>
      </c>
      <c r="C21" s="1018">
        <v>1349931</v>
      </c>
      <c r="D21" s="1018">
        <v>1349931</v>
      </c>
      <c r="E21" s="1018">
        <v>1459881</v>
      </c>
      <c r="F21" s="1018">
        <v>1460009</v>
      </c>
      <c r="G21" s="1018">
        <f>1460009+118</f>
        <v>1460127</v>
      </c>
      <c r="H21" s="1065">
        <f t="shared" si="0"/>
        <v>1.000080821419594</v>
      </c>
    </row>
    <row r="22" spans="1:8" ht="12" customHeight="1">
      <c r="A22" s="362"/>
      <c r="B22" s="179" t="s">
        <v>298</v>
      </c>
      <c r="C22" s="1018">
        <v>259509</v>
      </c>
      <c r="D22" s="1018">
        <v>259509</v>
      </c>
      <c r="E22" s="1018">
        <v>291681</v>
      </c>
      <c r="F22" s="1018">
        <v>291703</v>
      </c>
      <c r="G22" s="1018">
        <f>291703+19</f>
        <v>291722</v>
      </c>
      <c r="H22" s="1065">
        <f t="shared" si="0"/>
        <v>1.0000651347432148</v>
      </c>
    </row>
    <row r="23" spans="1:8" ht="12" customHeight="1">
      <c r="A23" s="289"/>
      <c r="B23" s="364" t="s">
        <v>284</v>
      </c>
      <c r="C23" s="1018">
        <v>260000</v>
      </c>
      <c r="D23" s="1018">
        <v>260000</v>
      </c>
      <c r="E23" s="1018">
        <v>309032</v>
      </c>
      <c r="F23" s="1018">
        <v>309032</v>
      </c>
      <c r="G23" s="1018">
        <v>309032</v>
      </c>
      <c r="H23" s="1065">
        <f t="shared" si="0"/>
        <v>1</v>
      </c>
    </row>
    <row r="24" spans="1:8" ht="12" customHeight="1">
      <c r="A24" s="362"/>
      <c r="B24" s="296" t="s">
        <v>120</v>
      </c>
      <c r="C24" s="1018"/>
      <c r="D24" s="1018"/>
      <c r="E24" s="1018"/>
      <c r="F24" s="1018"/>
      <c r="G24" s="1018"/>
      <c r="H24" s="1065"/>
    </row>
    <row r="25" spans="1:8" ht="12" customHeight="1">
      <c r="A25" s="362"/>
      <c r="B25" s="179" t="s">
        <v>293</v>
      </c>
      <c r="C25" s="1018"/>
      <c r="D25" s="1018"/>
      <c r="E25" s="1018"/>
      <c r="F25" s="1018"/>
      <c r="G25" s="1018"/>
      <c r="H25" s="1065"/>
    </row>
    <row r="26" spans="1:8" ht="12" customHeight="1">
      <c r="A26" s="289"/>
      <c r="B26" s="363" t="s">
        <v>253</v>
      </c>
      <c r="C26" s="1019">
        <v>35000</v>
      </c>
      <c r="D26" s="1019">
        <v>35000</v>
      </c>
      <c r="E26" s="1019">
        <v>38743</v>
      </c>
      <c r="F26" s="1019">
        <v>38743</v>
      </c>
      <c r="G26" s="1019">
        <v>38743</v>
      </c>
      <c r="H26" s="1065">
        <f t="shared" si="0"/>
        <v>1</v>
      </c>
    </row>
    <row r="27" spans="1:8" ht="12" customHeight="1">
      <c r="A27" s="289"/>
      <c r="B27" s="72" t="s">
        <v>254</v>
      </c>
      <c r="C27" s="1019"/>
      <c r="D27" s="1019"/>
      <c r="E27" s="1019"/>
      <c r="F27" s="1019"/>
      <c r="G27" s="1019"/>
      <c r="H27" s="1065"/>
    </row>
    <row r="28" spans="1:8" ht="12" customHeight="1" thickBot="1">
      <c r="A28" s="362"/>
      <c r="B28" s="366" t="s">
        <v>449</v>
      </c>
      <c r="C28" s="954">
        <v>8000</v>
      </c>
      <c r="D28" s="954">
        <v>8000</v>
      </c>
      <c r="E28" s="954">
        <v>8000</v>
      </c>
      <c r="F28" s="954">
        <v>8000</v>
      </c>
      <c r="G28" s="954">
        <v>8000</v>
      </c>
      <c r="H28" s="1067">
        <f t="shared" si="0"/>
        <v>1</v>
      </c>
    </row>
    <row r="29" spans="1:8" ht="12" customHeight="1" thickBot="1">
      <c r="A29" s="353"/>
      <c r="B29" s="367" t="s">
        <v>277</v>
      </c>
      <c r="C29" s="972">
        <f>SUM(C21:C28)</f>
        <v>1912440</v>
      </c>
      <c r="D29" s="972">
        <f>SUM(D21:D28)</f>
        <v>1912440</v>
      </c>
      <c r="E29" s="972">
        <f>SUM(E21:E28)</f>
        <v>2107337</v>
      </c>
      <c r="F29" s="972">
        <f>SUM(F21:F28)</f>
        <v>2107487</v>
      </c>
      <c r="G29" s="972">
        <f>SUM(G21:G28)</f>
        <v>2107624</v>
      </c>
      <c r="H29" s="1068">
        <f t="shared" si="0"/>
        <v>1.000065006332186</v>
      </c>
    </row>
    <row r="30" spans="1:8" ht="12" customHeight="1">
      <c r="A30" s="372">
        <v>3026</v>
      </c>
      <c r="B30" s="373" t="s">
        <v>294</v>
      </c>
      <c r="C30" s="1017"/>
      <c r="D30" s="1017"/>
      <c r="E30" s="1017"/>
      <c r="F30" s="1017"/>
      <c r="G30" s="1017"/>
      <c r="H30" s="1066"/>
    </row>
    <row r="31" spans="1:8" ht="12" customHeight="1">
      <c r="A31" s="73"/>
      <c r="B31" s="363" t="s">
        <v>115</v>
      </c>
      <c r="C31" s="1018"/>
      <c r="D31" s="1018"/>
      <c r="E31" s="1018"/>
      <c r="F31" s="1018"/>
      <c r="G31" s="1018"/>
      <c r="H31" s="360"/>
    </row>
    <row r="32" spans="1:8" ht="12" customHeight="1">
      <c r="A32" s="73"/>
      <c r="B32" s="179" t="s">
        <v>298</v>
      </c>
      <c r="C32" s="1018"/>
      <c r="D32" s="1018"/>
      <c r="E32" s="1018"/>
      <c r="F32" s="1018"/>
      <c r="G32" s="1018"/>
      <c r="H32" s="360"/>
    </row>
    <row r="33" spans="1:8" ht="12" customHeight="1">
      <c r="A33" s="73"/>
      <c r="B33" s="364" t="s">
        <v>284</v>
      </c>
      <c r="C33" s="1018">
        <v>108236</v>
      </c>
      <c r="D33" s="1018">
        <v>108236</v>
      </c>
      <c r="E33" s="1018">
        <v>156018</v>
      </c>
      <c r="F33" s="1018">
        <v>156018</v>
      </c>
      <c r="G33" s="1018">
        <f>156018+3000</f>
        <v>159018</v>
      </c>
      <c r="H33" s="1065">
        <f t="shared" si="0"/>
        <v>1.0192285505518595</v>
      </c>
    </row>
    <row r="34" spans="1:8" ht="12" customHeight="1">
      <c r="A34" s="73"/>
      <c r="B34" s="296" t="s">
        <v>120</v>
      </c>
      <c r="C34" s="1043"/>
      <c r="D34" s="1043"/>
      <c r="E34" s="1043"/>
      <c r="F34" s="1043"/>
      <c r="G34" s="1043"/>
      <c r="H34" s="1065"/>
    </row>
    <row r="35" spans="1:8" ht="12" customHeight="1">
      <c r="A35" s="73"/>
      <c r="B35" s="179" t="s">
        <v>293</v>
      </c>
      <c r="C35" s="1155"/>
      <c r="D35" s="1155"/>
      <c r="E35" s="1155"/>
      <c r="F35" s="1155"/>
      <c r="G35" s="1155"/>
      <c r="H35" s="1065"/>
    </row>
    <row r="36" spans="1:8" ht="12" customHeight="1">
      <c r="A36" s="73"/>
      <c r="B36" s="363" t="s">
        <v>253</v>
      </c>
      <c r="C36" s="1025">
        <v>40000</v>
      </c>
      <c r="D36" s="1025">
        <v>40000</v>
      </c>
      <c r="E36" s="1025">
        <v>42072</v>
      </c>
      <c r="F36" s="1025">
        <v>42072</v>
      </c>
      <c r="G36" s="1025">
        <f>42072-3000</f>
        <v>39072</v>
      </c>
      <c r="H36" s="1065">
        <f t="shared" si="0"/>
        <v>0.9286936679977182</v>
      </c>
    </row>
    <row r="37" spans="1:8" ht="12" customHeight="1">
      <c r="A37" s="73"/>
      <c r="B37" s="72" t="s">
        <v>254</v>
      </c>
      <c r="C37" s="1025"/>
      <c r="D37" s="1025"/>
      <c r="E37" s="1025"/>
      <c r="F37" s="1025"/>
      <c r="G37" s="1025"/>
      <c r="H37" s="1065"/>
    </row>
    <row r="38" spans="1:8" ht="12" customHeight="1" thickBot="1">
      <c r="A38" s="73"/>
      <c r="B38" s="366" t="s">
        <v>272</v>
      </c>
      <c r="C38" s="1156"/>
      <c r="D38" s="1156"/>
      <c r="E38" s="1156"/>
      <c r="F38" s="1156"/>
      <c r="G38" s="1156"/>
      <c r="H38" s="1067"/>
    </row>
    <row r="39" spans="1:8" ht="12" customHeight="1" thickBot="1">
      <c r="A39" s="371"/>
      <c r="B39" s="367" t="s">
        <v>277</v>
      </c>
      <c r="C39" s="972">
        <f>SUM(C30:C36)</f>
        <v>148236</v>
      </c>
      <c r="D39" s="972">
        <f>SUM(D30:D36)</f>
        <v>148236</v>
      </c>
      <c r="E39" s="972">
        <f>SUM(E30:E36)</f>
        <v>198090</v>
      </c>
      <c r="F39" s="972">
        <f>SUM(F30:F36)</f>
        <v>198090</v>
      </c>
      <c r="G39" s="972">
        <f>SUM(G30:G36)</f>
        <v>198090</v>
      </c>
      <c r="H39" s="1068">
        <f t="shared" si="0"/>
        <v>1</v>
      </c>
    </row>
    <row r="40" spans="1:8" ht="12" customHeight="1">
      <c r="A40" s="351">
        <v>3000</v>
      </c>
      <c r="B40" s="374" t="s">
        <v>116</v>
      </c>
      <c r="C40" s="1018"/>
      <c r="D40" s="1018"/>
      <c r="E40" s="1018"/>
      <c r="F40" s="1018"/>
      <c r="G40" s="1018"/>
      <c r="H40" s="1066"/>
    </row>
    <row r="41" spans="1:8" ht="12" customHeight="1">
      <c r="A41" s="351"/>
      <c r="B41" s="375" t="s">
        <v>70</v>
      </c>
      <c r="C41" s="1018"/>
      <c r="D41" s="1018"/>
      <c r="E41" s="1018"/>
      <c r="F41" s="1018"/>
      <c r="G41" s="1018"/>
      <c r="H41" s="360"/>
    </row>
    <row r="42" spans="1:8" ht="12" customHeight="1">
      <c r="A42" s="362"/>
      <c r="B42" s="363" t="s">
        <v>115</v>
      </c>
      <c r="C42" s="1018">
        <f aca="true" t="shared" si="1" ref="C42:E43">SUM(C21+C10)</f>
        <v>1352406</v>
      </c>
      <c r="D42" s="1018">
        <f t="shared" si="1"/>
        <v>1352406</v>
      </c>
      <c r="E42" s="1018">
        <f t="shared" si="1"/>
        <v>1462358</v>
      </c>
      <c r="F42" s="1018">
        <f aca="true" t="shared" si="2" ref="F42">SUM(F21+F10)</f>
        <v>1462486</v>
      </c>
      <c r="G42" s="1018">
        <f aca="true" t="shared" si="3" ref="G42">SUM(G21+G10)</f>
        <v>1462604</v>
      </c>
      <c r="H42" s="1065">
        <f t="shared" si="0"/>
        <v>1.0000806845330485</v>
      </c>
    </row>
    <row r="43" spans="1:8" ht="12" customHeight="1">
      <c r="A43" s="362"/>
      <c r="B43" s="179" t="s">
        <v>298</v>
      </c>
      <c r="C43" s="1018">
        <f t="shared" si="1"/>
        <v>260042</v>
      </c>
      <c r="D43" s="1018">
        <f t="shared" si="1"/>
        <v>260042</v>
      </c>
      <c r="E43" s="1018">
        <f t="shared" si="1"/>
        <v>292248</v>
      </c>
      <c r="F43" s="1018">
        <f aca="true" t="shared" si="4" ref="F43">SUM(F22+F11)</f>
        <v>292270</v>
      </c>
      <c r="G43" s="1018">
        <f aca="true" t="shared" si="5" ref="G43">SUM(G22+G11)</f>
        <v>292289</v>
      </c>
      <c r="H43" s="1065">
        <f t="shared" si="0"/>
        <v>1.0000650083826599</v>
      </c>
    </row>
    <row r="44" spans="1:8" ht="12" customHeight="1">
      <c r="A44" s="289"/>
      <c r="B44" s="296" t="s">
        <v>295</v>
      </c>
      <c r="C44" s="1018">
        <f>SUM(C23+C12+C33)</f>
        <v>373236</v>
      </c>
      <c r="D44" s="1018">
        <f>SUM(D23+D12+D33)</f>
        <v>373236</v>
      </c>
      <c r="E44" s="1018">
        <f>SUM(E23+E12+E33)</f>
        <v>470194</v>
      </c>
      <c r="F44" s="1018">
        <f>SUM(F23+F12+F33)</f>
        <v>470194</v>
      </c>
      <c r="G44" s="1018">
        <f>SUM(G23+G12+G33)</f>
        <v>473194</v>
      </c>
      <c r="H44" s="1065">
        <f t="shared" si="0"/>
        <v>1.0063803451341362</v>
      </c>
    </row>
    <row r="45" spans="1:8" ht="12" customHeight="1">
      <c r="A45" s="362"/>
      <c r="B45" s="296" t="s">
        <v>120</v>
      </c>
      <c r="C45" s="1018">
        <f>SUM(C13)</f>
        <v>0</v>
      </c>
      <c r="D45" s="1018">
        <f>SUM(D13)</f>
        <v>0</v>
      </c>
      <c r="E45" s="1018">
        <f>SUM(E13)</f>
        <v>0</v>
      </c>
      <c r="F45" s="1018">
        <f>SUM(F13)</f>
        <v>0</v>
      </c>
      <c r="G45" s="1018">
        <f>SUM(G13)</f>
        <v>0</v>
      </c>
      <c r="H45" s="360"/>
    </row>
    <row r="46" spans="1:8" ht="12" customHeight="1">
      <c r="A46" s="362"/>
      <c r="B46" s="179" t="s">
        <v>293</v>
      </c>
      <c r="C46" s="1018"/>
      <c r="D46" s="1018"/>
      <c r="E46" s="1018"/>
      <c r="F46" s="1018"/>
      <c r="G46" s="1018"/>
      <c r="H46" s="360"/>
    </row>
    <row r="47" spans="1:8" ht="12" customHeight="1">
      <c r="A47" s="362"/>
      <c r="B47" s="300" t="s">
        <v>60</v>
      </c>
      <c r="C47" s="1042">
        <f>SUM(C42:C46)</f>
        <v>1985684</v>
      </c>
      <c r="D47" s="1042">
        <f>SUM(D42:D46)</f>
        <v>1985684</v>
      </c>
      <c r="E47" s="1042">
        <f>SUM(E42:E46)</f>
        <v>2224800</v>
      </c>
      <c r="F47" s="1042">
        <f>SUM(F42:F46)</f>
        <v>2224950</v>
      </c>
      <c r="G47" s="1042">
        <f>SUM(G42:G46)</f>
        <v>2228087</v>
      </c>
      <c r="H47" s="360">
        <f t="shared" si="0"/>
        <v>1.0014099193240298</v>
      </c>
    </row>
    <row r="48" spans="1:8" ht="12" customHeight="1">
      <c r="A48" s="362"/>
      <c r="B48" s="376" t="s">
        <v>71</v>
      </c>
      <c r="C48" s="1018"/>
      <c r="D48" s="1018"/>
      <c r="E48" s="1018"/>
      <c r="F48" s="1018"/>
      <c r="G48" s="1018"/>
      <c r="H48" s="360"/>
    </row>
    <row r="49" spans="1:8" ht="12" customHeight="1">
      <c r="A49" s="362"/>
      <c r="B49" s="363" t="s">
        <v>255</v>
      </c>
      <c r="C49" s="1018">
        <f>SUM(C27+C16)</f>
        <v>0</v>
      </c>
      <c r="D49" s="1018">
        <f>SUM(D27+D16)</f>
        <v>0</v>
      </c>
      <c r="E49" s="1018">
        <f>SUM(E27+E16)</f>
        <v>0</v>
      </c>
      <c r="F49" s="1018">
        <f>SUM(F27+F16)</f>
        <v>0</v>
      </c>
      <c r="G49" s="1018">
        <f>SUM(G27+G16)</f>
        <v>0</v>
      </c>
      <c r="H49" s="360"/>
    </row>
    <row r="50" spans="1:8" ht="12" customHeight="1">
      <c r="A50" s="362"/>
      <c r="B50" s="72" t="s">
        <v>380</v>
      </c>
      <c r="C50" s="1018">
        <f>SUM(C26+C15+C36)</f>
        <v>82000</v>
      </c>
      <c r="D50" s="1018">
        <f>SUM(D26+D15+D36)</f>
        <v>75000</v>
      </c>
      <c r="E50" s="1018">
        <f>SUM(E26+E15+E36)</f>
        <v>89759</v>
      </c>
      <c r="F50" s="1018">
        <f>SUM(F26+F15+F36)</f>
        <v>89759</v>
      </c>
      <c r="G50" s="1018">
        <f>SUM(G26+G15+G36)</f>
        <v>86759</v>
      </c>
      <c r="H50" s="1065">
        <f t="shared" si="0"/>
        <v>0.9665771677491951</v>
      </c>
    </row>
    <row r="51" spans="1:8" ht="12" customHeight="1">
      <c r="A51" s="362"/>
      <c r="B51" s="296" t="s">
        <v>450</v>
      </c>
      <c r="C51" s="1018">
        <f>SUM(C28)</f>
        <v>8000</v>
      </c>
      <c r="D51" s="1018">
        <f>SUM(D28)</f>
        <v>8000</v>
      </c>
      <c r="E51" s="1018">
        <f>SUM(E28)</f>
        <v>8000</v>
      </c>
      <c r="F51" s="1018">
        <f>SUM(F28)</f>
        <v>8000</v>
      </c>
      <c r="G51" s="1018">
        <f>SUM(G28)</f>
        <v>8000</v>
      </c>
      <c r="H51" s="1065">
        <f t="shared" si="0"/>
        <v>1</v>
      </c>
    </row>
    <row r="52" spans="1:8" ht="12" customHeight="1" thickBot="1">
      <c r="A52" s="362"/>
      <c r="B52" s="300" t="s">
        <v>72</v>
      </c>
      <c r="C52" s="1042">
        <f>SUM(C49:C51)</f>
        <v>90000</v>
      </c>
      <c r="D52" s="1042">
        <f>SUM(D49:D51)</f>
        <v>83000</v>
      </c>
      <c r="E52" s="1042">
        <f>SUM(E49:E51)</f>
        <v>97759</v>
      </c>
      <c r="F52" s="1042">
        <f>SUM(F49:F51)</f>
        <v>97759</v>
      </c>
      <c r="G52" s="1042">
        <f>SUM(G49:G51)</f>
        <v>94759</v>
      </c>
      <c r="H52" s="1069">
        <f t="shared" si="0"/>
        <v>0.9693122883826553</v>
      </c>
    </row>
    <row r="53" spans="1:8" ht="12" customHeight="1" thickBot="1">
      <c r="A53" s="353"/>
      <c r="B53" s="367" t="s">
        <v>256</v>
      </c>
      <c r="C53" s="972">
        <f>SUM(C47+C52)</f>
        <v>2075684</v>
      </c>
      <c r="D53" s="972">
        <f>SUM(D47+D52)</f>
        <v>2068684</v>
      </c>
      <c r="E53" s="972">
        <f>SUM(E47+E52)</f>
        <v>2322559</v>
      </c>
      <c r="F53" s="972">
        <f>SUM(F47+F52)</f>
        <v>2322709</v>
      </c>
      <c r="G53" s="972">
        <f>SUM(G47+G52)</f>
        <v>2322846</v>
      </c>
      <c r="H53" s="1068">
        <f t="shared" si="0"/>
        <v>1.0000589828514894</v>
      </c>
    </row>
    <row r="54" spans="1:8" ht="12.75" thickBot="1">
      <c r="A54" s="377"/>
      <c r="B54" s="378" t="s">
        <v>82</v>
      </c>
      <c r="C54" s="1157">
        <f>SUM(C53)</f>
        <v>2075684</v>
      </c>
      <c r="D54" s="1157">
        <f>SUM(D53)</f>
        <v>2068684</v>
      </c>
      <c r="E54" s="1157">
        <f>SUM(E53)</f>
        <v>2322559</v>
      </c>
      <c r="F54" s="1157">
        <f>SUM(F53)</f>
        <v>2322709</v>
      </c>
      <c r="G54" s="1157">
        <f>SUM(G53)</f>
        <v>2322846</v>
      </c>
      <c r="H54" s="1068">
        <f t="shared" si="0"/>
        <v>1.0000589828514894</v>
      </c>
    </row>
    <row r="56" spans="3:7" ht="12.75">
      <c r="C56" s="379"/>
      <c r="D56" s="379"/>
      <c r="E56" s="379"/>
      <c r="F56" s="379"/>
      <c r="G56" s="379"/>
    </row>
  </sheetData>
  <mergeCells count="8">
    <mergeCell ref="H4:H6"/>
    <mergeCell ref="A2:H2"/>
    <mergeCell ref="A1:H1"/>
    <mergeCell ref="C4:C6"/>
    <mergeCell ref="D4:D6"/>
    <mergeCell ref="E4:E6"/>
    <mergeCell ref="F4:F6"/>
    <mergeCell ref="G4:G6"/>
  </mergeCells>
  <printOptions horizontalCentered="1" verticalCentered="1"/>
  <pageMargins left="0.3937007874015748" right="0.3937007874015748" top="0.1968503937007874" bottom="0.1968503937007874" header="0.11811023622047245" footer="0"/>
  <pageSetup firstPageNumber="21" useFirstPageNumber="1" horizontalDpi="600" verticalDpi="600" orientation="landscape" paperSize="9" r:id="rId3"/>
  <headerFooter alignWithMargins="0">
    <oddFooter>&amp;C&amp;P. oldal</oddFooter>
  </headerFooter>
  <rowBreaks count="1" manualBreakCount="1">
    <brk id="39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7409" r:id="rId4" name="Button 1">
              <controlPr defaultSize="0" print="0" autoFill="0" autoPict="0" macro="[7]!run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28575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7410" r:id="rId5" name="Button 2">
              <controlPr defaultSize="0" print="0" autoFill="0" autoPict="0" macro="[7]!run">
                <anchor moveWithCells="1">
                  <from>
                    <xdr:col>0</xdr:col>
                    <xdr:colOff>247650</xdr:colOff>
                    <xdr:row>0</xdr:row>
                    <xdr:rowOff>0</xdr:rowOff>
                  </from>
                  <to>
                    <xdr:col>1</xdr:col>
                    <xdr:colOff>276225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workbookViewId="0" topLeftCell="A1">
      <selection activeCell="H38" sqref="H38"/>
    </sheetView>
  </sheetViews>
  <sheetFormatPr defaultColWidth="9.125" defaultRowHeight="12.75"/>
  <cols>
    <col min="1" max="1" width="9.125" style="380" customWidth="1"/>
    <col min="2" max="2" width="60.00390625" style="380" customWidth="1"/>
    <col min="3" max="7" width="10.875" style="380" customWidth="1"/>
    <col min="8" max="8" width="9.375" style="380" customWidth="1"/>
    <col min="9" max="16384" width="9.125" style="380" customWidth="1"/>
  </cols>
  <sheetData>
    <row r="2" spans="1:8" ht="15">
      <c r="A2" s="1343" t="s">
        <v>318</v>
      </c>
      <c r="B2" s="1338"/>
      <c r="C2" s="1338"/>
      <c r="D2" s="1338"/>
      <c r="E2" s="1338"/>
      <c r="F2" s="1338"/>
      <c r="G2" s="1338"/>
      <c r="H2" s="1338"/>
    </row>
    <row r="3" spans="1:8" ht="12.75">
      <c r="A3" s="1342" t="s">
        <v>1064</v>
      </c>
      <c r="B3" s="1338"/>
      <c r="C3" s="1338"/>
      <c r="D3" s="1338"/>
      <c r="E3" s="1338"/>
      <c r="F3" s="1338"/>
      <c r="G3" s="1338"/>
      <c r="H3" s="1338"/>
    </row>
    <row r="4" ht="12.75">
      <c r="B4" s="381"/>
    </row>
    <row r="5" ht="12.75">
      <c r="B5" s="381"/>
    </row>
    <row r="6" spans="3:8" ht="12.75">
      <c r="C6" s="382"/>
      <c r="D6" s="382"/>
      <c r="E6" s="382"/>
      <c r="F6" s="382"/>
      <c r="G6" s="382"/>
      <c r="H6" s="382" t="s">
        <v>181</v>
      </c>
    </row>
    <row r="7" spans="1:8" ht="12.75" customHeight="1">
      <c r="A7" s="383"/>
      <c r="B7" s="384" t="s">
        <v>162</v>
      </c>
      <c r="C7" s="1331" t="s">
        <v>1193</v>
      </c>
      <c r="D7" s="1331" t="s">
        <v>1227</v>
      </c>
      <c r="E7" s="1331" t="s">
        <v>1265</v>
      </c>
      <c r="F7" s="1331" t="s">
        <v>1274</v>
      </c>
      <c r="G7" s="1331" t="s">
        <v>1282</v>
      </c>
      <c r="H7" s="1339" t="s">
        <v>1283</v>
      </c>
    </row>
    <row r="8" spans="1:8" ht="12.75">
      <c r="A8" s="385"/>
      <c r="B8" s="386" t="s">
        <v>280</v>
      </c>
      <c r="C8" s="1344"/>
      <c r="D8" s="1344"/>
      <c r="E8" s="1344"/>
      <c r="F8" s="1344"/>
      <c r="G8" s="1344"/>
      <c r="H8" s="1340"/>
    </row>
    <row r="9" spans="1:8" ht="13.5" thickBot="1">
      <c r="A9" s="387"/>
      <c r="B9" s="388"/>
      <c r="C9" s="1345"/>
      <c r="D9" s="1345"/>
      <c r="E9" s="1345"/>
      <c r="F9" s="1345"/>
      <c r="G9" s="1345"/>
      <c r="H9" s="1341"/>
    </row>
    <row r="10" spans="1:8" ht="13.5" thickBot="1">
      <c r="A10" s="389" t="s">
        <v>163</v>
      </c>
      <c r="B10" s="388" t="s">
        <v>164</v>
      </c>
      <c r="C10" s="390" t="s">
        <v>165</v>
      </c>
      <c r="D10" s="390" t="s">
        <v>166</v>
      </c>
      <c r="E10" s="390" t="s">
        <v>167</v>
      </c>
      <c r="F10" s="390" t="s">
        <v>43</v>
      </c>
      <c r="G10" s="390" t="s">
        <v>369</v>
      </c>
      <c r="H10" s="390" t="s">
        <v>570</v>
      </c>
    </row>
    <row r="11" spans="1:8" ht="15" customHeight="1">
      <c r="A11" s="391">
        <v>3030</v>
      </c>
      <c r="B11" s="392" t="s">
        <v>76</v>
      </c>
      <c r="C11" s="393"/>
      <c r="D11" s="393"/>
      <c r="E11" s="393"/>
      <c r="F11" s="393"/>
      <c r="G11" s="393"/>
      <c r="H11" s="394"/>
    </row>
    <row r="12" spans="1:8" ht="15" customHeight="1">
      <c r="A12" s="391"/>
      <c r="B12" s="312" t="s">
        <v>191</v>
      </c>
      <c r="C12" s="393"/>
      <c r="D12" s="393"/>
      <c r="E12" s="393"/>
      <c r="F12" s="393"/>
      <c r="G12" s="393"/>
      <c r="H12" s="385"/>
    </row>
    <row r="13" spans="1:8" ht="15" customHeight="1" thickBot="1">
      <c r="A13" s="391"/>
      <c r="B13" s="313" t="s">
        <v>470</v>
      </c>
      <c r="C13" s="589"/>
      <c r="D13" s="589"/>
      <c r="E13" s="589"/>
      <c r="F13" s="589"/>
      <c r="G13" s="589"/>
      <c r="H13" s="545"/>
    </row>
    <row r="14" spans="1:8" ht="15" customHeight="1" thickBot="1">
      <c r="A14" s="395"/>
      <c r="B14" s="314" t="s">
        <v>437</v>
      </c>
      <c r="C14" s="592"/>
      <c r="D14" s="592"/>
      <c r="E14" s="592"/>
      <c r="F14" s="592"/>
      <c r="G14" s="592"/>
      <c r="H14" s="545"/>
    </row>
    <row r="15" spans="1:8" ht="15" customHeight="1">
      <c r="A15" s="391"/>
      <c r="B15" s="586" t="s">
        <v>18</v>
      </c>
      <c r="C15" s="593"/>
      <c r="D15" s="593"/>
      <c r="E15" s="593"/>
      <c r="F15" s="593"/>
      <c r="G15" s="593"/>
      <c r="H15" s="546"/>
    </row>
    <row r="16" spans="1:8" ht="15" customHeight="1">
      <c r="A16" s="391"/>
      <c r="B16" s="312" t="s">
        <v>19</v>
      </c>
      <c r="C16" s="591">
        <v>20000</v>
      </c>
      <c r="D16" s="591">
        <v>20000</v>
      </c>
      <c r="E16" s="591">
        <v>15000</v>
      </c>
      <c r="F16" s="591">
        <v>15000</v>
      </c>
      <c r="G16" s="591">
        <v>15000</v>
      </c>
      <c r="H16" s="727">
        <f>SUM(G16/F16)</f>
        <v>1</v>
      </c>
    </row>
    <row r="17" spans="1:8" ht="15" customHeight="1" thickBot="1">
      <c r="A17" s="396"/>
      <c r="B17" s="588" t="s">
        <v>1059</v>
      </c>
      <c r="C17" s="589">
        <v>30000</v>
      </c>
      <c r="D17" s="589">
        <v>30000</v>
      </c>
      <c r="E17" s="589">
        <v>15000</v>
      </c>
      <c r="F17" s="589">
        <v>15000</v>
      </c>
      <c r="G17" s="589">
        <v>15000</v>
      </c>
      <c r="H17" s="1242">
        <f aca="true" t="shared" si="0" ref="H17:H18">SUM(G17/F17)</f>
        <v>1</v>
      </c>
    </row>
    <row r="18" spans="1:8" ht="15" customHeight="1" thickBot="1">
      <c r="A18" s="396"/>
      <c r="B18" s="587" t="s">
        <v>20</v>
      </c>
      <c r="C18" s="592">
        <f>SUM(C16:C17)</f>
        <v>50000</v>
      </c>
      <c r="D18" s="592">
        <f>SUM(D16:D17)</f>
        <v>50000</v>
      </c>
      <c r="E18" s="592">
        <f>SUM(E16:E17)</f>
        <v>30000</v>
      </c>
      <c r="F18" s="592">
        <f>SUM(F16:F17)</f>
        <v>30000</v>
      </c>
      <c r="G18" s="592">
        <f>SUM(G16:G17)</f>
        <v>30000</v>
      </c>
      <c r="H18" s="1244">
        <f t="shared" si="0"/>
        <v>1</v>
      </c>
    </row>
    <row r="19" spans="1:8" ht="15" customHeight="1">
      <c r="A19" s="391"/>
      <c r="B19" s="312" t="s">
        <v>194</v>
      </c>
      <c r="C19" s="593"/>
      <c r="D19" s="593"/>
      <c r="E19" s="593"/>
      <c r="F19" s="593"/>
      <c r="G19" s="593"/>
      <c r="H19" s="727"/>
    </row>
    <row r="20" spans="1:8" ht="15" customHeight="1">
      <c r="A20" s="391"/>
      <c r="B20" s="318" t="s">
        <v>195</v>
      </c>
      <c r="C20" s="591"/>
      <c r="D20" s="591"/>
      <c r="E20" s="591"/>
      <c r="F20" s="591"/>
      <c r="G20" s="591"/>
      <c r="H20" s="727"/>
    </row>
    <row r="21" spans="1:8" ht="15" customHeight="1">
      <c r="A21" s="391"/>
      <c r="B21" s="318" t="s">
        <v>196</v>
      </c>
      <c r="C21" s="591"/>
      <c r="D21" s="591"/>
      <c r="E21" s="591"/>
      <c r="F21" s="591"/>
      <c r="G21" s="591"/>
      <c r="H21" s="727"/>
    </row>
    <row r="22" spans="1:8" ht="15" customHeight="1">
      <c r="A22" s="391"/>
      <c r="B22" s="320" t="s">
        <v>197</v>
      </c>
      <c r="C22" s="591"/>
      <c r="D22" s="591"/>
      <c r="E22" s="591"/>
      <c r="F22" s="591"/>
      <c r="G22" s="591"/>
      <c r="H22" s="727"/>
    </row>
    <row r="23" spans="1:8" ht="15" customHeight="1">
      <c r="A23" s="391"/>
      <c r="B23" s="320" t="s">
        <v>198</v>
      </c>
      <c r="C23" s="593"/>
      <c r="D23" s="593"/>
      <c r="E23" s="593"/>
      <c r="F23" s="593"/>
      <c r="G23" s="593"/>
      <c r="H23" s="727"/>
    </row>
    <row r="24" spans="1:8" ht="15" customHeight="1">
      <c r="A24" s="391"/>
      <c r="B24" s="320" t="s">
        <v>199</v>
      </c>
      <c r="C24" s="591"/>
      <c r="D24" s="591"/>
      <c r="E24" s="591"/>
      <c r="F24" s="591"/>
      <c r="G24" s="591"/>
      <c r="H24" s="727"/>
    </row>
    <row r="25" spans="1:8" ht="15" customHeight="1">
      <c r="A25" s="391"/>
      <c r="B25" s="321" t="s">
        <v>469</v>
      </c>
      <c r="C25" s="591"/>
      <c r="D25" s="591"/>
      <c r="E25" s="591"/>
      <c r="F25" s="591"/>
      <c r="G25" s="591"/>
      <c r="H25" s="727"/>
    </row>
    <row r="26" spans="1:8" ht="15" customHeight="1" thickBot="1">
      <c r="A26" s="396"/>
      <c r="B26" s="322" t="s">
        <v>200</v>
      </c>
      <c r="C26" s="589"/>
      <c r="D26" s="589"/>
      <c r="E26" s="589"/>
      <c r="F26" s="589"/>
      <c r="G26" s="589"/>
      <c r="H26" s="1242"/>
    </row>
    <row r="27" spans="1:8" ht="15" customHeight="1" thickBot="1">
      <c r="A27" s="395"/>
      <c r="B27" s="324" t="s">
        <v>349</v>
      </c>
      <c r="C27" s="592"/>
      <c r="D27" s="592"/>
      <c r="E27" s="592"/>
      <c r="F27" s="592"/>
      <c r="G27" s="592"/>
      <c r="H27" s="1243"/>
    </row>
    <row r="28" spans="1:8" ht="15" customHeight="1" thickBot="1">
      <c r="A28" s="395"/>
      <c r="B28" s="326" t="s">
        <v>67</v>
      </c>
      <c r="C28" s="592">
        <f>SUM(C18+C27)</f>
        <v>50000</v>
      </c>
      <c r="D28" s="592">
        <f>SUM(D18+D27)</f>
        <v>50000</v>
      </c>
      <c r="E28" s="592">
        <f>SUM(E18+E27)</f>
        <v>30000</v>
      </c>
      <c r="F28" s="592">
        <f>SUM(F18+F27)</f>
        <v>30000</v>
      </c>
      <c r="G28" s="592">
        <f>SUM(G18+G27)</f>
        <v>30000</v>
      </c>
      <c r="H28" s="1244">
        <f>SUM(G28/F28)</f>
        <v>1</v>
      </c>
    </row>
    <row r="29" spans="1:8" ht="15" customHeight="1" thickBot="1">
      <c r="A29" s="395"/>
      <c r="B29" s="327" t="s">
        <v>68</v>
      </c>
      <c r="C29" s="592"/>
      <c r="D29" s="592"/>
      <c r="E29" s="592"/>
      <c r="F29" s="592"/>
      <c r="G29" s="592"/>
      <c r="H29" s="1243"/>
    </row>
    <row r="30" spans="1:8" ht="15" customHeight="1">
      <c r="A30" s="391"/>
      <c r="B30" s="328" t="s">
        <v>439</v>
      </c>
      <c r="C30" s="591"/>
      <c r="D30" s="591"/>
      <c r="E30" s="591">
        <v>91551</v>
      </c>
      <c r="F30" s="591">
        <v>91551</v>
      </c>
      <c r="G30" s="591">
        <v>91551</v>
      </c>
      <c r="H30" s="727">
        <f aca="true" t="shared" si="1" ref="H30:H49">SUM(G30/F30)</f>
        <v>1</v>
      </c>
    </row>
    <row r="31" spans="1:8" ht="15" customHeight="1">
      <c r="A31" s="391"/>
      <c r="B31" s="329" t="s">
        <v>454</v>
      </c>
      <c r="C31" s="591"/>
      <c r="D31" s="591"/>
      <c r="E31" s="591"/>
      <c r="F31" s="591"/>
      <c r="G31" s="591"/>
      <c r="H31" s="727"/>
    </row>
    <row r="32" spans="1:8" ht="15" customHeight="1" thickBot="1">
      <c r="A32" s="391"/>
      <c r="B32" s="330" t="s">
        <v>475</v>
      </c>
      <c r="C32" s="589">
        <v>694664</v>
      </c>
      <c r="D32" s="589">
        <v>694664</v>
      </c>
      <c r="E32" s="589">
        <v>714664</v>
      </c>
      <c r="F32" s="589">
        <v>714664</v>
      </c>
      <c r="G32" s="589">
        <v>714664</v>
      </c>
      <c r="H32" s="1242">
        <f t="shared" si="1"/>
        <v>1</v>
      </c>
    </row>
    <row r="33" spans="1:8" ht="15" customHeight="1" thickBot="1">
      <c r="A33" s="395"/>
      <c r="B33" s="331" t="s">
        <v>61</v>
      </c>
      <c r="C33" s="590">
        <f>SUM(C30:C32)</f>
        <v>694664</v>
      </c>
      <c r="D33" s="590">
        <f>SUM(D30:D32)</f>
        <v>694664</v>
      </c>
      <c r="E33" s="590">
        <f>SUM(E30:E32)</f>
        <v>806215</v>
      </c>
      <c r="F33" s="590">
        <f>SUM(F30:F32)</f>
        <v>806215</v>
      </c>
      <c r="G33" s="590">
        <f>SUM(G30:G32)</f>
        <v>806215</v>
      </c>
      <c r="H33" s="1244">
        <f t="shared" si="1"/>
        <v>1</v>
      </c>
    </row>
    <row r="34" spans="1:8" ht="15" customHeight="1" thickBot="1">
      <c r="A34" s="391"/>
      <c r="B34" s="699" t="s">
        <v>439</v>
      </c>
      <c r="C34" s="591"/>
      <c r="D34" s="591"/>
      <c r="E34" s="591">
        <v>10557</v>
      </c>
      <c r="F34" s="591">
        <v>10557</v>
      </c>
      <c r="G34" s="591">
        <v>10557</v>
      </c>
      <c r="H34" s="1243">
        <f t="shared" si="1"/>
        <v>1</v>
      </c>
    </row>
    <row r="35" spans="1:8" ht="15" customHeight="1" thickBot="1">
      <c r="A35" s="395"/>
      <c r="B35" s="331" t="s">
        <v>63</v>
      </c>
      <c r="C35" s="590"/>
      <c r="D35" s="590"/>
      <c r="E35" s="590">
        <f>SUM(E34)</f>
        <v>10557</v>
      </c>
      <c r="F35" s="590">
        <f>SUM(F34)</f>
        <v>10557</v>
      </c>
      <c r="G35" s="590">
        <f>SUM(G34)</f>
        <v>10557</v>
      </c>
      <c r="H35" s="1244">
        <f t="shared" si="1"/>
        <v>1</v>
      </c>
    </row>
    <row r="36" spans="1:8" ht="15" customHeight="1" thickBot="1">
      <c r="A36" s="395"/>
      <c r="B36" s="333" t="s">
        <v>75</v>
      </c>
      <c r="C36" s="590">
        <f>SUM(C35+C33+C28+C29)</f>
        <v>744664</v>
      </c>
      <c r="D36" s="590">
        <f>SUM(D35+D33+D28+D29)</f>
        <v>744664</v>
      </c>
      <c r="E36" s="590">
        <f>SUM(E35+E33+E28+E29)</f>
        <v>846772</v>
      </c>
      <c r="F36" s="590">
        <f>SUM(F35+F33+F28+F29)</f>
        <v>846772</v>
      </c>
      <c r="G36" s="590">
        <f>SUM(G35+G33+G28+G29)</f>
        <v>846772</v>
      </c>
      <c r="H36" s="1244">
        <f t="shared" si="1"/>
        <v>1</v>
      </c>
    </row>
    <row r="37" spans="1:8" ht="15" customHeight="1">
      <c r="A37" s="391"/>
      <c r="B37" s="334" t="s">
        <v>328</v>
      </c>
      <c r="C37" s="591">
        <v>452533</v>
      </c>
      <c r="D37" s="591">
        <v>452533</v>
      </c>
      <c r="E37" s="591">
        <v>462257</v>
      </c>
      <c r="F37" s="591">
        <v>462257</v>
      </c>
      <c r="G37" s="591">
        <v>462257</v>
      </c>
      <c r="H37" s="727">
        <f t="shared" si="1"/>
        <v>1</v>
      </c>
    </row>
    <row r="38" spans="1:8" ht="15" customHeight="1">
      <c r="A38" s="391"/>
      <c r="B38" s="334" t="s">
        <v>329</v>
      </c>
      <c r="C38" s="591">
        <v>80856</v>
      </c>
      <c r="D38" s="591">
        <v>80856</v>
      </c>
      <c r="E38" s="591">
        <v>86003</v>
      </c>
      <c r="F38" s="591">
        <v>86003</v>
      </c>
      <c r="G38" s="591">
        <v>86003</v>
      </c>
      <c r="H38" s="727">
        <f t="shared" si="1"/>
        <v>1</v>
      </c>
    </row>
    <row r="39" spans="1:8" ht="15" customHeight="1">
      <c r="A39" s="391"/>
      <c r="B39" s="334" t="s">
        <v>330</v>
      </c>
      <c r="C39" s="591">
        <v>185955</v>
      </c>
      <c r="D39" s="591">
        <v>185955</v>
      </c>
      <c r="E39" s="591">
        <v>262635</v>
      </c>
      <c r="F39" s="591">
        <v>262635</v>
      </c>
      <c r="G39" s="591">
        <v>262635</v>
      </c>
      <c r="H39" s="727">
        <f t="shared" si="1"/>
        <v>1</v>
      </c>
    </row>
    <row r="40" spans="1:8" ht="15" customHeight="1">
      <c r="A40" s="391"/>
      <c r="B40" s="335" t="s">
        <v>332</v>
      </c>
      <c r="C40" s="593"/>
      <c r="D40" s="593"/>
      <c r="E40" s="593"/>
      <c r="F40" s="593"/>
      <c r="G40" s="593"/>
      <c r="H40" s="727"/>
    </row>
    <row r="41" spans="1:8" ht="15" customHeight="1" thickBot="1">
      <c r="A41" s="565"/>
      <c r="B41" s="336" t="s">
        <v>331</v>
      </c>
      <c r="C41" s="589"/>
      <c r="D41" s="589"/>
      <c r="E41" s="589"/>
      <c r="F41" s="589"/>
      <c r="G41" s="589"/>
      <c r="H41" s="1242"/>
    </row>
    <row r="42" spans="1:8" ht="15" customHeight="1">
      <c r="A42" s="563"/>
      <c r="B42" s="567" t="s">
        <v>60</v>
      </c>
      <c r="C42" s="593">
        <f>SUM(C37:C41)</f>
        <v>719344</v>
      </c>
      <c r="D42" s="593">
        <f>SUM(D37:D41)</f>
        <v>719344</v>
      </c>
      <c r="E42" s="593">
        <f>SUM(E37:E41)</f>
        <v>810895</v>
      </c>
      <c r="F42" s="593">
        <f>SUM(F37:F41)</f>
        <v>810895</v>
      </c>
      <c r="G42" s="593">
        <f>SUM(G37:G41)</f>
        <v>810895</v>
      </c>
      <c r="H42" s="1245">
        <f t="shared" si="1"/>
        <v>1</v>
      </c>
    </row>
    <row r="43" spans="1:8" ht="15" customHeight="1">
      <c r="A43" s="566"/>
      <c r="B43" s="564" t="s">
        <v>15</v>
      </c>
      <c r="C43" s="594">
        <v>145000</v>
      </c>
      <c r="D43" s="594">
        <v>145000</v>
      </c>
      <c r="E43" s="594">
        <v>145000</v>
      </c>
      <c r="F43" s="594">
        <v>145000</v>
      </c>
      <c r="G43" s="594">
        <v>145000</v>
      </c>
      <c r="H43" s="1246">
        <f t="shared" si="1"/>
        <v>1</v>
      </c>
    </row>
    <row r="44" spans="1:8" ht="15" customHeight="1" thickBot="1">
      <c r="A44" s="396"/>
      <c r="B44" s="560" t="s">
        <v>403</v>
      </c>
      <c r="C44" s="595">
        <v>179592</v>
      </c>
      <c r="D44" s="595">
        <v>179592</v>
      </c>
      <c r="E44" s="595">
        <v>179592</v>
      </c>
      <c r="F44" s="595">
        <v>179592</v>
      </c>
      <c r="G44" s="595">
        <v>179592</v>
      </c>
      <c r="H44" s="1247">
        <f t="shared" si="1"/>
        <v>1</v>
      </c>
    </row>
    <row r="45" spans="1:10" ht="15.95" customHeight="1">
      <c r="A45" s="391"/>
      <c r="B45" s="334" t="s">
        <v>251</v>
      </c>
      <c r="C45" s="596">
        <v>25320</v>
      </c>
      <c r="D45" s="596">
        <v>25320</v>
      </c>
      <c r="E45" s="596">
        <v>35877</v>
      </c>
      <c r="F45" s="596">
        <v>35877</v>
      </c>
      <c r="G45" s="596">
        <v>35877</v>
      </c>
      <c r="H45" s="727">
        <f t="shared" si="1"/>
        <v>1</v>
      </c>
      <c r="J45" s="1100"/>
    </row>
    <row r="46" spans="1:8" ht="15" customHeight="1">
      <c r="A46" s="391"/>
      <c r="B46" s="334" t="s">
        <v>252</v>
      </c>
      <c r="C46" s="593"/>
      <c r="D46" s="593"/>
      <c r="E46" s="593"/>
      <c r="F46" s="593"/>
      <c r="G46" s="593"/>
      <c r="H46" s="727"/>
    </row>
    <row r="47" spans="1:8" ht="15" customHeight="1" thickBot="1">
      <c r="A47" s="391"/>
      <c r="B47" s="336" t="s">
        <v>448</v>
      </c>
      <c r="C47" s="592"/>
      <c r="D47" s="592"/>
      <c r="E47" s="592"/>
      <c r="F47" s="592"/>
      <c r="G47" s="592"/>
      <c r="H47" s="1242"/>
    </row>
    <row r="48" spans="1:8" ht="15" customHeight="1" thickBot="1">
      <c r="A48" s="395"/>
      <c r="B48" s="338" t="s">
        <v>66</v>
      </c>
      <c r="C48" s="590">
        <f>SUM(C45:C47)</f>
        <v>25320</v>
      </c>
      <c r="D48" s="590">
        <f>SUM(D45:D47)</f>
        <v>25320</v>
      </c>
      <c r="E48" s="590">
        <f>SUM(E45:E47)</f>
        <v>35877</v>
      </c>
      <c r="F48" s="590">
        <f>SUM(F45:F47)</f>
        <v>35877</v>
      </c>
      <c r="G48" s="590">
        <f>SUM(G45:G47)</f>
        <v>35877</v>
      </c>
      <c r="H48" s="1244">
        <f t="shared" si="1"/>
        <v>1</v>
      </c>
    </row>
    <row r="49" spans="1:8" ht="15" customHeight="1" thickBot="1">
      <c r="A49" s="396"/>
      <c r="B49" s="339" t="s">
        <v>112</v>
      </c>
      <c r="C49" s="971">
        <f>SUM(C48,C42)</f>
        <v>744664</v>
      </c>
      <c r="D49" s="971">
        <f>SUM(D48,D42)</f>
        <v>744664</v>
      </c>
      <c r="E49" s="971">
        <f>SUM(E48,E42)</f>
        <v>846772</v>
      </c>
      <c r="F49" s="971">
        <f>SUM(F48,F42)</f>
        <v>846772</v>
      </c>
      <c r="G49" s="971">
        <f>SUM(G48,G42)</f>
        <v>846772</v>
      </c>
      <c r="H49" s="1248">
        <f t="shared" si="1"/>
        <v>1</v>
      </c>
    </row>
    <row r="52" ht="16.5" customHeight="1">
      <c r="B52" s="548"/>
    </row>
    <row r="53" ht="15" customHeight="1">
      <c r="B53" s="548"/>
    </row>
  </sheetData>
  <mergeCells count="8">
    <mergeCell ref="H7:H9"/>
    <mergeCell ref="A3:H3"/>
    <mergeCell ref="A2:H2"/>
    <mergeCell ref="C7:C9"/>
    <mergeCell ref="D7:D9"/>
    <mergeCell ref="E7:E9"/>
    <mergeCell ref="F7:F9"/>
    <mergeCell ref="G7:G9"/>
  </mergeCells>
  <printOptions/>
  <pageMargins left="0.5511811023622047" right="0.5511811023622047" top="0.984251968503937" bottom="0.984251968503937" header="0.5118110236220472" footer="0.5118110236220472"/>
  <pageSetup firstPageNumber="23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showZeros="0" view="pageBreakPreview" zoomScaleSheetLayoutView="100" workbookViewId="0" topLeftCell="A120">
      <selection activeCell="A146" sqref="A146:XFD146"/>
    </sheetView>
  </sheetViews>
  <sheetFormatPr defaultColWidth="9.125" defaultRowHeight="12.75"/>
  <cols>
    <col min="1" max="1" width="6.125" style="398" customWidth="1"/>
    <col min="2" max="2" width="50.875" style="345" customWidth="1"/>
    <col min="3" max="6" width="14.625" style="487" customWidth="1"/>
    <col min="7" max="7" width="11.75390625" style="487" customWidth="1"/>
    <col min="8" max="8" width="9.375" style="487" customWidth="1"/>
    <col min="9" max="9" width="39.875" style="487" customWidth="1"/>
    <col min="10" max="16384" width="9.125" style="345" customWidth="1"/>
  </cols>
  <sheetData>
    <row r="1" spans="1:9" ht="12.75">
      <c r="A1" s="1346" t="s">
        <v>319</v>
      </c>
      <c r="B1" s="1347"/>
      <c r="C1" s="1347"/>
      <c r="D1" s="1347"/>
      <c r="E1" s="1347"/>
      <c r="F1" s="1347"/>
      <c r="G1" s="1347"/>
      <c r="H1" s="1347"/>
      <c r="I1" s="1347"/>
    </row>
    <row r="2" spans="1:9" ht="12.75">
      <c r="A2" s="1348" t="s">
        <v>1065</v>
      </c>
      <c r="B2" s="1349"/>
      <c r="C2" s="1349"/>
      <c r="D2" s="1349"/>
      <c r="E2" s="1349"/>
      <c r="F2" s="1349"/>
      <c r="G2" s="1349"/>
      <c r="H2" s="1349"/>
      <c r="I2" s="1349"/>
    </row>
    <row r="3" spans="1:9" ht="12.75">
      <c r="A3" s="397"/>
      <c r="B3" s="397"/>
      <c r="C3" s="397"/>
      <c r="D3" s="1186"/>
      <c r="E3" s="1196"/>
      <c r="F3" s="1232"/>
      <c r="G3" s="1251"/>
      <c r="H3" s="397"/>
      <c r="I3" s="397"/>
    </row>
    <row r="4" spans="3:9" ht="12.75">
      <c r="C4" s="399"/>
      <c r="D4" s="399"/>
      <c r="E4" s="399"/>
      <c r="F4" s="399"/>
      <c r="G4" s="399"/>
      <c r="H4" s="399"/>
      <c r="I4" s="400" t="s">
        <v>181</v>
      </c>
    </row>
    <row r="5" spans="1:9" s="350" customFormat="1" ht="12" customHeight="1">
      <c r="A5" s="348"/>
      <c r="B5" s="349"/>
      <c r="C5" s="1331" t="s">
        <v>1193</v>
      </c>
      <c r="D5" s="1331" t="s">
        <v>1226</v>
      </c>
      <c r="E5" s="1331" t="s">
        <v>1264</v>
      </c>
      <c r="F5" s="1331" t="s">
        <v>1274</v>
      </c>
      <c r="G5" s="1331" t="s">
        <v>1291</v>
      </c>
      <c r="H5" s="1350" t="s">
        <v>1278</v>
      </c>
      <c r="I5" s="402" t="s">
        <v>1164</v>
      </c>
    </row>
    <row r="6" spans="1:9" s="350" customFormat="1" ht="12" customHeight="1">
      <c r="A6" s="351" t="s">
        <v>279</v>
      </c>
      <c r="B6" s="352" t="s">
        <v>291</v>
      </c>
      <c r="C6" s="1344"/>
      <c r="D6" s="1344"/>
      <c r="E6" s="1344"/>
      <c r="F6" s="1344"/>
      <c r="G6" s="1344"/>
      <c r="H6" s="1344"/>
      <c r="I6" s="73" t="s">
        <v>145</v>
      </c>
    </row>
    <row r="7" spans="1:9" s="350" customFormat="1" ht="12.75" customHeight="1" thickBot="1">
      <c r="A7" s="351"/>
      <c r="B7" s="354"/>
      <c r="C7" s="1345"/>
      <c r="D7" s="1345"/>
      <c r="E7" s="1345"/>
      <c r="F7" s="1345"/>
      <c r="G7" s="1345"/>
      <c r="H7" s="1351"/>
      <c r="I7" s="371"/>
    </row>
    <row r="8" spans="1:9" s="350" customFormat="1" ht="12.75">
      <c r="A8" s="355" t="s">
        <v>163</v>
      </c>
      <c r="B8" s="403" t="s">
        <v>164</v>
      </c>
      <c r="C8" s="357" t="s">
        <v>165</v>
      </c>
      <c r="D8" s="357" t="s">
        <v>166</v>
      </c>
      <c r="E8" s="357" t="s">
        <v>167</v>
      </c>
      <c r="F8" s="357" t="s">
        <v>43</v>
      </c>
      <c r="G8" s="357" t="s">
        <v>369</v>
      </c>
      <c r="H8" s="357" t="s">
        <v>570</v>
      </c>
      <c r="I8" s="357" t="s">
        <v>572</v>
      </c>
    </row>
    <row r="9" spans="1:9" s="350" customFormat="1" ht="12" customHeight="1">
      <c r="A9" s="351">
        <v>3050</v>
      </c>
      <c r="B9" s="404" t="s">
        <v>257</v>
      </c>
      <c r="C9" s="405">
        <f>SUM(C17+C25+C34)</f>
        <v>30000</v>
      </c>
      <c r="D9" s="405">
        <f>SUM(D17+D25+D34)</f>
        <v>20000</v>
      </c>
      <c r="E9" s="405">
        <f>SUM(E17+E25+E34)</f>
        <v>51862</v>
      </c>
      <c r="F9" s="405">
        <f>SUM(F17+F25+F34)</f>
        <v>51862</v>
      </c>
      <c r="G9" s="405">
        <f>SUM(G17+G25+G34)</f>
        <v>51862</v>
      </c>
      <c r="H9" s="406">
        <f>SUM(G9/F9)</f>
        <v>1</v>
      </c>
      <c r="I9" s="407"/>
    </row>
    <row r="10" spans="1:9" ht="12" customHeight="1">
      <c r="A10" s="408">
        <v>3052</v>
      </c>
      <c r="B10" s="409" t="s">
        <v>23</v>
      </c>
      <c r="C10" s="410"/>
      <c r="D10" s="410"/>
      <c r="E10" s="410"/>
      <c r="F10" s="410"/>
      <c r="G10" s="410"/>
      <c r="H10" s="406"/>
      <c r="I10" s="411"/>
    </row>
    <row r="11" spans="1:9" ht="12" customHeight="1">
      <c r="A11" s="412"/>
      <c r="B11" s="413" t="s">
        <v>115</v>
      </c>
      <c r="C11" s="426"/>
      <c r="D11" s="426"/>
      <c r="E11" s="426"/>
      <c r="F11" s="426"/>
      <c r="G11" s="426"/>
      <c r="H11" s="406"/>
      <c r="I11" s="1178" t="s">
        <v>1079</v>
      </c>
    </row>
    <row r="12" spans="1:9" ht="12" customHeight="1">
      <c r="A12" s="412"/>
      <c r="B12" s="415" t="s">
        <v>298</v>
      </c>
      <c r="C12" s="426"/>
      <c r="D12" s="426"/>
      <c r="E12" s="426"/>
      <c r="F12" s="426"/>
      <c r="G12" s="426"/>
      <c r="H12" s="406"/>
      <c r="I12" s="678" t="s">
        <v>1165</v>
      </c>
    </row>
    <row r="13" spans="1:9" ht="12" customHeight="1">
      <c r="A13" s="412"/>
      <c r="B13" s="416" t="s">
        <v>284</v>
      </c>
      <c r="C13" s="426">
        <v>5000</v>
      </c>
      <c r="D13" s="426">
        <v>5000</v>
      </c>
      <c r="E13" s="426">
        <v>6114</v>
      </c>
      <c r="F13" s="426">
        <v>6114</v>
      </c>
      <c r="G13" s="426">
        <v>6114</v>
      </c>
      <c r="H13" s="1086">
        <f aca="true" t="shared" si="0" ref="H13:H70">SUM(G13/F13)</f>
        <v>1</v>
      </c>
      <c r="I13" s="678"/>
    </row>
    <row r="14" spans="1:9" ht="12" customHeight="1">
      <c r="A14" s="412"/>
      <c r="B14" s="417" t="s">
        <v>120</v>
      </c>
      <c r="C14" s="426"/>
      <c r="D14" s="426"/>
      <c r="E14" s="426"/>
      <c r="F14" s="426"/>
      <c r="G14" s="426"/>
      <c r="H14" s="406"/>
      <c r="I14" s="414"/>
    </row>
    <row r="15" spans="1:9" ht="12" customHeight="1">
      <c r="A15" s="412"/>
      <c r="B15" s="417" t="s">
        <v>293</v>
      </c>
      <c r="C15" s="1009"/>
      <c r="D15" s="1009"/>
      <c r="E15" s="1009"/>
      <c r="F15" s="1009"/>
      <c r="G15" s="1009"/>
      <c r="H15" s="406"/>
      <c r="I15" s="414"/>
    </row>
    <row r="16" spans="1:9" ht="12" customHeight="1" thickBot="1">
      <c r="A16" s="412"/>
      <c r="B16" s="418" t="s">
        <v>88</v>
      </c>
      <c r="C16" s="1010"/>
      <c r="D16" s="1010"/>
      <c r="E16" s="1010"/>
      <c r="F16" s="1010"/>
      <c r="G16" s="1010"/>
      <c r="H16" s="1087"/>
      <c r="I16" s="419"/>
    </row>
    <row r="17" spans="1:9" ht="13.5" customHeight="1" thickBot="1">
      <c r="A17" s="420"/>
      <c r="B17" s="421" t="s">
        <v>136</v>
      </c>
      <c r="C17" s="974">
        <f>SUM(C11:C14)</f>
        <v>5000</v>
      </c>
      <c r="D17" s="974">
        <f>SUM(D11:D14)</f>
        <v>5000</v>
      </c>
      <c r="E17" s="974">
        <f>SUM(E11:E14)</f>
        <v>6114</v>
      </c>
      <c r="F17" s="974">
        <f>SUM(F11:F14)</f>
        <v>6114</v>
      </c>
      <c r="G17" s="974">
        <f>SUM(G11:G14)</f>
        <v>6114</v>
      </c>
      <c r="H17" s="1088">
        <f t="shared" si="0"/>
        <v>1</v>
      </c>
      <c r="I17" s="422"/>
    </row>
    <row r="18" spans="1:9" ht="13.5" customHeight="1">
      <c r="A18" s="408">
        <v>3054</v>
      </c>
      <c r="B18" s="716" t="s">
        <v>239</v>
      </c>
      <c r="C18" s="1009"/>
      <c r="D18" s="1009"/>
      <c r="E18" s="1009"/>
      <c r="F18" s="1009"/>
      <c r="G18" s="1009"/>
      <c r="H18" s="406"/>
      <c r="I18" s="411"/>
    </row>
    <row r="19" spans="1:9" ht="12.6" customHeight="1">
      <c r="A19" s="412"/>
      <c r="B19" s="413" t="s">
        <v>115</v>
      </c>
      <c r="C19" s="1008"/>
      <c r="D19" s="1008"/>
      <c r="E19" s="1008"/>
      <c r="F19" s="1008"/>
      <c r="G19" s="1008"/>
      <c r="H19" s="406"/>
      <c r="I19" s="678"/>
    </row>
    <row r="20" spans="1:9" ht="12.6" customHeight="1">
      <c r="A20" s="412"/>
      <c r="B20" s="415" t="s">
        <v>298</v>
      </c>
      <c r="C20" s="1008"/>
      <c r="D20" s="1008"/>
      <c r="E20" s="1008"/>
      <c r="F20" s="1008"/>
      <c r="G20" s="1008"/>
      <c r="H20" s="406"/>
      <c r="I20" s="1178" t="s">
        <v>1079</v>
      </c>
    </row>
    <row r="21" spans="1:9" ht="12.6" customHeight="1">
      <c r="A21" s="412"/>
      <c r="B21" s="416" t="s">
        <v>284</v>
      </c>
      <c r="C21" s="1008">
        <v>5000</v>
      </c>
      <c r="D21" s="1008">
        <v>5000</v>
      </c>
      <c r="E21" s="1008">
        <v>6465</v>
      </c>
      <c r="F21" s="1008">
        <v>6465</v>
      </c>
      <c r="G21" s="1008">
        <v>6465</v>
      </c>
      <c r="H21" s="1086">
        <f t="shared" si="0"/>
        <v>1</v>
      </c>
      <c r="I21" s="678" t="s">
        <v>1165</v>
      </c>
    </row>
    <row r="22" spans="1:9" ht="12.6" customHeight="1">
      <c r="A22" s="412"/>
      <c r="B22" s="417" t="s">
        <v>120</v>
      </c>
      <c r="C22" s="1008"/>
      <c r="D22" s="1008"/>
      <c r="E22" s="1008"/>
      <c r="F22" s="1008"/>
      <c r="G22" s="1008"/>
      <c r="H22" s="406"/>
      <c r="I22" s="414"/>
    </row>
    <row r="23" spans="1:9" ht="12.6" customHeight="1">
      <c r="A23" s="412"/>
      <c r="B23" s="417" t="s">
        <v>293</v>
      </c>
      <c r="C23" s="1009"/>
      <c r="D23" s="1009"/>
      <c r="E23" s="1009"/>
      <c r="F23" s="1009"/>
      <c r="G23" s="1009"/>
      <c r="H23" s="406"/>
      <c r="I23" s="414"/>
    </row>
    <row r="24" spans="1:9" ht="12.6" customHeight="1" thickBot="1">
      <c r="A24" s="412"/>
      <c r="B24" s="418" t="s">
        <v>88</v>
      </c>
      <c r="C24" s="1010"/>
      <c r="D24" s="1010"/>
      <c r="E24" s="1010"/>
      <c r="F24" s="1010"/>
      <c r="G24" s="1010"/>
      <c r="H24" s="1087"/>
      <c r="I24" s="419"/>
    </row>
    <row r="25" spans="1:9" ht="12.6" customHeight="1" thickBot="1">
      <c r="A25" s="420"/>
      <c r="B25" s="421" t="s">
        <v>136</v>
      </c>
      <c r="C25" s="973">
        <f>SUM(C21:C24)</f>
        <v>5000</v>
      </c>
      <c r="D25" s="973">
        <f>SUM(D21:D24)</f>
        <v>5000</v>
      </c>
      <c r="E25" s="973">
        <f>SUM(E21:E24)</f>
        <v>6465</v>
      </c>
      <c r="F25" s="973">
        <f>SUM(F21:F24)</f>
        <v>6465</v>
      </c>
      <c r="G25" s="973">
        <f>SUM(G21:G24)</f>
        <v>6465</v>
      </c>
      <c r="H25" s="1088">
        <f t="shared" si="0"/>
        <v>1</v>
      </c>
      <c r="I25" s="422"/>
    </row>
    <row r="26" spans="1:9" ht="12.6" customHeight="1">
      <c r="A26" s="408">
        <v>3056</v>
      </c>
      <c r="B26" s="716" t="s">
        <v>1033</v>
      </c>
      <c r="C26" s="1009"/>
      <c r="D26" s="1009"/>
      <c r="E26" s="1009"/>
      <c r="F26" s="1009"/>
      <c r="G26" s="1009"/>
      <c r="H26" s="406"/>
      <c r="I26" s="411"/>
    </row>
    <row r="27" spans="1:9" ht="12.6" customHeight="1">
      <c r="A27" s="412"/>
      <c r="B27" s="413" t="s">
        <v>115</v>
      </c>
      <c r="C27" s="1008"/>
      <c r="D27" s="1008"/>
      <c r="E27" s="1008"/>
      <c r="F27" s="1008"/>
      <c r="G27" s="1008"/>
      <c r="H27" s="406"/>
      <c r="I27" s="605" t="s">
        <v>1083</v>
      </c>
    </row>
    <row r="28" spans="1:9" ht="12.6" customHeight="1">
      <c r="A28" s="412"/>
      <c r="B28" s="415" t="s">
        <v>298</v>
      </c>
      <c r="C28" s="1008"/>
      <c r="D28" s="1008"/>
      <c r="E28" s="1008"/>
      <c r="F28" s="1008"/>
      <c r="G28" s="1008"/>
      <c r="H28" s="406"/>
      <c r="I28" s="606" t="s">
        <v>1084</v>
      </c>
    </row>
    <row r="29" spans="1:9" ht="12.6" customHeight="1">
      <c r="A29" s="412"/>
      <c r="B29" s="416" t="s">
        <v>284</v>
      </c>
      <c r="C29" s="1008">
        <v>17000</v>
      </c>
      <c r="D29" s="1008">
        <v>7000</v>
      </c>
      <c r="E29" s="1008">
        <v>10536</v>
      </c>
      <c r="F29" s="1008">
        <v>10536</v>
      </c>
      <c r="G29" s="1008">
        <v>10536</v>
      </c>
      <c r="H29" s="1089">
        <f t="shared" si="0"/>
        <v>1</v>
      </c>
      <c r="I29" s="678"/>
    </row>
    <row r="30" spans="1:9" ht="12.6" customHeight="1">
      <c r="A30" s="412"/>
      <c r="B30" s="417" t="s">
        <v>120</v>
      </c>
      <c r="C30" s="1008"/>
      <c r="D30" s="1008"/>
      <c r="E30" s="1008"/>
      <c r="F30" s="1008"/>
      <c r="G30" s="1008"/>
      <c r="H30" s="1086"/>
      <c r="I30" s="414"/>
    </row>
    <row r="31" spans="1:9" ht="12.6" customHeight="1">
      <c r="A31" s="412"/>
      <c r="B31" s="417" t="s">
        <v>293</v>
      </c>
      <c r="C31" s="1009"/>
      <c r="D31" s="1198"/>
      <c r="E31" s="1009"/>
      <c r="F31" s="1009"/>
      <c r="G31" s="1009"/>
      <c r="H31" s="1086"/>
      <c r="I31" s="678"/>
    </row>
    <row r="32" spans="1:9" ht="12.6" customHeight="1">
      <c r="A32" s="412"/>
      <c r="B32" s="417" t="s">
        <v>1228</v>
      </c>
      <c r="C32" s="1197"/>
      <c r="D32" s="960"/>
      <c r="E32" s="1027">
        <v>16884</v>
      </c>
      <c r="F32" s="1027">
        <v>16884</v>
      </c>
      <c r="G32" s="1027">
        <f>16884-13500</f>
        <v>3384</v>
      </c>
      <c r="H32" s="1086">
        <f t="shared" si="0"/>
        <v>0.20042643923240938</v>
      </c>
      <c r="I32" s="679"/>
    </row>
    <row r="33" spans="1:9" ht="12.6" customHeight="1" thickBot="1">
      <c r="A33" s="412"/>
      <c r="B33" s="418" t="s">
        <v>251</v>
      </c>
      <c r="C33" s="1012">
        <v>3000</v>
      </c>
      <c r="D33" s="1012">
        <v>3000</v>
      </c>
      <c r="E33" s="1012">
        <v>11863</v>
      </c>
      <c r="F33" s="1012">
        <v>11863</v>
      </c>
      <c r="G33" s="1012">
        <f>11863+13500</f>
        <v>25363</v>
      </c>
      <c r="H33" s="1091">
        <f t="shared" si="0"/>
        <v>2.137992076203321</v>
      </c>
      <c r="I33" s="419"/>
    </row>
    <row r="34" spans="1:9" ht="12.6" customHeight="1" thickBot="1">
      <c r="A34" s="420"/>
      <c r="B34" s="421" t="s">
        <v>136</v>
      </c>
      <c r="C34" s="973">
        <f>SUM(C29:C33)</f>
        <v>20000</v>
      </c>
      <c r="D34" s="973">
        <f>SUM(D29:D33)</f>
        <v>10000</v>
      </c>
      <c r="E34" s="973">
        <f>SUM(E29:E33)</f>
        <v>39283</v>
      </c>
      <c r="F34" s="973">
        <f>SUM(F29:F33)</f>
        <v>39283</v>
      </c>
      <c r="G34" s="973">
        <f>SUM(G29:G33)</f>
        <v>39283</v>
      </c>
      <c r="H34" s="1088">
        <f t="shared" si="0"/>
        <v>1</v>
      </c>
      <c r="I34" s="422"/>
    </row>
    <row r="35" spans="1:9" ht="12.75">
      <c r="A35" s="408">
        <v>3060</v>
      </c>
      <c r="B35" s="423" t="s">
        <v>86</v>
      </c>
      <c r="C35" s="1011">
        <f>SUM(C43+C51)</f>
        <v>9000</v>
      </c>
      <c r="D35" s="1011">
        <f>SUM(D43+D51)</f>
        <v>9000</v>
      </c>
      <c r="E35" s="1011">
        <f>SUM(E43+E51)</f>
        <v>3550</v>
      </c>
      <c r="F35" s="1011">
        <f>SUM(F43+F51)</f>
        <v>3550</v>
      </c>
      <c r="G35" s="1011">
        <f>SUM(G43+G51)</f>
        <v>3550</v>
      </c>
      <c r="H35" s="406">
        <f t="shared" si="0"/>
        <v>1</v>
      </c>
      <c r="I35" s="411"/>
    </row>
    <row r="36" spans="1:9" ht="12" customHeight="1">
      <c r="A36" s="408">
        <v>3061</v>
      </c>
      <c r="B36" s="424" t="s">
        <v>121</v>
      </c>
      <c r="C36" s="1009"/>
      <c r="D36" s="1009"/>
      <c r="E36" s="1009"/>
      <c r="F36" s="1009"/>
      <c r="G36" s="1009"/>
      <c r="H36" s="406"/>
      <c r="I36" s="680"/>
    </row>
    <row r="37" spans="1:9" ht="12" customHeight="1">
      <c r="A37" s="412"/>
      <c r="B37" s="413" t="s">
        <v>115</v>
      </c>
      <c r="C37" s="1008"/>
      <c r="D37" s="1008"/>
      <c r="E37" s="1008"/>
      <c r="F37" s="1008"/>
      <c r="G37" s="1008"/>
      <c r="H37" s="406"/>
      <c r="I37" s="425"/>
    </row>
    <row r="38" spans="1:9" ht="12" customHeight="1">
      <c r="A38" s="412"/>
      <c r="B38" s="415" t="s">
        <v>298</v>
      </c>
      <c r="C38" s="1008"/>
      <c r="D38" s="1008"/>
      <c r="E38" s="1008"/>
      <c r="F38" s="1008"/>
      <c r="G38" s="1008"/>
      <c r="H38" s="406"/>
      <c r="I38" s="1178" t="s">
        <v>1166</v>
      </c>
    </row>
    <row r="39" spans="1:9" ht="12" customHeight="1">
      <c r="A39" s="427"/>
      <c r="B39" s="416" t="s">
        <v>284</v>
      </c>
      <c r="C39" s="1008">
        <v>3000</v>
      </c>
      <c r="D39" s="1008">
        <v>3000</v>
      </c>
      <c r="E39" s="1008">
        <v>1299</v>
      </c>
      <c r="F39" s="1008">
        <v>1299</v>
      </c>
      <c r="G39" s="1008">
        <v>1299</v>
      </c>
      <c r="H39" s="1089">
        <f t="shared" si="0"/>
        <v>1</v>
      </c>
      <c r="I39" s="414"/>
    </row>
    <row r="40" spans="1:9" ht="12" customHeight="1">
      <c r="A40" s="427"/>
      <c r="B40" s="417" t="s">
        <v>120</v>
      </c>
      <c r="C40" s="1008"/>
      <c r="D40" s="1008"/>
      <c r="E40" s="1008"/>
      <c r="F40" s="1008"/>
      <c r="G40" s="1008"/>
      <c r="H40" s="1086"/>
      <c r="I40" s="680" t="s">
        <v>1186</v>
      </c>
    </row>
    <row r="41" spans="1:9" ht="12.75">
      <c r="A41" s="427"/>
      <c r="B41" s="417" t="s">
        <v>293</v>
      </c>
      <c r="C41" s="1008"/>
      <c r="D41" s="1008"/>
      <c r="E41" s="1008"/>
      <c r="F41" s="1008"/>
      <c r="G41" s="1008"/>
      <c r="H41" s="1086"/>
      <c r="I41" s="680"/>
    </row>
    <row r="42" spans="1:9" ht="12.75" thickBot="1">
      <c r="A42" s="427" t="s">
        <v>280</v>
      </c>
      <c r="B42" s="418" t="s">
        <v>88</v>
      </c>
      <c r="C42" s="1012"/>
      <c r="D42" s="1012"/>
      <c r="E42" s="1012"/>
      <c r="F42" s="1012"/>
      <c r="G42" s="1012"/>
      <c r="H42" s="1091"/>
      <c r="I42" s="428"/>
    </row>
    <row r="43" spans="1:9" ht="12.75" thickBot="1">
      <c r="A43" s="429"/>
      <c r="B43" s="421" t="s">
        <v>136</v>
      </c>
      <c r="C43" s="973">
        <f>SUM(C37:C42)</f>
        <v>3000</v>
      </c>
      <c r="D43" s="973">
        <f>SUM(D37:D42)</f>
        <v>3000</v>
      </c>
      <c r="E43" s="973">
        <f>SUM(E37:E42)</f>
        <v>1299</v>
      </c>
      <c r="F43" s="973">
        <f>SUM(F37:F42)</f>
        <v>1299</v>
      </c>
      <c r="G43" s="973">
        <f>SUM(G37:G42)</f>
        <v>1299</v>
      </c>
      <c r="H43" s="1088">
        <f t="shared" si="0"/>
        <v>1</v>
      </c>
      <c r="I43" s="430"/>
    </row>
    <row r="44" spans="1:9" ht="12.75">
      <c r="A44" s="431">
        <v>3071</v>
      </c>
      <c r="B44" s="409" t="s">
        <v>139</v>
      </c>
      <c r="C44" s="1013"/>
      <c r="D44" s="1013"/>
      <c r="E44" s="1013"/>
      <c r="F44" s="1013"/>
      <c r="G44" s="1013"/>
      <c r="H44" s="406"/>
      <c r="I44" s="605" t="s">
        <v>1083</v>
      </c>
    </row>
    <row r="45" spans="1:9" ht="12" customHeight="1">
      <c r="A45" s="427"/>
      <c r="B45" s="413" t="s">
        <v>115</v>
      </c>
      <c r="C45" s="1014"/>
      <c r="D45" s="1014"/>
      <c r="E45" s="1014"/>
      <c r="F45" s="1014"/>
      <c r="G45" s="1014"/>
      <c r="H45" s="406"/>
      <c r="I45" s="606" t="s">
        <v>1084</v>
      </c>
    </row>
    <row r="46" spans="1:9" ht="12" customHeight="1">
      <c r="A46" s="412"/>
      <c r="B46" s="415" t="s">
        <v>298</v>
      </c>
      <c r="C46" s="1014"/>
      <c r="D46" s="1014"/>
      <c r="E46" s="1014"/>
      <c r="F46" s="1014"/>
      <c r="G46" s="1014"/>
      <c r="H46" s="406"/>
      <c r="I46" s="414"/>
    </row>
    <row r="47" spans="1:9" ht="12" customHeight="1">
      <c r="A47" s="412"/>
      <c r="B47" s="416" t="s">
        <v>284</v>
      </c>
      <c r="C47" s="1014">
        <v>6000</v>
      </c>
      <c r="D47" s="1014">
        <v>6000</v>
      </c>
      <c r="E47" s="1014">
        <v>2251</v>
      </c>
      <c r="F47" s="1014">
        <v>2251</v>
      </c>
      <c r="G47" s="1014">
        <v>2251</v>
      </c>
      <c r="H47" s="1089">
        <f t="shared" si="0"/>
        <v>1</v>
      </c>
      <c r="I47" s="607"/>
    </row>
    <row r="48" spans="1:9" ht="12" customHeight="1">
      <c r="A48" s="412"/>
      <c r="B48" s="417" t="s">
        <v>120</v>
      </c>
      <c r="C48" s="1014"/>
      <c r="D48" s="1014"/>
      <c r="E48" s="1014"/>
      <c r="F48" s="1014"/>
      <c r="G48" s="1014"/>
      <c r="H48" s="1086"/>
      <c r="I48" s="607"/>
    </row>
    <row r="49" spans="1:9" ht="12" customHeight="1">
      <c r="A49" s="412"/>
      <c r="B49" s="417" t="s">
        <v>293</v>
      </c>
      <c r="C49" s="1014"/>
      <c r="D49" s="1014"/>
      <c r="E49" s="1014"/>
      <c r="F49" s="1014"/>
      <c r="G49" s="1014"/>
      <c r="H49" s="1086"/>
      <c r="I49" s="414"/>
    </row>
    <row r="50" spans="1:9" ht="12" customHeight="1" thickBot="1">
      <c r="A50" s="412"/>
      <c r="B50" s="418" t="s">
        <v>88</v>
      </c>
      <c r="C50" s="1015"/>
      <c r="D50" s="1015"/>
      <c r="E50" s="1015"/>
      <c r="F50" s="1015"/>
      <c r="G50" s="1015"/>
      <c r="H50" s="1091"/>
      <c r="I50" s="469"/>
    </row>
    <row r="51" spans="1:9" ht="12" customHeight="1" thickBot="1">
      <c r="A51" s="436"/>
      <c r="B51" s="421" t="s">
        <v>136</v>
      </c>
      <c r="C51" s="1016">
        <f>SUM(C47:C50)</f>
        <v>6000</v>
      </c>
      <c r="D51" s="1016">
        <f>SUM(D47:D50)</f>
        <v>6000</v>
      </c>
      <c r="E51" s="1016">
        <f>SUM(E47:E50)</f>
        <v>2251</v>
      </c>
      <c r="F51" s="1016">
        <f>SUM(F47:F50)</f>
        <v>2251</v>
      </c>
      <c r="G51" s="1016">
        <f>SUM(G47:G50)</f>
        <v>2251</v>
      </c>
      <c r="H51" s="1088">
        <f t="shared" si="0"/>
        <v>1</v>
      </c>
      <c r="I51" s="608"/>
    </row>
    <row r="52" spans="1:9" ht="12" customHeight="1">
      <c r="A52" s="431">
        <v>3072</v>
      </c>
      <c r="B52" s="409" t="s">
        <v>1229</v>
      </c>
      <c r="C52" s="1013"/>
      <c r="D52" s="1013"/>
      <c r="E52" s="1013"/>
      <c r="F52" s="1013"/>
      <c r="G52" s="1013"/>
      <c r="H52" s="406"/>
      <c r="I52" s="605" t="s">
        <v>1083</v>
      </c>
    </row>
    <row r="53" spans="1:9" ht="12" customHeight="1">
      <c r="A53" s="427"/>
      <c r="B53" s="413" t="s">
        <v>115</v>
      </c>
      <c r="C53" s="1014"/>
      <c r="D53" s="1014"/>
      <c r="E53" s="1014"/>
      <c r="F53" s="1014"/>
      <c r="G53" s="1014"/>
      <c r="H53" s="406"/>
      <c r="I53" s="606" t="s">
        <v>1084</v>
      </c>
    </row>
    <row r="54" spans="1:9" ht="12" customHeight="1">
      <c r="A54" s="412"/>
      <c r="B54" s="415" t="s">
        <v>298</v>
      </c>
      <c r="C54" s="1014"/>
      <c r="D54" s="1014"/>
      <c r="E54" s="1014"/>
      <c r="F54" s="1014"/>
      <c r="G54" s="1014"/>
      <c r="H54" s="406"/>
      <c r="I54" s="414"/>
    </row>
    <row r="55" spans="1:9" ht="12" customHeight="1">
      <c r="A55" s="412"/>
      <c r="B55" s="416" t="s">
        <v>284</v>
      </c>
      <c r="C55" s="1014"/>
      <c r="D55" s="1014"/>
      <c r="E55" s="1014">
        <v>7425</v>
      </c>
      <c r="F55" s="1014">
        <v>7425</v>
      </c>
      <c r="G55" s="1014">
        <v>7425</v>
      </c>
      <c r="H55" s="1239">
        <f t="shared" si="0"/>
        <v>1</v>
      </c>
      <c r="I55" s="607"/>
    </row>
    <row r="56" spans="1:9" ht="12" customHeight="1">
      <c r="A56" s="412"/>
      <c r="B56" s="417" t="s">
        <v>120</v>
      </c>
      <c r="C56" s="1014"/>
      <c r="D56" s="1014"/>
      <c r="E56" s="1014"/>
      <c r="F56" s="1014"/>
      <c r="G56" s="1014"/>
      <c r="H56" s="406"/>
      <c r="I56" s="607"/>
    </row>
    <row r="57" spans="1:9" ht="12" customHeight="1">
      <c r="A57" s="412"/>
      <c r="B57" s="417" t="s">
        <v>293</v>
      </c>
      <c r="C57" s="1014"/>
      <c r="D57" s="1014"/>
      <c r="E57" s="1014"/>
      <c r="F57" s="1014"/>
      <c r="G57" s="1014"/>
      <c r="H57" s="406"/>
      <c r="I57" s="414"/>
    </row>
    <row r="58" spans="1:9" ht="12" customHeight="1" thickBot="1">
      <c r="A58" s="412"/>
      <c r="B58" s="418" t="s">
        <v>88</v>
      </c>
      <c r="C58" s="1015"/>
      <c r="D58" s="1015"/>
      <c r="E58" s="1015"/>
      <c r="F58" s="1015"/>
      <c r="G58" s="1015"/>
      <c r="H58" s="1240"/>
      <c r="I58" s="469"/>
    </row>
    <row r="59" spans="1:9" ht="12" customHeight="1" thickBot="1">
      <c r="A59" s="436"/>
      <c r="B59" s="421" t="s">
        <v>136</v>
      </c>
      <c r="C59" s="1016">
        <f>SUM(C55:C58)</f>
        <v>0</v>
      </c>
      <c r="D59" s="1016">
        <f>SUM(D55:D58)</f>
        <v>0</v>
      </c>
      <c r="E59" s="1016">
        <f>SUM(E55:E58)</f>
        <v>7425</v>
      </c>
      <c r="F59" s="1016">
        <f>SUM(F55:F58)</f>
        <v>7425</v>
      </c>
      <c r="G59" s="1016">
        <f>SUM(G55:G58)</f>
        <v>7425</v>
      </c>
      <c r="H59" s="1088">
        <f t="shared" si="0"/>
        <v>1</v>
      </c>
      <c r="I59" s="608"/>
    </row>
    <row r="60" spans="1:9" ht="12" customHeight="1">
      <c r="A60" s="431">
        <v>3080</v>
      </c>
      <c r="B60" s="438" t="s">
        <v>89</v>
      </c>
      <c r="C60" s="1013">
        <f>SUM(C68)</f>
        <v>22000</v>
      </c>
      <c r="D60" s="1013">
        <f>SUM(D68)</f>
        <v>22000</v>
      </c>
      <c r="E60" s="1013">
        <f>SUM(E68)</f>
        <v>31972</v>
      </c>
      <c r="F60" s="1013">
        <f>SUM(F68)</f>
        <v>31972</v>
      </c>
      <c r="G60" s="1013">
        <f>SUM(G68)</f>
        <v>31972</v>
      </c>
      <c r="H60" s="406">
        <f t="shared" si="0"/>
        <v>1</v>
      </c>
      <c r="I60" s="605"/>
    </row>
    <row r="61" spans="1:9" ht="12" customHeight="1">
      <c r="A61" s="431">
        <v>3081</v>
      </c>
      <c r="B61" s="424" t="s">
        <v>143</v>
      </c>
      <c r="C61" s="1013"/>
      <c r="D61" s="1013"/>
      <c r="E61" s="1013"/>
      <c r="F61" s="1013"/>
      <c r="G61" s="1013"/>
      <c r="H61" s="406"/>
      <c r="I61" s="681"/>
    </row>
    <row r="62" spans="1:9" ht="12" customHeight="1">
      <c r="A62" s="427"/>
      <c r="B62" s="413" t="s">
        <v>115</v>
      </c>
      <c r="C62" s="1014"/>
      <c r="D62" s="1014"/>
      <c r="E62" s="1014"/>
      <c r="F62" s="1014"/>
      <c r="G62" s="1014"/>
      <c r="H62" s="406"/>
      <c r="I62" s="678"/>
    </row>
    <row r="63" spans="1:9" ht="12" customHeight="1">
      <c r="A63" s="427"/>
      <c r="B63" s="415" t="s">
        <v>298</v>
      </c>
      <c r="C63" s="1014"/>
      <c r="D63" s="1014"/>
      <c r="E63" s="1014"/>
      <c r="F63" s="1014"/>
      <c r="G63" s="1014"/>
      <c r="H63" s="406"/>
      <c r="I63" s="679"/>
    </row>
    <row r="64" spans="1:9" ht="12" customHeight="1">
      <c r="A64" s="427"/>
      <c r="B64" s="416" t="s">
        <v>284</v>
      </c>
      <c r="C64" s="1014">
        <v>17000</v>
      </c>
      <c r="D64" s="1014">
        <v>17000</v>
      </c>
      <c r="E64" s="1014">
        <v>23440</v>
      </c>
      <c r="F64" s="1014">
        <v>23440</v>
      </c>
      <c r="G64" s="1014">
        <f>23440-5000</f>
        <v>18440</v>
      </c>
      <c r="H64" s="1089">
        <f t="shared" si="0"/>
        <v>0.7866894197952219</v>
      </c>
      <c r="I64" s="678"/>
    </row>
    <row r="65" spans="1:9" ht="12" customHeight="1">
      <c r="A65" s="427"/>
      <c r="B65" s="416" t="s">
        <v>87</v>
      </c>
      <c r="C65" s="1014">
        <v>5000</v>
      </c>
      <c r="D65" s="1014">
        <v>5000</v>
      </c>
      <c r="E65" s="1014">
        <v>8532</v>
      </c>
      <c r="F65" s="1014">
        <v>8532</v>
      </c>
      <c r="G65" s="1014">
        <f>8532+5000</f>
        <v>13532</v>
      </c>
      <c r="H65" s="1086">
        <f t="shared" si="0"/>
        <v>1.5860290670417252</v>
      </c>
      <c r="I65" s="679"/>
    </row>
    <row r="66" spans="1:9" ht="12" customHeight="1">
      <c r="A66" s="427"/>
      <c r="B66" s="417" t="s">
        <v>293</v>
      </c>
      <c r="C66" s="1014"/>
      <c r="D66" s="1014"/>
      <c r="E66" s="1014"/>
      <c r="F66" s="1014"/>
      <c r="G66" s="1014"/>
      <c r="H66" s="1086"/>
      <c r="I66" s="606"/>
    </row>
    <row r="67" spans="1:9" ht="12" customHeight="1" thickBot="1">
      <c r="A67" s="412"/>
      <c r="B67" s="418" t="s">
        <v>88</v>
      </c>
      <c r="C67" s="1015"/>
      <c r="D67" s="1015"/>
      <c r="E67" s="1015"/>
      <c r="F67" s="1015"/>
      <c r="G67" s="1015"/>
      <c r="H67" s="1091"/>
      <c r="I67" s="469"/>
    </row>
    <row r="68" spans="1:9" ht="12" customHeight="1" thickBot="1">
      <c r="A68" s="436"/>
      <c r="B68" s="421" t="s">
        <v>136</v>
      </c>
      <c r="C68" s="973">
        <f>SUM(C62:C67)</f>
        <v>22000</v>
      </c>
      <c r="D68" s="973">
        <f>SUM(D62:D67)</f>
        <v>22000</v>
      </c>
      <c r="E68" s="973">
        <f>SUM(E62:E67)</f>
        <v>31972</v>
      </c>
      <c r="F68" s="973">
        <f>SUM(F62:F67)</f>
        <v>31972</v>
      </c>
      <c r="G68" s="973">
        <f>SUM(G62:G67)</f>
        <v>31972</v>
      </c>
      <c r="H68" s="1088">
        <f t="shared" si="0"/>
        <v>1</v>
      </c>
      <c r="I68" s="437"/>
    </row>
    <row r="69" spans="1:9" ht="12" customHeight="1" thickBot="1">
      <c r="A69" s="440">
        <v>3130</v>
      </c>
      <c r="B69" s="441" t="s">
        <v>366</v>
      </c>
      <c r="C69" s="973">
        <f>SUM(C70+C113)</f>
        <v>456401</v>
      </c>
      <c r="D69" s="973">
        <f>SUM(D70+D113)</f>
        <v>391401</v>
      </c>
      <c r="E69" s="973">
        <f>SUM(E70+E113)</f>
        <v>556940</v>
      </c>
      <c r="F69" s="973">
        <f>SUM(F70+F113)</f>
        <v>567944</v>
      </c>
      <c r="G69" s="973">
        <f>SUM(G70+G113)</f>
        <v>687516</v>
      </c>
      <c r="H69" s="1088">
        <f t="shared" si="0"/>
        <v>1.2105348414632429</v>
      </c>
      <c r="I69" s="437"/>
    </row>
    <row r="70" spans="1:9" ht="12" customHeight="1" thickBot="1">
      <c r="A70" s="431">
        <v>3110</v>
      </c>
      <c r="B70" s="441" t="s">
        <v>364</v>
      </c>
      <c r="C70" s="973">
        <f>SUM(C78+C96+C104+C86+C112)</f>
        <v>386401</v>
      </c>
      <c r="D70" s="973">
        <f>SUM(D78+D96+D104+D86+D112)</f>
        <v>336401</v>
      </c>
      <c r="E70" s="973">
        <f>SUM(E78+E96+E104+E86+E112)</f>
        <v>496699</v>
      </c>
      <c r="F70" s="973">
        <f>SUM(F78+F96+F104+F86+F112)</f>
        <v>507703</v>
      </c>
      <c r="G70" s="973">
        <f>SUM(G78+G96+G104+G86+G112)</f>
        <v>627275</v>
      </c>
      <c r="H70" s="1088">
        <f t="shared" si="0"/>
        <v>1.2355156459583654</v>
      </c>
      <c r="I70" s="437"/>
    </row>
    <row r="71" spans="1:9" ht="12" customHeight="1">
      <c r="A71" s="442">
        <v>3111</v>
      </c>
      <c r="B71" s="443" t="s">
        <v>159</v>
      </c>
      <c r="C71" s="1009"/>
      <c r="D71" s="1009"/>
      <c r="E71" s="1009"/>
      <c r="F71" s="1009"/>
      <c r="G71" s="1009"/>
      <c r="H71" s="406"/>
      <c r="I71" s="357" t="s">
        <v>1085</v>
      </c>
    </row>
    <row r="72" spans="1:9" ht="12" customHeight="1">
      <c r="A72" s="412"/>
      <c r="B72" s="413" t="s">
        <v>115</v>
      </c>
      <c r="C72" s="1008"/>
      <c r="D72" s="1008"/>
      <c r="E72" s="1008"/>
      <c r="F72" s="1008"/>
      <c r="G72" s="1008"/>
      <c r="H72" s="406"/>
      <c r="I72" s="433"/>
    </row>
    <row r="73" spans="1:9" ht="12" customHeight="1">
      <c r="A73" s="412"/>
      <c r="B73" s="415" t="s">
        <v>298</v>
      </c>
      <c r="C73" s="1008"/>
      <c r="D73" s="1008"/>
      <c r="E73" s="1008"/>
      <c r="F73" s="1008"/>
      <c r="G73" s="1008"/>
      <c r="H73" s="406"/>
      <c r="I73" s="433"/>
    </row>
    <row r="74" spans="1:9" ht="12" customHeight="1">
      <c r="A74" s="412"/>
      <c r="B74" s="416" t="s">
        <v>284</v>
      </c>
      <c r="C74" s="1008"/>
      <c r="D74" s="1008"/>
      <c r="E74" s="1008"/>
      <c r="F74" s="1008"/>
      <c r="G74" s="1008">
        <v>32</v>
      </c>
      <c r="H74" s="406"/>
      <c r="I74" s="433"/>
    </row>
    <row r="75" spans="1:9" ht="12" customHeight="1">
      <c r="A75" s="412"/>
      <c r="B75" s="417" t="s">
        <v>120</v>
      </c>
      <c r="C75" s="1008"/>
      <c r="D75" s="1008"/>
      <c r="E75" s="1008"/>
      <c r="F75" s="1008"/>
      <c r="G75" s="1008"/>
      <c r="H75" s="406"/>
      <c r="I75" s="549"/>
    </row>
    <row r="76" spans="1:9" ht="12" customHeight="1">
      <c r="A76" s="412"/>
      <c r="B76" s="417" t="s">
        <v>293</v>
      </c>
      <c r="C76" s="1008"/>
      <c r="D76" s="1008"/>
      <c r="E76" s="1008"/>
      <c r="F76" s="1008"/>
      <c r="G76" s="1008"/>
      <c r="H76" s="406"/>
      <c r="I76" s="433"/>
    </row>
    <row r="77" spans="1:9" ht="12" customHeight="1" thickBot="1">
      <c r="A77" s="412"/>
      <c r="B77" s="418" t="s">
        <v>272</v>
      </c>
      <c r="C77" s="1012">
        <v>200000</v>
      </c>
      <c r="D77" s="1012">
        <v>200000</v>
      </c>
      <c r="E77" s="1012">
        <v>300000</v>
      </c>
      <c r="F77" s="1012">
        <v>311004</v>
      </c>
      <c r="G77" s="1012">
        <v>430544</v>
      </c>
      <c r="H77" s="1090">
        <f aca="true" t="shared" si="1" ref="H77:H137">SUM(G77/F77)</f>
        <v>1.3843680467132256</v>
      </c>
      <c r="I77" s="433"/>
    </row>
    <row r="78" spans="1:9" ht="12" customHeight="1" thickBot="1">
      <c r="A78" s="436"/>
      <c r="B78" s="421" t="s">
        <v>136</v>
      </c>
      <c r="C78" s="973">
        <f>SUM(C72:C77)</f>
        <v>200000</v>
      </c>
      <c r="D78" s="973">
        <f>SUM(D72:D77)</f>
        <v>200000</v>
      </c>
      <c r="E78" s="973">
        <f>SUM(E72:E77)</f>
        <v>300000</v>
      </c>
      <c r="F78" s="973">
        <f>SUM(F72:F77)</f>
        <v>311004</v>
      </c>
      <c r="G78" s="973">
        <f>SUM(G72:G77)</f>
        <v>430576</v>
      </c>
      <c r="H78" s="1088">
        <f t="shared" si="1"/>
        <v>1.3844709392805237</v>
      </c>
      <c r="I78" s="437"/>
    </row>
    <row r="79" spans="1:9" ht="12" customHeight="1">
      <c r="A79" s="442">
        <v>3112</v>
      </c>
      <c r="B79" s="443" t="s">
        <v>424</v>
      </c>
      <c r="C79" s="1009"/>
      <c r="D79" s="1009"/>
      <c r="E79" s="1009"/>
      <c r="F79" s="1009"/>
      <c r="G79" s="1009"/>
      <c r="H79" s="406"/>
      <c r="I79" s="357"/>
    </row>
    <row r="80" spans="1:9" ht="12" customHeight="1">
      <c r="A80" s="412"/>
      <c r="B80" s="413" t="s">
        <v>115</v>
      </c>
      <c r="C80" s="1008"/>
      <c r="D80" s="1008"/>
      <c r="E80" s="1008"/>
      <c r="F80" s="1008"/>
      <c r="G80" s="1008"/>
      <c r="H80" s="406"/>
      <c r="I80" s="433"/>
    </row>
    <row r="81" spans="1:9" ht="12" customHeight="1">
      <c r="A81" s="412"/>
      <c r="B81" s="415" t="s">
        <v>298</v>
      </c>
      <c r="C81" s="1008"/>
      <c r="D81" s="1008"/>
      <c r="E81" s="1008"/>
      <c r="F81" s="1008"/>
      <c r="G81" s="1008"/>
      <c r="H81" s="406"/>
      <c r="I81" s="433"/>
    </row>
    <row r="82" spans="1:9" ht="12" customHeight="1">
      <c r="A82" s="412"/>
      <c r="B82" s="416" t="s">
        <v>284</v>
      </c>
      <c r="C82" s="1008">
        <v>40000</v>
      </c>
      <c r="D82" s="1008">
        <v>40000</v>
      </c>
      <c r="E82" s="1008">
        <v>53955</v>
      </c>
      <c r="F82" s="1008">
        <v>53955</v>
      </c>
      <c r="G82" s="1008">
        <v>53955</v>
      </c>
      <c r="H82" s="1086">
        <f t="shared" si="1"/>
        <v>1</v>
      </c>
      <c r="I82" s="1105" t="s">
        <v>1171</v>
      </c>
    </row>
    <row r="83" spans="1:9" ht="12" customHeight="1">
      <c r="A83" s="412"/>
      <c r="B83" s="417" t="s">
        <v>120</v>
      </c>
      <c r="C83" s="1008"/>
      <c r="D83" s="1008"/>
      <c r="E83" s="1008"/>
      <c r="F83" s="1008"/>
      <c r="G83" s="1008"/>
      <c r="H83" s="406"/>
      <c r="I83" s="1105" t="s">
        <v>1183</v>
      </c>
    </row>
    <row r="84" spans="1:9" ht="12" customHeight="1">
      <c r="A84" s="412"/>
      <c r="B84" s="417" t="s">
        <v>293</v>
      </c>
      <c r="C84" s="1008"/>
      <c r="D84" s="1008"/>
      <c r="E84" s="1008"/>
      <c r="F84" s="1008"/>
      <c r="G84" s="1008"/>
      <c r="H84" s="406"/>
      <c r="I84" s="433"/>
    </row>
    <row r="85" spans="1:9" ht="12" customHeight="1" thickBot="1">
      <c r="A85" s="412"/>
      <c r="B85" s="418" t="s">
        <v>88</v>
      </c>
      <c r="C85" s="1012"/>
      <c r="D85" s="1012"/>
      <c r="E85" s="1012"/>
      <c r="F85" s="1012"/>
      <c r="G85" s="1012"/>
      <c r="H85" s="1087"/>
      <c r="I85" s="433"/>
    </row>
    <row r="86" spans="1:9" ht="12" customHeight="1" thickBot="1">
      <c r="A86" s="436"/>
      <c r="B86" s="421" t="s">
        <v>136</v>
      </c>
      <c r="C86" s="973">
        <f>SUM(C80:C85)</f>
        <v>40000</v>
      </c>
      <c r="D86" s="973">
        <f>SUM(D80:D85)</f>
        <v>40000</v>
      </c>
      <c r="E86" s="973">
        <f>SUM(E80:E85)</f>
        <v>53955</v>
      </c>
      <c r="F86" s="973">
        <f>SUM(F80:F85)</f>
        <v>53955</v>
      </c>
      <c r="G86" s="973">
        <f>SUM(G80:G85)</f>
        <v>53955</v>
      </c>
      <c r="H86" s="1088">
        <f t="shared" si="1"/>
        <v>1</v>
      </c>
      <c r="I86" s="437"/>
    </row>
    <row r="87" spans="1:9" ht="12" customHeight="1">
      <c r="A87" s="351">
        <v>3114</v>
      </c>
      <c r="B87" s="444" t="s">
        <v>123</v>
      </c>
      <c r="C87" s="1017"/>
      <c r="D87" s="1017"/>
      <c r="E87" s="1017"/>
      <c r="F87" s="1017"/>
      <c r="G87" s="1017"/>
      <c r="H87" s="406"/>
      <c r="I87" s="445"/>
    </row>
    <row r="88" spans="1:9" ht="12" customHeight="1">
      <c r="A88" s="289"/>
      <c r="B88" s="363" t="s">
        <v>115</v>
      </c>
      <c r="C88" s="1018"/>
      <c r="D88" s="1018"/>
      <c r="E88" s="1018"/>
      <c r="F88" s="1018"/>
      <c r="G88" s="1018"/>
      <c r="H88" s="406"/>
      <c r="I88" s="433"/>
    </row>
    <row r="89" spans="1:9" ht="12" customHeight="1">
      <c r="A89" s="289"/>
      <c r="B89" s="179" t="s">
        <v>298</v>
      </c>
      <c r="C89" s="1018"/>
      <c r="D89" s="1018"/>
      <c r="E89" s="1018"/>
      <c r="F89" s="1018"/>
      <c r="G89" s="1018"/>
      <c r="H89" s="406"/>
      <c r="I89" s="556"/>
    </row>
    <row r="90" spans="1:9" ht="12" customHeight="1">
      <c r="A90" s="289"/>
      <c r="B90" s="364" t="s">
        <v>284</v>
      </c>
      <c r="C90" s="1018">
        <v>70000</v>
      </c>
      <c r="D90" s="1018">
        <v>60000</v>
      </c>
      <c r="E90" s="1018">
        <v>76409</v>
      </c>
      <c r="F90" s="1018">
        <v>76409</v>
      </c>
      <c r="G90" s="1018">
        <f>76409-1265</f>
        <v>75144</v>
      </c>
      <c r="H90" s="1089">
        <f t="shared" si="1"/>
        <v>0.9834443586488503</v>
      </c>
      <c r="I90" s="1183" t="s">
        <v>1180</v>
      </c>
    </row>
    <row r="91" spans="1:9" ht="12" customHeight="1">
      <c r="A91" s="289"/>
      <c r="B91" s="296" t="s">
        <v>120</v>
      </c>
      <c r="C91" s="1018"/>
      <c r="D91" s="1018"/>
      <c r="E91" s="1018"/>
      <c r="F91" s="1018"/>
      <c r="G91" s="1018"/>
      <c r="H91" s="1086"/>
      <c r="I91" s="425"/>
    </row>
    <row r="92" spans="1:9" ht="12" customHeight="1">
      <c r="A92" s="289"/>
      <c r="B92" s="296" t="s">
        <v>293</v>
      </c>
      <c r="C92" s="1018"/>
      <c r="D92" s="1018"/>
      <c r="E92" s="1018"/>
      <c r="F92" s="1018"/>
      <c r="G92" s="1018"/>
      <c r="H92" s="1086"/>
      <c r="I92" s="556"/>
    </row>
    <row r="93" spans="1:9" ht="12" customHeight="1">
      <c r="A93" s="289"/>
      <c r="B93" s="418" t="s">
        <v>253</v>
      </c>
      <c r="C93" s="1018"/>
      <c r="D93" s="1018"/>
      <c r="E93" s="1018"/>
      <c r="F93" s="1018"/>
      <c r="G93" s="1018"/>
      <c r="H93" s="1086"/>
      <c r="I93" s="434"/>
    </row>
    <row r="94" spans="1:9" ht="12" customHeight="1">
      <c r="A94" s="289"/>
      <c r="B94" s="1077" t="s">
        <v>1049</v>
      </c>
      <c r="C94" s="1019"/>
      <c r="D94" s="1019"/>
      <c r="E94" s="1019">
        <v>3639</v>
      </c>
      <c r="F94" s="1019">
        <v>3639</v>
      </c>
      <c r="G94" s="1019">
        <f>3639+1265</f>
        <v>4904</v>
      </c>
      <c r="H94" s="1086">
        <f t="shared" si="1"/>
        <v>1.3476229733443255</v>
      </c>
      <c r="I94" s="414"/>
    </row>
    <row r="95" spans="1:9" ht="12" customHeight="1" thickBot="1">
      <c r="A95" s="289"/>
      <c r="B95" s="718" t="s">
        <v>21</v>
      </c>
      <c r="C95" s="1020"/>
      <c r="D95" s="1020"/>
      <c r="E95" s="1020">
        <v>20011</v>
      </c>
      <c r="F95" s="1020">
        <v>20011</v>
      </c>
      <c r="G95" s="1020">
        <v>20011</v>
      </c>
      <c r="H95" s="1091">
        <f t="shared" si="1"/>
        <v>1</v>
      </c>
      <c r="I95" s="719"/>
    </row>
    <row r="96" spans="1:9" ht="12" customHeight="1" thickBot="1">
      <c r="A96" s="371"/>
      <c r="B96" s="421" t="s">
        <v>136</v>
      </c>
      <c r="C96" s="972">
        <f>SUM(C88:C95)</f>
        <v>70000</v>
      </c>
      <c r="D96" s="972">
        <f>SUM(D88:D95)</f>
        <v>60000</v>
      </c>
      <c r="E96" s="972">
        <f>SUM(E88:E95)</f>
        <v>100059</v>
      </c>
      <c r="F96" s="972">
        <f>SUM(F88:F95)</f>
        <v>100059</v>
      </c>
      <c r="G96" s="972">
        <f>SUM(G88:G95)</f>
        <v>100059</v>
      </c>
      <c r="H96" s="1088">
        <f t="shared" si="1"/>
        <v>1</v>
      </c>
      <c r="I96" s="437"/>
    </row>
    <row r="97" spans="1:9" ht="12" customHeight="1">
      <c r="A97" s="351">
        <v>3115</v>
      </c>
      <c r="B97" s="444" t="s">
        <v>1132</v>
      </c>
      <c r="C97" s="1017"/>
      <c r="D97" s="1017"/>
      <c r="E97" s="1017"/>
      <c r="F97" s="1017"/>
      <c r="G97" s="1017"/>
      <c r="H97" s="406"/>
      <c r="I97" s="445"/>
    </row>
    <row r="98" spans="1:9" ht="12" customHeight="1">
      <c r="A98" s="289"/>
      <c r="B98" s="363" t="s">
        <v>115</v>
      </c>
      <c r="C98" s="1018"/>
      <c r="D98" s="1018"/>
      <c r="E98" s="1018"/>
      <c r="F98" s="1018"/>
      <c r="G98" s="1018"/>
      <c r="H98" s="406"/>
      <c r="I98" s="433"/>
    </row>
    <row r="99" spans="1:9" ht="12" customHeight="1">
      <c r="A99" s="289"/>
      <c r="B99" s="179" t="s">
        <v>298</v>
      </c>
      <c r="C99" s="1018"/>
      <c r="D99" s="1018"/>
      <c r="E99" s="1018"/>
      <c r="F99" s="1018"/>
      <c r="G99" s="1018"/>
      <c r="H99" s="406"/>
      <c r="I99" s="1178" t="s">
        <v>1079</v>
      </c>
    </row>
    <row r="100" spans="1:9" ht="12" customHeight="1">
      <c r="A100" s="289"/>
      <c r="B100" s="364" t="s">
        <v>284</v>
      </c>
      <c r="C100" s="1018">
        <v>70000</v>
      </c>
      <c r="D100" s="1018">
        <v>30000</v>
      </c>
      <c r="E100" s="1018">
        <v>30950</v>
      </c>
      <c r="F100" s="1018">
        <v>30950</v>
      </c>
      <c r="G100" s="1018">
        <v>30950</v>
      </c>
      <c r="H100" s="1089">
        <f t="shared" si="1"/>
        <v>1</v>
      </c>
      <c r="I100" s="678" t="s">
        <v>1165</v>
      </c>
    </row>
    <row r="101" spans="1:9" ht="12" customHeight="1">
      <c r="A101" s="289"/>
      <c r="B101" s="296" t="s">
        <v>120</v>
      </c>
      <c r="C101" s="1018"/>
      <c r="D101" s="1018"/>
      <c r="E101" s="1018"/>
      <c r="F101" s="1018"/>
      <c r="G101" s="1018"/>
      <c r="H101" s="1086"/>
      <c r="I101" s="425"/>
    </row>
    <row r="102" spans="1:9" ht="12" customHeight="1">
      <c r="A102" s="289"/>
      <c r="B102" s="296" t="s">
        <v>293</v>
      </c>
      <c r="C102" s="1018"/>
      <c r="D102" s="1018"/>
      <c r="E102" s="1018"/>
      <c r="F102" s="1018"/>
      <c r="G102" s="1018"/>
      <c r="H102" s="1086"/>
      <c r="I102" s="414"/>
    </row>
    <row r="103" spans="1:9" ht="12" customHeight="1" thickBot="1">
      <c r="A103" s="362"/>
      <c r="B103" s="460" t="s">
        <v>88</v>
      </c>
      <c r="C103" s="954"/>
      <c r="D103" s="954"/>
      <c r="E103" s="954"/>
      <c r="F103" s="954"/>
      <c r="G103" s="954"/>
      <c r="H103" s="1091"/>
      <c r="I103" s="434"/>
    </row>
    <row r="104" spans="1:9" ht="12" customHeight="1" thickBot="1">
      <c r="A104" s="371"/>
      <c r="B104" s="421" t="s">
        <v>136</v>
      </c>
      <c r="C104" s="972">
        <f>SUM(C99:C103)</f>
        <v>70000</v>
      </c>
      <c r="D104" s="972">
        <f>SUM(D99:D103)</f>
        <v>30000</v>
      </c>
      <c r="E104" s="972">
        <f>SUM(E99:E103)</f>
        <v>30950</v>
      </c>
      <c r="F104" s="972">
        <f>SUM(F99:F103)</f>
        <v>30950</v>
      </c>
      <c r="G104" s="972">
        <f>SUM(G99:G103)</f>
        <v>30950</v>
      </c>
      <c r="H104" s="1088">
        <f t="shared" si="1"/>
        <v>1</v>
      </c>
      <c r="I104" s="437"/>
    </row>
    <row r="105" spans="1:9" ht="12" customHeight="1">
      <c r="A105" s="351">
        <v>3116</v>
      </c>
      <c r="B105" s="444" t="s">
        <v>1019</v>
      </c>
      <c r="C105" s="1017"/>
      <c r="D105" s="1017"/>
      <c r="E105" s="1017"/>
      <c r="F105" s="1017"/>
      <c r="G105" s="1017"/>
      <c r="H105" s="406"/>
      <c r="I105" s="445"/>
    </row>
    <row r="106" spans="1:9" ht="12" customHeight="1">
      <c r="A106" s="289"/>
      <c r="B106" s="363" t="s">
        <v>115</v>
      </c>
      <c r="C106" s="1018"/>
      <c r="D106" s="1018"/>
      <c r="E106" s="1018"/>
      <c r="F106" s="1018"/>
      <c r="G106" s="1018"/>
      <c r="H106" s="406"/>
      <c r="I106" s="433"/>
    </row>
    <row r="107" spans="1:9" ht="12" customHeight="1">
      <c r="A107" s="289"/>
      <c r="B107" s="179" t="s">
        <v>298</v>
      </c>
      <c r="C107" s="1018"/>
      <c r="D107" s="1018"/>
      <c r="E107" s="1018"/>
      <c r="F107" s="1018"/>
      <c r="G107" s="1018"/>
      <c r="H107" s="406"/>
      <c r="I107" s="1105" t="s">
        <v>1172</v>
      </c>
    </row>
    <row r="108" spans="1:9" ht="12" customHeight="1">
      <c r="A108" s="289"/>
      <c r="B108" s="364" t="s">
        <v>284</v>
      </c>
      <c r="C108" s="1018">
        <v>6401</v>
      </c>
      <c r="D108" s="1018">
        <v>6401</v>
      </c>
      <c r="E108" s="1018">
        <v>11735</v>
      </c>
      <c r="F108" s="1018">
        <v>11735</v>
      </c>
      <c r="G108" s="1018">
        <v>11735</v>
      </c>
      <c r="H108" s="1089">
        <f t="shared" si="1"/>
        <v>1</v>
      </c>
      <c r="I108" s="1183" t="s">
        <v>1180</v>
      </c>
    </row>
    <row r="109" spans="1:9" ht="12" customHeight="1">
      <c r="A109" s="289"/>
      <c r="B109" s="296" t="s">
        <v>120</v>
      </c>
      <c r="C109" s="1018"/>
      <c r="D109" s="1018"/>
      <c r="E109" s="1018"/>
      <c r="F109" s="1018"/>
      <c r="G109" s="1018"/>
      <c r="H109" s="1086"/>
      <c r="I109" s="425"/>
    </row>
    <row r="110" spans="1:9" ht="12" customHeight="1">
      <c r="A110" s="289"/>
      <c r="B110" s="296" t="s">
        <v>293</v>
      </c>
      <c r="C110" s="1018"/>
      <c r="D110" s="1018"/>
      <c r="E110" s="1018"/>
      <c r="F110" s="1018"/>
      <c r="G110" s="1018"/>
      <c r="H110" s="1086"/>
      <c r="I110" s="433"/>
    </row>
    <row r="111" spans="1:9" ht="12" customHeight="1" thickBot="1">
      <c r="A111" s="362"/>
      <c r="B111" s="460" t="s">
        <v>88</v>
      </c>
      <c r="C111" s="954"/>
      <c r="D111" s="954"/>
      <c r="E111" s="954"/>
      <c r="F111" s="954"/>
      <c r="G111" s="954"/>
      <c r="H111" s="1091"/>
      <c r="I111" s="434"/>
    </row>
    <row r="112" spans="1:9" ht="12" customHeight="1" thickBot="1">
      <c r="A112" s="371"/>
      <c r="B112" s="421" t="s">
        <v>136</v>
      </c>
      <c r="C112" s="972">
        <f>SUM(C107:C111)</f>
        <v>6401</v>
      </c>
      <c r="D112" s="972">
        <f>SUM(D107:D111)</f>
        <v>6401</v>
      </c>
      <c r="E112" s="972">
        <f>SUM(E107:E111)</f>
        <v>11735</v>
      </c>
      <c r="F112" s="972">
        <f>SUM(F107:F111)</f>
        <v>11735</v>
      </c>
      <c r="G112" s="972">
        <f>SUM(G107:G111)</f>
        <v>11735</v>
      </c>
      <c r="H112" s="1088">
        <f t="shared" si="1"/>
        <v>1</v>
      </c>
      <c r="I112" s="437"/>
    </row>
    <row r="113" spans="1:9" ht="12" customHeight="1" thickBot="1">
      <c r="A113" s="446">
        <v>3120</v>
      </c>
      <c r="B113" s="441" t="s">
        <v>367</v>
      </c>
      <c r="C113" s="972">
        <f>SUM(C121+C129+C137+C145)</f>
        <v>70000</v>
      </c>
      <c r="D113" s="972">
        <f>SUM(D121+D129+D137+D145)</f>
        <v>55000</v>
      </c>
      <c r="E113" s="972">
        <f>SUM(E121+E129+E137+E145)</f>
        <v>60241</v>
      </c>
      <c r="F113" s="972">
        <f>SUM(F121+F129+F137+F145)</f>
        <v>60241</v>
      </c>
      <c r="G113" s="972">
        <f>SUM(G121+G129+G137+G145)</f>
        <v>60241</v>
      </c>
      <c r="H113" s="1088">
        <f t="shared" si="1"/>
        <v>1</v>
      </c>
      <c r="I113" s="437"/>
    </row>
    <row r="114" spans="1:9" ht="12" customHeight="1">
      <c r="A114" s="73">
        <v>3121</v>
      </c>
      <c r="B114" s="447" t="s">
        <v>185</v>
      </c>
      <c r="C114" s="1017"/>
      <c r="D114" s="1017"/>
      <c r="E114" s="1017"/>
      <c r="F114" s="1017"/>
      <c r="G114" s="1017"/>
      <c r="H114" s="406"/>
      <c r="I114" s="432"/>
    </row>
    <row r="115" spans="1:9" ht="12" customHeight="1">
      <c r="A115" s="73"/>
      <c r="B115" s="363" t="s">
        <v>115</v>
      </c>
      <c r="C115" s="1017"/>
      <c r="D115" s="1017"/>
      <c r="E115" s="1017"/>
      <c r="F115" s="1017"/>
      <c r="G115" s="1017"/>
      <c r="H115" s="406"/>
      <c r="I115" s="407"/>
    </row>
    <row r="116" spans="1:9" ht="12" customHeight="1">
      <c r="A116" s="73"/>
      <c r="B116" s="179" t="s">
        <v>298</v>
      </c>
      <c r="C116" s="1017"/>
      <c r="D116" s="1017"/>
      <c r="E116" s="1017"/>
      <c r="F116" s="1017"/>
      <c r="G116" s="1017"/>
      <c r="H116" s="406"/>
      <c r="I116" s="550" t="s">
        <v>1168</v>
      </c>
    </row>
    <row r="117" spans="1:9" ht="12" customHeight="1">
      <c r="A117" s="351"/>
      <c r="B117" s="364" t="s">
        <v>284</v>
      </c>
      <c r="C117" s="959">
        <v>20000</v>
      </c>
      <c r="D117" s="959">
        <v>10000</v>
      </c>
      <c r="E117" s="959">
        <v>10000</v>
      </c>
      <c r="F117" s="959">
        <v>10000</v>
      </c>
      <c r="G117" s="959">
        <v>10000</v>
      </c>
      <c r="H117" s="1089">
        <f t="shared" si="1"/>
        <v>1</v>
      </c>
      <c r="I117" s="550" t="s">
        <v>1169</v>
      </c>
    </row>
    <row r="118" spans="1:9" ht="12" customHeight="1">
      <c r="A118" s="351"/>
      <c r="B118" s="296" t="s">
        <v>293</v>
      </c>
      <c r="C118" s="959"/>
      <c r="D118" s="959"/>
      <c r="E118" s="959"/>
      <c r="F118" s="959"/>
      <c r="G118" s="959"/>
      <c r="H118" s="1086"/>
      <c r="I118" s="448"/>
    </row>
    <row r="119" spans="1:9" ht="12" customHeight="1">
      <c r="A119" s="73"/>
      <c r="B119" s="296" t="s">
        <v>293</v>
      </c>
      <c r="C119" s="1017"/>
      <c r="D119" s="1017"/>
      <c r="E119" s="1017"/>
      <c r="F119" s="1017"/>
      <c r="G119" s="1017"/>
      <c r="H119" s="1086"/>
      <c r="I119" s="414"/>
    </row>
    <row r="120" spans="1:9" ht="12" customHeight="1" thickBot="1">
      <c r="A120" s="73"/>
      <c r="B120" s="418" t="s">
        <v>88</v>
      </c>
      <c r="C120" s="1021"/>
      <c r="D120" s="1021"/>
      <c r="E120" s="1021"/>
      <c r="F120" s="1021"/>
      <c r="G120" s="1021"/>
      <c r="H120" s="1091"/>
      <c r="I120" s="402"/>
    </row>
    <row r="121" spans="1:9" ht="12.6" customHeight="1" thickBot="1">
      <c r="A121" s="371"/>
      <c r="B121" s="421" t="s">
        <v>136</v>
      </c>
      <c r="C121" s="972">
        <f>SUM(C117:C120)</f>
        <v>20000</v>
      </c>
      <c r="D121" s="972">
        <f>SUM(D117:D120)</f>
        <v>10000</v>
      </c>
      <c r="E121" s="972">
        <f>SUM(E117:E120)</f>
        <v>10000</v>
      </c>
      <c r="F121" s="972">
        <f>SUM(F117:F120)</f>
        <v>10000</v>
      </c>
      <c r="G121" s="972">
        <f>SUM(G117:G120)</f>
        <v>10000</v>
      </c>
      <c r="H121" s="1088">
        <f t="shared" si="1"/>
        <v>1</v>
      </c>
      <c r="I121" s="437"/>
    </row>
    <row r="122" spans="1:9" ht="12" customHeight="1">
      <c r="A122" s="351">
        <v>3122</v>
      </c>
      <c r="B122" s="444" t="s">
        <v>179</v>
      </c>
      <c r="C122" s="1017"/>
      <c r="D122" s="1017"/>
      <c r="E122" s="1017"/>
      <c r="F122" s="1017"/>
      <c r="G122" s="1017"/>
      <c r="H122" s="406"/>
      <c r="I122" s="449"/>
    </row>
    <row r="123" spans="1:9" ht="12" customHeight="1">
      <c r="A123" s="289"/>
      <c r="B123" s="363" t="s">
        <v>115</v>
      </c>
      <c r="C123" s="1018"/>
      <c r="D123" s="1018"/>
      <c r="E123" s="1018"/>
      <c r="F123" s="1018"/>
      <c r="G123" s="1018"/>
      <c r="H123" s="406"/>
      <c r="I123" s="433"/>
    </row>
    <row r="124" spans="1:9" ht="12" customHeight="1">
      <c r="A124" s="289"/>
      <c r="B124" s="179" t="s">
        <v>298</v>
      </c>
      <c r="C124" s="1018"/>
      <c r="D124" s="1018"/>
      <c r="E124" s="1018"/>
      <c r="F124" s="1018"/>
      <c r="G124" s="1018"/>
      <c r="H124" s="406"/>
      <c r="I124" s="433"/>
    </row>
    <row r="125" spans="1:9" ht="12" customHeight="1">
      <c r="A125" s="289"/>
      <c r="B125" s="364" t="s">
        <v>284</v>
      </c>
      <c r="C125" s="1018">
        <v>15000</v>
      </c>
      <c r="D125" s="1018">
        <v>15000</v>
      </c>
      <c r="E125" s="1018">
        <v>18050</v>
      </c>
      <c r="F125" s="1018">
        <v>18050</v>
      </c>
      <c r="G125" s="1018">
        <v>18050</v>
      </c>
      <c r="H125" s="1089">
        <f t="shared" si="1"/>
        <v>1</v>
      </c>
      <c r="I125" s="425"/>
    </row>
    <row r="126" spans="1:9" ht="12" customHeight="1">
      <c r="A126" s="289"/>
      <c r="B126" s="296" t="s">
        <v>120</v>
      </c>
      <c r="C126" s="1018"/>
      <c r="D126" s="1018"/>
      <c r="E126" s="1018"/>
      <c r="F126" s="1018"/>
      <c r="G126" s="1018"/>
      <c r="H126" s="1086"/>
      <c r="I126" s="433"/>
    </row>
    <row r="127" spans="1:9" ht="12" customHeight="1">
      <c r="A127" s="289"/>
      <c r="B127" s="296" t="s">
        <v>293</v>
      </c>
      <c r="C127" s="1018"/>
      <c r="D127" s="1018"/>
      <c r="E127" s="1018"/>
      <c r="F127" s="1018"/>
      <c r="G127" s="1018"/>
      <c r="H127" s="1086"/>
      <c r="I127" s="414"/>
    </row>
    <row r="128" spans="1:9" ht="12" customHeight="1" thickBot="1">
      <c r="A128" s="289"/>
      <c r="B128" s="418" t="s">
        <v>88</v>
      </c>
      <c r="C128" s="1022"/>
      <c r="D128" s="1022"/>
      <c r="E128" s="1022"/>
      <c r="F128" s="1022"/>
      <c r="G128" s="1022"/>
      <c r="H128" s="1091"/>
      <c r="I128" s="433"/>
    </row>
    <row r="129" spans="1:9" ht="12" customHeight="1" thickBot="1">
      <c r="A129" s="353"/>
      <c r="B129" s="421" t="s">
        <v>136</v>
      </c>
      <c r="C129" s="972">
        <f>SUM(C123:C128)</f>
        <v>15000</v>
      </c>
      <c r="D129" s="972">
        <f>SUM(D123:D128)</f>
        <v>15000</v>
      </c>
      <c r="E129" s="972">
        <f>SUM(E123:E128)</f>
        <v>18050</v>
      </c>
      <c r="F129" s="972">
        <f>SUM(F123:F128)</f>
        <v>18050</v>
      </c>
      <c r="G129" s="972">
        <f>SUM(G123:G128)</f>
        <v>18050</v>
      </c>
      <c r="H129" s="1088">
        <f t="shared" si="1"/>
        <v>1</v>
      </c>
      <c r="I129" s="437"/>
    </row>
    <row r="130" spans="1:9" ht="12" customHeight="1">
      <c r="A130" s="351">
        <v>3123</v>
      </c>
      <c r="B130" s="209" t="s">
        <v>122</v>
      </c>
      <c r="C130" s="1017"/>
      <c r="D130" s="1017"/>
      <c r="E130" s="1017"/>
      <c r="F130" s="1017"/>
      <c r="G130" s="1017"/>
      <c r="H130" s="406"/>
      <c r="I130" s="357"/>
    </row>
    <row r="131" spans="1:9" ht="12" customHeight="1">
      <c r="A131" s="289"/>
      <c r="B131" s="363" t="s">
        <v>115</v>
      </c>
      <c r="C131" s="1018"/>
      <c r="D131" s="1018"/>
      <c r="E131" s="1018"/>
      <c r="F131" s="1018"/>
      <c r="G131" s="1018"/>
      <c r="H131" s="406"/>
      <c r="I131" s="433"/>
    </row>
    <row r="132" spans="1:9" ht="12" customHeight="1">
      <c r="A132" s="289"/>
      <c r="B132" s="179" t="s">
        <v>298</v>
      </c>
      <c r="C132" s="1018"/>
      <c r="D132" s="1018"/>
      <c r="E132" s="1018"/>
      <c r="F132" s="1018"/>
      <c r="G132" s="1018"/>
      <c r="H132" s="1089"/>
      <c r="I132" s="549"/>
    </row>
    <row r="133" spans="1:9" ht="12" customHeight="1">
      <c r="A133" s="289"/>
      <c r="B133" s="364" t="s">
        <v>284</v>
      </c>
      <c r="C133" s="1018">
        <v>30000</v>
      </c>
      <c r="D133" s="1018">
        <v>20000</v>
      </c>
      <c r="E133" s="1018">
        <v>20911</v>
      </c>
      <c r="F133" s="1018">
        <v>20911</v>
      </c>
      <c r="G133" s="1018">
        <v>20911</v>
      </c>
      <c r="H133" s="1086">
        <f t="shared" si="1"/>
        <v>1</v>
      </c>
      <c r="I133" s="425"/>
    </row>
    <row r="134" spans="1:9" ht="12" customHeight="1">
      <c r="A134" s="289"/>
      <c r="B134" s="296" t="s">
        <v>120</v>
      </c>
      <c r="C134" s="1018"/>
      <c r="D134" s="1018"/>
      <c r="E134" s="1018"/>
      <c r="F134" s="1018"/>
      <c r="G134" s="1018"/>
      <c r="H134" s="1086"/>
      <c r="I134" s="433"/>
    </row>
    <row r="135" spans="1:9" ht="12" customHeight="1">
      <c r="A135" s="289"/>
      <c r="B135" s="296" t="s">
        <v>293</v>
      </c>
      <c r="C135" s="1018"/>
      <c r="D135" s="1018"/>
      <c r="E135" s="1018"/>
      <c r="F135" s="1018"/>
      <c r="G135" s="1018"/>
      <c r="H135" s="1086"/>
      <c r="I135" s="414"/>
    </row>
    <row r="136" spans="1:9" ht="12" customHeight="1" thickBot="1">
      <c r="A136" s="289"/>
      <c r="B136" s="418" t="s">
        <v>88</v>
      </c>
      <c r="C136" s="1022"/>
      <c r="D136" s="1022"/>
      <c r="E136" s="1022"/>
      <c r="F136" s="1022"/>
      <c r="G136" s="1022"/>
      <c r="H136" s="1091"/>
      <c r="I136" s="433"/>
    </row>
    <row r="137" spans="1:9" ht="12" customHeight="1" thickBot="1">
      <c r="A137" s="353"/>
      <c r="B137" s="421" t="s">
        <v>136</v>
      </c>
      <c r="C137" s="972">
        <f>SUM(C131:C136)</f>
        <v>30000</v>
      </c>
      <c r="D137" s="972">
        <f>SUM(D131:D136)</f>
        <v>20000</v>
      </c>
      <c r="E137" s="972">
        <f>SUM(E131:E136)</f>
        <v>20911</v>
      </c>
      <c r="F137" s="972">
        <f>SUM(F131:F136)</f>
        <v>20911</v>
      </c>
      <c r="G137" s="972">
        <f>SUM(G131:G136)</f>
        <v>20911</v>
      </c>
      <c r="H137" s="1088">
        <f t="shared" si="1"/>
        <v>1</v>
      </c>
      <c r="I137" s="437"/>
    </row>
    <row r="138" spans="1:9" ht="12" customHeight="1">
      <c r="A138" s="351">
        <v>3124</v>
      </c>
      <c r="B138" s="209" t="s">
        <v>125</v>
      </c>
      <c r="C138" s="1017"/>
      <c r="D138" s="1017"/>
      <c r="E138" s="1017"/>
      <c r="F138" s="1017"/>
      <c r="G138" s="1017"/>
      <c r="H138" s="406"/>
      <c r="I138" s="357" t="s">
        <v>1085</v>
      </c>
    </row>
    <row r="139" spans="1:9" ht="12" customHeight="1">
      <c r="A139" s="289"/>
      <c r="B139" s="363" t="s">
        <v>115</v>
      </c>
      <c r="C139" s="1018"/>
      <c r="D139" s="1018"/>
      <c r="E139" s="1018"/>
      <c r="F139" s="1018"/>
      <c r="G139" s="1018"/>
      <c r="H139" s="406"/>
      <c r="I139" s="433"/>
    </row>
    <row r="140" spans="1:9" ht="12" customHeight="1">
      <c r="A140" s="289"/>
      <c r="B140" s="179" t="s">
        <v>298</v>
      </c>
      <c r="C140" s="1018"/>
      <c r="D140" s="1018"/>
      <c r="E140" s="1018"/>
      <c r="F140" s="1018"/>
      <c r="G140" s="1018"/>
      <c r="H140" s="1089"/>
      <c r="I140" s="433"/>
    </row>
    <row r="141" spans="1:9" ht="12" customHeight="1">
      <c r="A141" s="289"/>
      <c r="B141" s="364" t="s">
        <v>284</v>
      </c>
      <c r="C141" s="1018">
        <v>5000</v>
      </c>
      <c r="D141" s="1018">
        <v>10000</v>
      </c>
      <c r="E141" s="1018">
        <v>11280</v>
      </c>
      <c r="F141" s="1018">
        <v>11280</v>
      </c>
      <c r="G141" s="1018">
        <v>11280</v>
      </c>
      <c r="H141" s="1086">
        <f aca="true" t="shared" si="2" ref="H141:H200">SUM(G141/F141)</f>
        <v>1</v>
      </c>
      <c r="I141" s="425"/>
    </row>
    <row r="142" spans="1:9" ht="12" customHeight="1">
      <c r="A142" s="289"/>
      <c r="B142" s="296" t="s">
        <v>293</v>
      </c>
      <c r="C142" s="1018"/>
      <c r="D142" s="1018"/>
      <c r="E142" s="1018"/>
      <c r="F142" s="1018"/>
      <c r="G142" s="1018"/>
      <c r="H142" s="1086"/>
      <c r="I142" s="433"/>
    </row>
    <row r="143" spans="1:9" ht="12" customHeight="1">
      <c r="A143" s="289"/>
      <c r="B143" s="296" t="s">
        <v>293</v>
      </c>
      <c r="C143" s="1018"/>
      <c r="D143" s="1018"/>
      <c r="E143" s="1018"/>
      <c r="F143" s="1018"/>
      <c r="G143" s="1018"/>
      <c r="H143" s="1086"/>
      <c r="I143" s="414"/>
    </row>
    <row r="144" spans="1:9" ht="12" customHeight="1" thickBot="1">
      <c r="A144" s="289"/>
      <c r="B144" s="418" t="s">
        <v>88</v>
      </c>
      <c r="C144" s="1022"/>
      <c r="D144" s="1022"/>
      <c r="E144" s="1022"/>
      <c r="F144" s="1022"/>
      <c r="G144" s="1022"/>
      <c r="H144" s="1091"/>
      <c r="I144" s="433"/>
    </row>
    <row r="145" spans="1:9" ht="12" customHeight="1" thickBot="1">
      <c r="A145" s="353"/>
      <c r="B145" s="421" t="s">
        <v>136</v>
      </c>
      <c r="C145" s="972">
        <f>SUM(C139:C144)</f>
        <v>5000</v>
      </c>
      <c r="D145" s="972">
        <f>SUM(D139:D144)</f>
        <v>10000</v>
      </c>
      <c r="E145" s="972">
        <f>SUM(E139:E144)</f>
        <v>11280</v>
      </c>
      <c r="F145" s="972">
        <f>SUM(F139:F144)</f>
        <v>11280</v>
      </c>
      <c r="G145" s="972">
        <f>SUM(G139:G144)</f>
        <v>11280</v>
      </c>
      <c r="H145" s="1088">
        <f t="shared" si="2"/>
        <v>1</v>
      </c>
      <c r="I145" s="437"/>
    </row>
    <row r="146" spans="1:9" ht="12" customHeight="1" thickBot="1">
      <c r="A146" s="446">
        <v>3140</v>
      </c>
      <c r="B146" s="450" t="s">
        <v>126</v>
      </c>
      <c r="C146" s="972">
        <f>SUM(C154+C163+C171+C179+C187+C196+C205)</f>
        <v>61170</v>
      </c>
      <c r="D146" s="972">
        <f>SUM(D154+D163+D171+D179+D187+D196+D205)</f>
        <v>61170</v>
      </c>
      <c r="E146" s="972">
        <f>SUM(E154+E163+E171+E179+E187+E196+E205)</f>
        <v>71219</v>
      </c>
      <c r="F146" s="972">
        <f>SUM(F154+F163+F171+F179+F187+F196+F205)</f>
        <v>71219</v>
      </c>
      <c r="G146" s="972">
        <f>SUM(G154+G163+G171+G179+G187+G196+G205)</f>
        <v>71219</v>
      </c>
      <c r="H146" s="1088">
        <f t="shared" si="2"/>
        <v>1</v>
      </c>
      <c r="I146" s="437"/>
    </row>
    <row r="147" spans="1:9" ht="12" customHeight="1">
      <c r="A147" s="351">
        <v>3141</v>
      </c>
      <c r="B147" s="209" t="s">
        <v>135</v>
      </c>
      <c r="C147" s="1017"/>
      <c r="D147" s="1017"/>
      <c r="E147" s="1017"/>
      <c r="F147" s="1017"/>
      <c r="G147" s="1017"/>
      <c r="H147" s="406"/>
      <c r="I147" s="433"/>
    </row>
    <row r="148" spans="1:9" ht="12" customHeight="1">
      <c r="A148" s="289"/>
      <c r="B148" s="363" t="s">
        <v>115</v>
      </c>
      <c r="C148" s="1018"/>
      <c r="D148" s="1018"/>
      <c r="E148" s="1018"/>
      <c r="F148" s="1018"/>
      <c r="G148" s="1018"/>
      <c r="H148" s="406"/>
      <c r="I148" s="550"/>
    </row>
    <row r="149" spans="1:9" ht="12" customHeight="1">
      <c r="A149" s="289"/>
      <c r="B149" s="179" t="s">
        <v>298</v>
      </c>
      <c r="C149" s="1018"/>
      <c r="D149" s="1018"/>
      <c r="E149" s="1018"/>
      <c r="F149" s="1018"/>
      <c r="G149" s="1018"/>
      <c r="H149" s="406"/>
      <c r="I149" s="549"/>
    </row>
    <row r="150" spans="1:9" ht="12" customHeight="1">
      <c r="A150" s="289"/>
      <c r="B150" s="364" t="s">
        <v>284</v>
      </c>
      <c r="C150" s="1018">
        <v>6500</v>
      </c>
      <c r="D150" s="1018">
        <v>6500</v>
      </c>
      <c r="E150" s="1018">
        <v>6500</v>
      </c>
      <c r="F150" s="1018">
        <v>6500</v>
      </c>
      <c r="G150" s="1018">
        <v>6500</v>
      </c>
      <c r="H150" s="1089">
        <f t="shared" si="2"/>
        <v>1</v>
      </c>
      <c r="I150" s="549"/>
    </row>
    <row r="151" spans="1:9" ht="12" customHeight="1">
      <c r="A151" s="289"/>
      <c r="B151" s="296" t="s">
        <v>120</v>
      </c>
      <c r="C151" s="1018">
        <v>2000</v>
      </c>
      <c r="D151" s="1018">
        <v>2000</v>
      </c>
      <c r="E151" s="1018">
        <v>2000</v>
      </c>
      <c r="F151" s="1018">
        <v>2000</v>
      </c>
      <c r="G151" s="1018">
        <v>2000</v>
      </c>
      <c r="H151" s="1086">
        <f t="shared" si="2"/>
        <v>1</v>
      </c>
      <c r="I151" s="549"/>
    </row>
    <row r="152" spans="1:9" ht="12" customHeight="1">
      <c r="A152" s="289"/>
      <c r="B152" s="296" t="s">
        <v>293</v>
      </c>
      <c r="C152" s="959"/>
      <c r="D152" s="959"/>
      <c r="E152" s="959"/>
      <c r="F152" s="959"/>
      <c r="G152" s="959"/>
      <c r="H152" s="1086"/>
      <c r="I152" s="549"/>
    </row>
    <row r="153" spans="1:9" ht="12" customHeight="1" thickBot="1">
      <c r="A153" s="289"/>
      <c r="B153" s="418" t="s">
        <v>88</v>
      </c>
      <c r="C153" s="1020"/>
      <c r="D153" s="1020"/>
      <c r="E153" s="1020"/>
      <c r="F153" s="1020"/>
      <c r="G153" s="1020"/>
      <c r="H153" s="1091"/>
      <c r="I153" s="551"/>
    </row>
    <row r="154" spans="1:9" ht="12" customHeight="1" thickBot="1">
      <c r="A154" s="353"/>
      <c r="B154" s="421" t="s">
        <v>136</v>
      </c>
      <c r="C154" s="972">
        <f>SUM(C148:C153)</f>
        <v>8500</v>
      </c>
      <c r="D154" s="972">
        <f>SUM(D148:D153)</f>
        <v>8500</v>
      </c>
      <c r="E154" s="972">
        <f>SUM(E148:E153)</f>
        <v>8500</v>
      </c>
      <c r="F154" s="972">
        <f>SUM(F148:F153)</f>
        <v>8500</v>
      </c>
      <c r="G154" s="972">
        <f>SUM(G148:G153)</f>
        <v>8500</v>
      </c>
      <c r="H154" s="1088">
        <f t="shared" si="2"/>
        <v>1</v>
      </c>
      <c r="I154" s="437"/>
    </row>
    <row r="155" spans="1:9" ht="12" customHeight="1">
      <c r="A155" s="351">
        <v>3142</v>
      </c>
      <c r="B155" s="370" t="s">
        <v>28</v>
      </c>
      <c r="C155" s="1017"/>
      <c r="D155" s="1017"/>
      <c r="E155" s="1017"/>
      <c r="F155" s="1017"/>
      <c r="G155" s="1017"/>
      <c r="H155" s="406"/>
      <c r="I155" s="432"/>
    </row>
    <row r="156" spans="1:9" ht="12" customHeight="1">
      <c r="A156" s="351"/>
      <c r="B156" s="363" t="s">
        <v>115</v>
      </c>
      <c r="C156" s="1018">
        <v>4600</v>
      </c>
      <c r="D156" s="1018">
        <v>4600</v>
      </c>
      <c r="E156" s="1018">
        <v>3228</v>
      </c>
      <c r="F156" s="1018">
        <v>3228</v>
      </c>
      <c r="G156" s="1018">
        <v>3228</v>
      </c>
      <c r="H156" s="1089">
        <f t="shared" si="2"/>
        <v>1</v>
      </c>
      <c r="I156" s="550"/>
    </row>
    <row r="157" spans="1:9" ht="12" customHeight="1">
      <c r="A157" s="351"/>
      <c r="B157" s="179" t="s">
        <v>298</v>
      </c>
      <c r="C157" s="1018">
        <v>3000</v>
      </c>
      <c r="D157" s="1018">
        <v>3000</v>
      </c>
      <c r="E157" s="1018">
        <v>3916</v>
      </c>
      <c r="F157" s="1018">
        <v>3916</v>
      </c>
      <c r="G157" s="1018">
        <v>3916</v>
      </c>
      <c r="H157" s="1086">
        <f t="shared" si="2"/>
        <v>1</v>
      </c>
      <c r="I157" s="448"/>
    </row>
    <row r="158" spans="1:9" ht="12" customHeight="1">
      <c r="A158" s="351"/>
      <c r="B158" s="364" t="s">
        <v>284</v>
      </c>
      <c r="C158" s="959">
        <v>3400</v>
      </c>
      <c r="D158" s="959">
        <v>3400</v>
      </c>
      <c r="E158" s="959">
        <v>3849</v>
      </c>
      <c r="F158" s="959">
        <v>3849</v>
      </c>
      <c r="G158" s="959">
        <v>3849</v>
      </c>
      <c r="H158" s="1086">
        <f t="shared" si="2"/>
        <v>1</v>
      </c>
      <c r="I158" s="549"/>
    </row>
    <row r="159" spans="1:9" ht="12" customHeight="1">
      <c r="A159" s="351"/>
      <c r="B159" s="296" t="s">
        <v>120</v>
      </c>
      <c r="C159" s="959"/>
      <c r="D159" s="959"/>
      <c r="E159" s="959"/>
      <c r="F159" s="959"/>
      <c r="G159" s="959"/>
      <c r="H159" s="1086"/>
      <c r="I159" s="433"/>
    </row>
    <row r="160" spans="1:9" ht="12" customHeight="1">
      <c r="A160" s="351"/>
      <c r="B160" s="296" t="s">
        <v>293</v>
      </c>
      <c r="C160" s="959">
        <v>500</v>
      </c>
      <c r="D160" s="959">
        <v>500</v>
      </c>
      <c r="E160" s="959">
        <v>500</v>
      </c>
      <c r="F160" s="959">
        <v>500</v>
      </c>
      <c r="G160" s="959">
        <v>500</v>
      </c>
      <c r="H160" s="1086">
        <f t="shared" si="2"/>
        <v>1</v>
      </c>
      <c r="I160" s="448"/>
    </row>
    <row r="161" spans="1:9" ht="12" customHeight="1">
      <c r="A161" s="351"/>
      <c r="B161" s="296" t="s">
        <v>253</v>
      </c>
      <c r="C161" s="1025"/>
      <c r="D161" s="1025"/>
      <c r="E161" s="1025"/>
      <c r="F161" s="1025"/>
      <c r="G161" s="1025"/>
      <c r="H161" s="1086"/>
      <c r="I161" s="448"/>
    </row>
    <row r="162" spans="1:9" ht="12.75" thickBot="1">
      <c r="A162" s="351"/>
      <c r="B162" s="418" t="s">
        <v>272</v>
      </c>
      <c r="C162" s="1024"/>
      <c r="D162" s="1024"/>
      <c r="E162" s="1024"/>
      <c r="F162" s="1024"/>
      <c r="G162" s="1024"/>
      <c r="H162" s="1091"/>
      <c r="I162" s="451"/>
    </row>
    <row r="163" spans="1:9" ht="12" customHeight="1" thickBot="1">
      <c r="A163" s="353"/>
      <c r="B163" s="421" t="s">
        <v>136</v>
      </c>
      <c r="C163" s="972">
        <f>SUM(C156:C162)</f>
        <v>11500</v>
      </c>
      <c r="D163" s="972">
        <f>SUM(D156:D162)</f>
        <v>11500</v>
      </c>
      <c r="E163" s="972">
        <f>SUM(E156:E162)</f>
        <v>11493</v>
      </c>
      <c r="F163" s="972">
        <f>SUM(F156:F162)</f>
        <v>11493</v>
      </c>
      <c r="G163" s="972">
        <f>SUM(G156:G162)</f>
        <v>11493</v>
      </c>
      <c r="H163" s="1088">
        <f t="shared" si="2"/>
        <v>1</v>
      </c>
      <c r="I163" s="437"/>
    </row>
    <row r="164" spans="1:9" ht="12" customHeight="1">
      <c r="A164" s="368">
        <v>3143</v>
      </c>
      <c r="B164" s="209" t="s">
        <v>36</v>
      </c>
      <c r="C164" s="1017"/>
      <c r="D164" s="1017"/>
      <c r="E164" s="1017"/>
      <c r="F164" s="1017"/>
      <c r="G164" s="1017"/>
      <c r="H164" s="406"/>
      <c r="I164" s="403" t="s">
        <v>1086</v>
      </c>
    </row>
    <row r="165" spans="1:9" ht="12" customHeight="1">
      <c r="A165" s="289"/>
      <c r="B165" s="363" t="s">
        <v>115</v>
      </c>
      <c r="C165" s="1018"/>
      <c r="D165" s="1018"/>
      <c r="E165" s="1018"/>
      <c r="F165" s="1018"/>
      <c r="G165" s="1018"/>
      <c r="H165" s="1089"/>
      <c r="I165" s="1105" t="s">
        <v>1087</v>
      </c>
    </row>
    <row r="166" spans="1:9" ht="12" customHeight="1">
      <c r="A166" s="289"/>
      <c r="B166" s="179" t="s">
        <v>298</v>
      </c>
      <c r="C166" s="1018"/>
      <c r="D166" s="1018"/>
      <c r="E166" s="1018"/>
      <c r="F166" s="1018"/>
      <c r="G166" s="1018"/>
      <c r="H166" s="1086"/>
      <c r="I166" s="550"/>
    </row>
    <row r="167" spans="1:9" ht="12" customHeight="1">
      <c r="A167" s="289"/>
      <c r="B167" s="364" t="s">
        <v>284</v>
      </c>
      <c r="C167" s="959"/>
      <c r="D167" s="959"/>
      <c r="E167" s="959"/>
      <c r="F167" s="959"/>
      <c r="G167" s="959"/>
      <c r="H167" s="1086"/>
      <c r="I167" s="550"/>
    </row>
    <row r="168" spans="1:9" ht="12" customHeight="1">
      <c r="A168" s="289"/>
      <c r="B168" s="296" t="s">
        <v>120</v>
      </c>
      <c r="C168" s="959"/>
      <c r="D168" s="959"/>
      <c r="E168" s="959"/>
      <c r="F168" s="959"/>
      <c r="G168" s="959"/>
      <c r="H168" s="1086"/>
      <c r="I168" s="549"/>
    </row>
    <row r="169" spans="1:9" ht="12" customHeight="1">
      <c r="A169" s="289"/>
      <c r="B169" s="296" t="s">
        <v>293</v>
      </c>
      <c r="C169" s="1018">
        <v>10500</v>
      </c>
      <c r="D169" s="1018">
        <v>10500</v>
      </c>
      <c r="E169" s="1018">
        <v>10700</v>
      </c>
      <c r="F169" s="1018">
        <v>10700</v>
      </c>
      <c r="G169" s="1018">
        <v>10700</v>
      </c>
      <c r="H169" s="1086">
        <f t="shared" si="2"/>
        <v>1</v>
      </c>
      <c r="I169" s="433"/>
    </row>
    <row r="170" spans="1:9" ht="12" customHeight="1" thickBot="1">
      <c r="A170" s="289"/>
      <c r="B170" s="418" t="s">
        <v>272</v>
      </c>
      <c r="C170" s="1020">
        <v>1500</v>
      </c>
      <c r="D170" s="1020">
        <v>1500</v>
      </c>
      <c r="E170" s="1020">
        <v>1500</v>
      </c>
      <c r="F170" s="1020">
        <v>1500</v>
      </c>
      <c r="G170" s="1020">
        <v>1500</v>
      </c>
      <c r="H170" s="1091">
        <f t="shared" si="2"/>
        <v>1</v>
      </c>
      <c r="I170" s="407"/>
    </row>
    <row r="171" spans="1:9" ht="12" customHeight="1" thickBot="1">
      <c r="A171" s="353"/>
      <c r="B171" s="421" t="s">
        <v>136</v>
      </c>
      <c r="C171" s="972">
        <f>SUM(C165:C170)</f>
        <v>12000</v>
      </c>
      <c r="D171" s="972">
        <f>SUM(D165:D170)</f>
        <v>12000</v>
      </c>
      <c r="E171" s="972">
        <f>SUM(E165:E170)</f>
        <v>12200</v>
      </c>
      <c r="F171" s="972">
        <f>SUM(F165:F170)</f>
        <v>12200</v>
      </c>
      <c r="G171" s="972">
        <f>SUM(G165:G170)</f>
        <v>12200</v>
      </c>
      <c r="H171" s="1088">
        <f t="shared" si="2"/>
        <v>1</v>
      </c>
      <c r="I171" s="437"/>
    </row>
    <row r="172" spans="1:9" ht="12" customHeight="1">
      <c r="A172" s="351">
        <v>3144</v>
      </c>
      <c r="B172" s="209" t="s">
        <v>387</v>
      </c>
      <c r="C172" s="1017"/>
      <c r="D172" s="1017"/>
      <c r="E172" s="1017"/>
      <c r="F172" s="1017"/>
      <c r="G172" s="1017"/>
      <c r="H172" s="406"/>
      <c r="I172" s="433"/>
    </row>
    <row r="173" spans="1:9" ht="12" customHeight="1">
      <c r="A173" s="289"/>
      <c r="B173" s="363" t="s">
        <v>115</v>
      </c>
      <c r="C173" s="1018"/>
      <c r="D173" s="1018"/>
      <c r="E173" s="1018"/>
      <c r="F173" s="1018"/>
      <c r="G173" s="1018"/>
      <c r="H173" s="406"/>
      <c r="I173" s="433"/>
    </row>
    <row r="174" spans="1:9" ht="12" customHeight="1">
      <c r="A174" s="289"/>
      <c r="B174" s="179" t="s">
        <v>298</v>
      </c>
      <c r="C174" s="1018"/>
      <c r="D174" s="1018"/>
      <c r="E174" s="1018"/>
      <c r="F174" s="1018"/>
      <c r="G174" s="1018"/>
      <c r="H174" s="1089"/>
      <c r="I174" s="448"/>
    </row>
    <row r="175" spans="1:9" ht="12" customHeight="1">
      <c r="A175" s="289"/>
      <c r="B175" s="364" t="s">
        <v>284</v>
      </c>
      <c r="C175" s="1018">
        <v>10</v>
      </c>
      <c r="D175" s="1018">
        <v>10</v>
      </c>
      <c r="E175" s="1018">
        <v>10</v>
      </c>
      <c r="F175" s="1018">
        <v>10</v>
      </c>
      <c r="G175" s="1018">
        <v>10</v>
      </c>
      <c r="H175" s="1086">
        <f t="shared" si="2"/>
        <v>1</v>
      </c>
      <c r="I175" s="550"/>
    </row>
    <row r="176" spans="1:9" ht="12" customHeight="1">
      <c r="A176" s="289"/>
      <c r="B176" s="296" t="s">
        <v>120</v>
      </c>
      <c r="C176" s="1018">
        <v>1490</v>
      </c>
      <c r="D176" s="1018">
        <v>1490</v>
      </c>
      <c r="E176" s="1018">
        <v>1490</v>
      </c>
      <c r="F176" s="1018">
        <v>1490</v>
      </c>
      <c r="G176" s="1018">
        <v>1490</v>
      </c>
      <c r="H176" s="1086">
        <f t="shared" si="2"/>
        <v>1</v>
      </c>
      <c r="I176" s="549"/>
    </row>
    <row r="177" spans="1:9" ht="12" customHeight="1">
      <c r="A177" s="289"/>
      <c r="B177" s="296" t="s">
        <v>293</v>
      </c>
      <c r="C177" s="1018"/>
      <c r="D177" s="1018"/>
      <c r="E177" s="1018"/>
      <c r="F177" s="1018"/>
      <c r="G177" s="1018"/>
      <c r="H177" s="1086"/>
      <c r="I177" s="433"/>
    </row>
    <row r="178" spans="1:9" ht="12" customHeight="1" thickBot="1">
      <c r="A178" s="289"/>
      <c r="B178" s="418" t="s">
        <v>88</v>
      </c>
      <c r="C178" s="1020"/>
      <c r="D178" s="1020"/>
      <c r="E178" s="1020"/>
      <c r="F178" s="1020"/>
      <c r="G178" s="1020"/>
      <c r="H178" s="1091"/>
      <c r="I178" s="451"/>
    </row>
    <row r="179" spans="1:9" ht="12" customHeight="1" thickBot="1">
      <c r="A179" s="353"/>
      <c r="B179" s="421" t="s">
        <v>136</v>
      </c>
      <c r="C179" s="972">
        <f>SUM(C173:C178)</f>
        <v>1500</v>
      </c>
      <c r="D179" s="972">
        <f>SUM(D173:D178)</f>
        <v>1500</v>
      </c>
      <c r="E179" s="972">
        <f>SUM(E173:E178)</f>
        <v>1500</v>
      </c>
      <c r="F179" s="972">
        <f>SUM(F173:F178)</f>
        <v>1500</v>
      </c>
      <c r="G179" s="972">
        <f>SUM(G173:G178)</f>
        <v>1500</v>
      </c>
      <c r="H179" s="1088">
        <f t="shared" si="2"/>
        <v>1</v>
      </c>
      <c r="I179" s="437"/>
    </row>
    <row r="180" spans="1:9" ht="12" customHeight="1">
      <c r="A180" s="431">
        <v>3145</v>
      </c>
      <c r="B180" s="409" t="s">
        <v>388</v>
      </c>
      <c r="C180" s="1009"/>
      <c r="D180" s="1009"/>
      <c r="E180" s="1009"/>
      <c r="F180" s="1009"/>
      <c r="G180" s="1009"/>
      <c r="H180" s="406"/>
      <c r="I180" s="453"/>
    </row>
    <row r="181" spans="1:9" ht="12" customHeight="1">
      <c r="A181" s="427"/>
      <c r="B181" s="413" t="s">
        <v>115</v>
      </c>
      <c r="C181" s="1008">
        <v>560</v>
      </c>
      <c r="D181" s="1008">
        <v>560</v>
      </c>
      <c r="E181" s="1008">
        <v>859</v>
      </c>
      <c r="F181" s="1008">
        <v>859</v>
      </c>
      <c r="G181" s="1008">
        <v>859</v>
      </c>
      <c r="H181" s="1089">
        <f t="shared" si="2"/>
        <v>1</v>
      </c>
      <c r="I181" s="453"/>
    </row>
    <row r="182" spans="1:9" ht="12" customHeight="1">
      <c r="A182" s="427"/>
      <c r="B182" s="415" t="s">
        <v>298</v>
      </c>
      <c r="C182" s="1008">
        <v>350</v>
      </c>
      <c r="D182" s="1008">
        <v>350</v>
      </c>
      <c r="E182" s="1008">
        <v>557</v>
      </c>
      <c r="F182" s="1008">
        <v>557</v>
      </c>
      <c r="G182" s="1008">
        <v>557</v>
      </c>
      <c r="H182" s="1086">
        <f t="shared" si="2"/>
        <v>1</v>
      </c>
      <c r="I182" s="1180" t="s">
        <v>1174</v>
      </c>
    </row>
    <row r="183" spans="1:9" ht="12" customHeight="1">
      <c r="A183" s="427"/>
      <c r="B183" s="416" t="s">
        <v>284</v>
      </c>
      <c r="C183" s="1008">
        <v>7090</v>
      </c>
      <c r="D183" s="1008">
        <v>7090</v>
      </c>
      <c r="E183" s="1008">
        <v>7574</v>
      </c>
      <c r="F183" s="1008">
        <v>7574</v>
      </c>
      <c r="G183" s="1008">
        <v>7574</v>
      </c>
      <c r="H183" s="1086">
        <f t="shared" si="2"/>
        <v>1</v>
      </c>
      <c r="I183" s="453"/>
    </row>
    <row r="184" spans="1:9" ht="12" customHeight="1">
      <c r="A184" s="427"/>
      <c r="B184" s="417" t="s">
        <v>120</v>
      </c>
      <c r="C184" s="1008"/>
      <c r="D184" s="1008"/>
      <c r="E184" s="1008"/>
      <c r="F184" s="1008"/>
      <c r="G184" s="1008"/>
      <c r="H184" s="1086"/>
      <c r="I184" s="454"/>
    </row>
    <row r="185" spans="1:9" ht="12" customHeight="1">
      <c r="A185" s="427"/>
      <c r="B185" s="417" t="s">
        <v>293</v>
      </c>
      <c r="C185" s="1008"/>
      <c r="D185" s="1008"/>
      <c r="E185" s="1008"/>
      <c r="F185" s="1008"/>
      <c r="G185" s="1008"/>
      <c r="H185" s="1086"/>
      <c r="I185" s="453"/>
    </row>
    <row r="186" spans="1:9" ht="12" customHeight="1" thickBot="1">
      <c r="A186" s="427"/>
      <c r="B186" s="418" t="s">
        <v>88</v>
      </c>
      <c r="C186" s="1023"/>
      <c r="D186" s="1023"/>
      <c r="E186" s="1023"/>
      <c r="F186" s="1023"/>
      <c r="G186" s="1023"/>
      <c r="H186" s="1091"/>
      <c r="I186" s="455"/>
    </row>
    <row r="187" spans="1:9" ht="12" customHeight="1" thickBot="1">
      <c r="A187" s="429"/>
      <c r="B187" s="421" t="s">
        <v>136</v>
      </c>
      <c r="C187" s="973">
        <f>SUM(C181:C186)</f>
        <v>8000</v>
      </c>
      <c r="D187" s="973">
        <f>SUM(D181:D186)</f>
        <v>8000</v>
      </c>
      <c r="E187" s="973">
        <f>SUM(E181:E186)</f>
        <v>8990</v>
      </c>
      <c r="F187" s="973">
        <f>SUM(F181:F186)</f>
        <v>8990</v>
      </c>
      <c r="G187" s="973">
        <f>SUM(G181:G186)</f>
        <v>8990</v>
      </c>
      <c r="H187" s="1088">
        <f t="shared" si="2"/>
        <v>1</v>
      </c>
      <c r="I187" s="456"/>
    </row>
    <row r="188" spans="1:9" ht="12" customHeight="1">
      <c r="A188" s="431">
        <v>3146</v>
      </c>
      <c r="B188" s="409" t="s">
        <v>484</v>
      </c>
      <c r="C188" s="1009"/>
      <c r="D188" s="1009"/>
      <c r="E188" s="1009"/>
      <c r="F188" s="1009"/>
      <c r="G188" s="1009"/>
      <c r="H188" s="406"/>
      <c r="I188" s="547" t="s">
        <v>1088</v>
      </c>
    </row>
    <row r="189" spans="1:9" ht="12" customHeight="1">
      <c r="A189" s="427"/>
      <c r="B189" s="413" t="s">
        <v>115</v>
      </c>
      <c r="C189" s="1008">
        <v>2400</v>
      </c>
      <c r="D189" s="1008">
        <v>2400</v>
      </c>
      <c r="E189" s="1008">
        <v>2100</v>
      </c>
      <c r="F189" s="1008">
        <v>2100</v>
      </c>
      <c r="G189" s="1008">
        <v>2100</v>
      </c>
      <c r="H189" s="1089">
        <f t="shared" si="2"/>
        <v>1</v>
      </c>
      <c r="I189" s="547" t="s">
        <v>1089</v>
      </c>
    </row>
    <row r="190" spans="1:9" ht="12" customHeight="1">
      <c r="A190" s="427"/>
      <c r="B190" s="415" t="s">
        <v>298</v>
      </c>
      <c r="C190" s="1008">
        <v>700</v>
      </c>
      <c r="D190" s="1008">
        <v>700</v>
      </c>
      <c r="E190" s="1008">
        <v>500</v>
      </c>
      <c r="F190" s="1008">
        <v>500</v>
      </c>
      <c r="G190" s="1008">
        <v>500</v>
      </c>
      <c r="H190" s="1086">
        <f t="shared" si="2"/>
        <v>1</v>
      </c>
      <c r="I190" s="453"/>
    </row>
    <row r="191" spans="1:9" ht="12" customHeight="1">
      <c r="A191" s="427"/>
      <c r="B191" s="416" t="s">
        <v>284</v>
      </c>
      <c r="C191" s="1008">
        <v>1400</v>
      </c>
      <c r="D191" s="1008">
        <v>1400</v>
      </c>
      <c r="E191" s="1008">
        <v>900</v>
      </c>
      <c r="F191" s="1008">
        <v>900</v>
      </c>
      <c r="G191" s="1008">
        <v>900</v>
      </c>
      <c r="H191" s="1086">
        <f t="shared" si="2"/>
        <v>1</v>
      </c>
      <c r="I191" s="550"/>
    </row>
    <row r="192" spans="1:9" ht="12" customHeight="1">
      <c r="A192" s="427"/>
      <c r="B192" s="417" t="s">
        <v>120</v>
      </c>
      <c r="C192" s="1008"/>
      <c r="D192" s="1008"/>
      <c r="E192" s="1008"/>
      <c r="F192" s="1008"/>
      <c r="G192" s="1008"/>
      <c r="H192" s="1086"/>
      <c r="I192" s="453"/>
    </row>
    <row r="193" spans="1:9" ht="12" customHeight="1">
      <c r="A193" s="427"/>
      <c r="B193" s="417" t="s">
        <v>293</v>
      </c>
      <c r="C193" s="1008">
        <v>3500</v>
      </c>
      <c r="D193" s="1008">
        <v>3500</v>
      </c>
      <c r="E193" s="1008">
        <v>6196</v>
      </c>
      <c r="F193" s="1008">
        <v>6196</v>
      </c>
      <c r="G193" s="1008">
        <v>6196</v>
      </c>
      <c r="H193" s="1086">
        <f t="shared" si="2"/>
        <v>1</v>
      </c>
      <c r="I193" s="453"/>
    </row>
    <row r="194" spans="1:9" ht="12" customHeight="1">
      <c r="A194" s="427"/>
      <c r="B194" s="418" t="s">
        <v>253</v>
      </c>
      <c r="C194" s="1008"/>
      <c r="D194" s="1008"/>
      <c r="E194" s="1008"/>
      <c r="F194" s="1008"/>
      <c r="G194" s="1008"/>
      <c r="H194" s="1086"/>
      <c r="I194" s="463"/>
    </row>
    <row r="195" spans="1:9" ht="12" customHeight="1" thickBot="1">
      <c r="A195" s="427"/>
      <c r="B195" s="418" t="s">
        <v>272</v>
      </c>
      <c r="C195" s="1023">
        <v>2500</v>
      </c>
      <c r="D195" s="1023">
        <v>2500</v>
      </c>
      <c r="E195" s="1023">
        <v>2500</v>
      </c>
      <c r="F195" s="1023">
        <v>2500</v>
      </c>
      <c r="G195" s="1023">
        <v>2500</v>
      </c>
      <c r="H195" s="1091">
        <f t="shared" si="2"/>
        <v>1</v>
      </c>
      <c r="I195" s="455"/>
    </row>
    <row r="196" spans="1:9" ht="12" customHeight="1" thickBot="1">
      <c r="A196" s="429"/>
      <c r="B196" s="421" t="s">
        <v>136</v>
      </c>
      <c r="C196" s="973">
        <f>SUM(C189:C195)</f>
        <v>10500</v>
      </c>
      <c r="D196" s="973">
        <f>SUM(D189:D195)</f>
        <v>10500</v>
      </c>
      <c r="E196" s="973">
        <f>SUM(E189:E195)</f>
        <v>12196</v>
      </c>
      <c r="F196" s="973">
        <f>SUM(F189:F195)</f>
        <v>12196</v>
      </c>
      <c r="G196" s="973">
        <f>SUM(G189:G195)</f>
        <v>12196</v>
      </c>
      <c r="H196" s="1088">
        <f t="shared" si="2"/>
        <v>1</v>
      </c>
      <c r="I196" s="456"/>
    </row>
    <row r="197" spans="1:9" ht="12" customHeight="1">
      <c r="A197" s="431">
        <v>3147</v>
      </c>
      <c r="B197" s="409" t="s">
        <v>1020</v>
      </c>
      <c r="C197" s="1009"/>
      <c r="D197" s="1009"/>
      <c r="E197" s="1009"/>
      <c r="F197" s="1009"/>
      <c r="G197" s="1009"/>
      <c r="H197" s="406"/>
      <c r="I197" s="547"/>
    </row>
    <row r="198" spans="1:9" ht="12" customHeight="1">
      <c r="A198" s="427"/>
      <c r="B198" s="413" t="s">
        <v>115</v>
      </c>
      <c r="C198" s="1008"/>
      <c r="D198" s="1008"/>
      <c r="E198" s="1008"/>
      <c r="F198" s="1008"/>
      <c r="G198" s="1008"/>
      <c r="H198" s="406"/>
      <c r="I198" s="453"/>
    </row>
    <row r="199" spans="1:9" ht="12" customHeight="1">
      <c r="A199" s="427"/>
      <c r="B199" s="415" t="s">
        <v>298</v>
      </c>
      <c r="C199" s="1008"/>
      <c r="D199" s="1008"/>
      <c r="E199" s="1008"/>
      <c r="F199" s="1008"/>
      <c r="G199" s="1008"/>
      <c r="H199" s="1089"/>
      <c r="I199" s="453"/>
    </row>
    <row r="200" spans="1:9" ht="12" customHeight="1">
      <c r="A200" s="427"/>
      <c r="B200" s="416" t="s">
        <v>284</v>
      </c>
      <c r="C200" s="1008">
        <v>9170</v>
      </c>
      <c r="D200" s="1008">
        <v>9170</v>
      </c>
      <c r="E200" s="1008">
        <v>16340</v>
      </c>
      <c r="F200" s="1008">
        <v>16340</v>
      </c>
      <c r="G200" s="1008">
        <v>16340</v>
      </c>
      <c r="H200" s="1086">
        <f t="shared" si="2"/>
        <v>1</v>
      </c>
      <c r="I200" s="550"/>
    </row>
    <row r="201" spans="1:9" ht="12" customHeight="1">
      <c r="A201" s="427"/>
      <c r="B201" s="417" t="s">
        <v>120</v>
      </c>
      <c r="C201" s="1008"/>
      <c r="D201" s="1008"/>
      <c r="E201" s="1008"/>
      <c r="F201" s="1008"/>
      <c r="G201" s="1008"/>
      <c r="H201" s="1086"/>
      <c r="I201" s="547" t="s">
        <v>1175</v>
      </c>
    </row>
    <row r="202" spans="1:9" ht="12" customHeight="1">
      <c r="A202" s="427"/>
      <c r="B202" s="417" t="s">
        <v>293</v>
      </c>
      <c r="C202" s="1008"/>
      <c r="D202" s="1008"/>
      <c r="E202" s="1008"/>
      <c r="F202" s="1008"/>
      <c r="G202" s="1008"/>
      <c r="H202" s="1086"/>
      <c r="I202" s="453"/>
    </row>
    <row r="203" spans="1:9" ht="12" customHeight="1">
      <c r="A203" s="427"/>
      <c r="B203" s="418" t="s">
        <v>253</v>
      </c>
      <c r="C203" s="1008"/>
      <c r="D203" s="1008"/>
      <c r="E203" s="1008"/>
      <c r="F203" s="1008"/>
      <c r="G203" s="1008"/>
      <c r="H203" s="1086"/>
      <c r="I203" s="463"/>
    </row>
    <row r="204" spans="1:9" ht="12" customHeight="1" thickBot="1">
      <c r="A204" s="427"/>
      <c r="B204" s="418" t="s">
        <v>272</v>
      </c>
      <c r="C204" s="1023"/>
      <c r="D204" s="1023"/>
      <c r="E204" s="1023"/>
      <c r="F204" s="1023"/>
      <c r="G204" s="1023"/>
      <c r="H204" s="1091"/>
      <c r="I204" s="455"/>
    </row>
    <row r="205" spans="1:9" ht="12" customHeight="1" thickBot="1">
      <c r="A205" s="429"/>
      <c r="B205" s="421" t="s">
        <v>136</v>
      </c>
      <c r="C205" s="973">
        <f>SUM(C198:C204)</f>
        <v>9170</v>
      </c>
      <c r="D205" s="973">
        <f>SUM(D198:D204)</f>
        <v>9170</v>
      </c>
      <c r="E205" s="973">
        <f>SUM(E198:E204)</f>
        <v>16340</v>
      </c>
      <c r="F205" s="973">
        <f>SUM(F198:F204)</f>
        <v>16340</v>
      </c>
      <c r="G205" s="973">
        <f>SUM(G198:G204)</f>
        <v>16340</v>
      </c>
      <c r="H205" s="1088">
        <f aca="true" t="shared" si="3" ref="H205:H275">SUM(G205/F205)</f>
        <v>1</v>
      </c>
      <c r="I205" s="456"/>
    </row>
    <row r="206" spans="1:9" ht="12.75" thickBot="1">
      <c r="A206" s="446"/>
      <c r="B206" s="457" t="s">
        <v>52</v>
      </c>
      <c r="C206" s="972">
        <f>SUM(C230+C239+C257+C275+C310+C283+C292+C318+C222+C326+C334+C214+C247+C342)</f>
        <v>2867605</v>
      </c>
      <c r="D206" s="972">
        <f>SUM(D230+D239+D257+D275+D310+D283+D292+D318+D222+D326+D334+D214+D247+D342)</f>
        <v>2722605</v>
      </c>
      <c r="E206" s="972">
        <f>SUM(E230+E239+E257+E275+E310+E283+E292+E318+E222+E326+E334+E214+E247+E342)</f>
        <v>3222318</v>
      </c>
      <c r="F206" s="972">
        <f>SUM(F230+F239+F257+F275+F310+F283+F292+F318+F222+F326+F334+F214+F247+F342)</f>
        <v>3235609</v>
      </c>
      <c r="G206" s="972">
        <f>SUM(G230+G239+G257+G275+G310+G283+G292+G318+G222+G326+G334+G214+G247+G342)</f>
        <v>3253300</v>
      </c>
      <c r="H206" s="1088">
        <f t="shared" si="3"/>
        <v>1.0054675951266052</v>
      </c>
      <c r="I206" s="437"/>
    </row>
    <row r="207" spans="1:9" ht="12.75">
      <c r="A207" s="351">
        <v>3200</v>
      </c>
      <c r="B207" s="458" t="s">
        <v>426</v>
      </c>
      <c r="C207" s="1017"/>
      <c r="D207" s="1017"/>
      <c r="E207" s="1017"/>
      <c r="F207" s="1017"/>
      <c r="G207" s="1017"/>
      <c r="H207" s="406"/>
      <c r="I207" s="403"/>
    </row>
    <row r="208" spans="1:9" ht="12.75">
      <c r="A208" s="362"/>
      <c r="B208" s="363" t="s">
        <v>115</v>
      </c>
      <c r="C208" s="1018">
        <v>129079</v>
      </c>
      <c r="D208" s="1018">
        <v>129079</v>
      </c>
      <c r="E208" s="1018">
        <v>138693</v>
      </c>
      <c r="F208" s="1018">
        <v>138693</v>
      </c>
      <c r="G208" s="1018">
        <v>138693</v>
      </c>
      <c r="H208" s="1089">
        <f t="shared" si="3"/>
        <v>1</v>
      </c>
      <c r="I208" s="72"/>
    </row>
    <row r="209" spans="1:9" ht="12.75">
      <c r="A209" s="362"/>
      <c r="B209" s="179" t="s">
        <v>298</v>
      </c>
      <c r="C209" s="1018">
        <v>22661</v>
      </c>
      <c r="D209" s="1018">
        <v>22661</v>
      </c>
      <c r="E209" s="1018">
        <v>24561</v>
      </c>
      <c r="F209" s="1018">
        <v>24561</v>
      </c>
      <c r="G209" s="1018">
        <f>24561-47</f>
        <v>24514</v>
      </c>
      <c r="H209" s="1086">
        <f t="shared" si="3"/>
        <v>0.9980863971336672</v>
      </c>
      <c r="I209" s="550"/>
    </row>
    <row r="210" spans="1:9" ht="12.75">
      <c r="A210" s="289"/>
      <c r="B210" s="364" t="s">
        <v>284</v>
      </c>
      <c r="C210" s="1018">
        <v>32</v>
      </c>
      <c r="D210" s="1018">
        <v>32</v>
      </c>
      <c r="E210" s="1018">
        <v>152</v>
      </c>
      <c r="F210" s="1018">
        <v>152</v>
      </c>
      <c r="G210" s="1018">
        <f>152+47</f>
        <v>199</v>
      </c>
      <c r="H210" s="1086">
        <f t="shared" si="3"/>
        <v>1.3092105263157894</v>
      </c>
      <c r="I210" s="550"/>
    </row>
    <row r="211" spans="1:9" ht="12.75">
      <c r="A211" s="289"/>
      <c r="B211" s="296" t="s">
        <v>120</v>
      </c>
      <c r="C211" s="1018"/>
      <c r="D211" s="1018"/>
      <c r="E211" s="1018"/>
      <c r="F211" s="1018"/>
      <c r="G211" s="1018"/>
      <c r="H211" s="1086"/>
      <c r="I211" s="550"/>
    </row>
    <row r="212" spans="1:9" ht="12.75">
      <c r="A212" s="362"/>
      <c r="B212" s="296" t="s">
        <v>293</v>
      </c>
      <c r="C212" s="1018"/>
      <c r="D212" s="1018"/>
      <c r="E212" s="1018"/>
      <c r="F212" s="1018"/>
      <c r="G212" s="1018"/>
      <c r="H212" s="1086"/>
      <c r="I212" s="552"/>
    </row>
    <row r="213" spans="1:9" ht="12.75" thickBot="1">
      <c r="A213" s="289"/>
      <c r="B213" s="418" t="s">
        <v>88</v>
      </c>
      <c r="C213" s="1020"/>
      <c r="D213" s="1020"/>
      <c r="E213" s="1020"/>
      <c r="F213" s="1020"/>
      <c r="G213" s="1020"/>
      <c r="H213" s="1091"/>
      <c r="I213" s="435"/>
    </row>
    <row r="214" spans="1:9" ht="12.75" thickBot="1">
      <c r="A214" s="353"/>
      <c r="B214" s="421" t="s">
        <v>136</v>
      </c>
      <c r="C214" s="972">
        <f>SUM(C208:C213)</f>
        <v>151772</v>
      </c>
      <c r="D214" s="972">
        <f>SUM(D208:D213)</f>
        <v>151772</v>
      </c>
      <c r="E214" s="972">
        <f>SUM(E208:E213)</f>
        <v>163406</v>
      </c>
      <c r="F214" s="972">
        <f>SUM(F208:F213)</f>
        <v>163406</v>
      </c>
      <c r="G214" s="972">
        <f>SUM(G208:G213)</f>
        <v>163406</v>
      </c>
      <c r="H214" s="1088">
        <f t="shared" si="3"/>
        <v>1</v>
      </c>
      <c r="I214" s="437"/>
    </row>
    <row r="215" spans="1:9" ht="12.75">
      <c r="A215" s="351">
        <v>3201</v>
      </c>
      <c r="B215" s="441" t="s">
        <v>357</v>
      </c>
      <c r="C215" s="1017"/>
      <c r="D215" s="1017"/>
      <c r="E215" s="1017"/>
      <c r="F215" s="1017"/>
      <c r="G215" s="1017"/>
      <c r="H215" s="406"/>
      <c r="I215" s="403"/>
    </row>
    <row r="216" spans="1:9" ht="12.75">
      <c r="A216" s="351"/>
      <c r="B216" s="364" t="s">
        <v>115</v>
      </c>
      <c r="C216" s="959">
        <v>16500</v>
      </c>
      <c r="D216" s="959">
        <v>16500</v>
      </c>
      <c r="E216" s="959">
        <v>17146</v>
      </c>
      <c r="F216" s="959">
        <v>17146</v>
      </c>
      <c r="G216" s="959">
        <f>17146+13980</f>
        <v>31126</v>
      </c>
      <c r="H216" s="1089">
        <f t="shared" si="3"/>
        <v>1.8153505190715036</v>
      </c>
      <c r="I216" s="550"/>
    </row>
    <row r="217" spans="1:9" ht="12.75">
      <c r="A217" s="351"/>
      <c r="B217" s="179" t="s">
        <v>298</v>
      </c>
      <c r="C217" s="959">
        <v>2900</v>
      </c>
      <c r="D217" s="959">
        <v>2900</v>
      </c>
      <c r="E217" s="959">
        <v>3132</v>
      </c>
      <c r="F217" s="959">
        <v>3132</v>
      </c>
      <c r="G217" s="959">
        <f>3132+2240</f>
        <v>5372</v>
      </c>
      <c r="H217" s="1086">
        <f t="shared" si="3"/>
        <v>1.7151979565772668</v>
      </c>
      <c r="I217" s="550"/>
    </row>
    <row r="218" spans="1:9" ht="12.75">
      <c r="A218" s="351"/>
      <c r="B218" s="364" t="s">
        <v>284</v>
      </c>
      <c r="C218" s="959">
        <v>80600</v>
      </c>
      <c r="D218" s="959">
        <v>80600</v>
      </c>
      <c r="E218" s="959">
        <v>112581</v>
      </c>
      <c r="F218" s="959">
        <v>112581</v>
      </c>
      <c r="G218" s="959">
        <f>112581-16220</f>
        <v>96361</v>
      </c>
      <c r="H218" s="1086">
        <f t="shared" si="3"/>
        <v>0.8559259555342376</v>
      </c>
      <c r="I218" s="550"/>
    </row>
    <row r="219" spans="1:9" ht="12.75">
      <c r="A219" s="351"/>
      <c r="B219" s="459" t="s">
        <v>120</v>
      </c>
      <c r="C219" s="959"/>
      <c r="D219" s="959"/>
      <c r="E219" s="959"/>
      <c r="F219" s="959"/>
      <c r="G219" s="959"/>
      <c r="H219" s="1086"/>
      <c r="I219" s="448"/>
    </row>
    <row r="220" spans="1:9" ht="12.75">
      <c r="A220" s="351"/>
      <c r="B220" s="459" t="s">
        <v>293</v>
      </c>
      <c r="C220" s="959"/>
      <c r="D220" s="959"/>
      <c r="E220" s="959"/>
      <c r="F220" s="959"/>
      <c r="G220" s="959"/>
      <c r="H220" s="1086"/>
      <c r="I220" s="407"/>
    </row>
    <row r="221" spans="1:9" ht="12.75" thickBot="1">
      <c r="A221" s="351"/>
      <c r="B221" s="418" t="s">
        <v>253</v>
      </c>
      <c r="C221" s="1024"/>
      <c r="D221" s="1024"/>
      <c r="E221" s="1024">
        <v>492</v>
      </c>
      <c r="F221" s="1024">
        <v>492</v>
      </c>
      <c r="G221" s="1024">
        <v>492</v>
      </c>
      <c r="H221" s="1091">
        <f t="shared" si="3"/>
        <v>1</v>
      </c>
      <c r="I221" s="407"/>
    </row>
    <row r="222" spans="1:9" ht="12.75" thickBot="1">
      <c r="A222" s="371"/>
      <c r="B222" s="421" t="s">
        <v>136</v>
      </c>
      <c r="C222" s="972">
        <f>SUM(C216:C221)</f>
        <v>100000</v>
      </c>
      <c r="D222" s="972">
        <f>SUM(D216:D221)</f>
        <v>100000</v>
      </c>
      <c r="E222" s="972">
        <f>SUM(E216:E221)</f>
        <v>133351</v>
      </c>
      <c r="F222" s="972">
        <f>SUM(F216:F221)</f>
        <v>133351</v>
      </c>
      <c r="G222" s="972">
        <f>SUM(G216:G221)</f>
        <v>133351</v>
      </c>
      <c r="H222" s="1088">
        <f t="shared" si="3"/>
        <v>1</v>
      </c>
      <c r="I222" s="437"/>
    </row>
    <row r="223" spans="1:9" ht="12.75">
      <c r="A223" s="73">
        <v>3202</v>
      </c>
      <c r="B223" s="370" t="s">
        <v>285</v>
      </c>
      <c r="C223" s="1017"/>
      <c r="D223" s="1017"/>
      <c r="E223" s="1017"/>
      <c r="F223" s="1017"/>
      <c r="G223" s="1017"/>
      <c r="H223" s="406"/>
      <c r="I223" s="547" t="s">
        <v>1081</v>
      </c>
    </row>
    <row r="224" spans="1:9" ht="12.75">
      <c r="A224" s="73"/>
      <c r="B224" s="363" t="s">
        <v>115</v>
      </c>
      <c r="C224" s="959">
        <v>2500</v>
      </c>
      <c r="D224" s="959">
        <v>2500</v>
      </c>
      <c r="E224" s="959">
        <v>2729</v>
      </c>
      <c r="F224" s="959">
        <v>2729</v>
      </c>
      <c r="G224" s="959">
        <v>2729</v>
      </c>
      <c r="H224" s="1089">
        <f t="shared" si="3"/>
        <v>1</v>
      </c>
      <c r="I224" s="407" t="s">
        <v>1082</v>
      </c>
    </row>
    <row r="225" spans="1:9" ht="12.75">
      <c r="A225" s="73"/>
      <c r="B225" s="179" t="s">
        <v>298</v>
      </c>
      <c r="C225" s="959">
        <v>1300</v>
      </c>
      <c r="D225" s="959">
        <v>1300</v>
      </c>
      <c r="E225" s="959">
        <v>1357</v>
      </c>
      <c r="F225" s="959">
        <v>1357</v>
      </c>
      <c r="G225" s="959">
        <v>1357</v>
      </c>
      <c r="H225" s="1086">
        <f t="shared" si="3"/>
        <v>1</v>
      </c>
      <c r="I225" s="448"/>
    </row>
    <row r="226" spans="1:9" ht="12.75">
      <c r="A226" s="73"/>
      <c r="B226" s="364" t="s">
        <v>284</v>
      </c>
      <c r="C226" s="959">
        <v>2000</v>
      </c>
      <c r="D226" s="959">
        <v>2000</v>
      </c>
      <c r="E226" s="959">
        <v>5160</v>
      </c>
      <c r="F226" s="959">
        <v>5160</v>
      </c>
      <c r="G226" s="959">
        <v>5160</v>
      </c>
      <c r="H226" s="1086">
        <f t="shared" si="3"/>
        <v>1</v>
      </c>
      <c r="I226" s="550"/>
    </row>
    <row r="227" spans="1:9" ht="12.75">
      <c r="A227" s="73"/>
      <c r="B227" s="296" t="s">
        <v>120</v>
      </c>
      <c r="C227" s="959"/>
      <c r="D227" s="959"/>
      <c r="E227" s="959"/>
      <c r="F227" s="959"/>
      <c r="G227" s="959"/>
      <c r="H227" s="1086"/>
      <c r="I227" s="448"/>
    </row>
    <row r="228" spans="1:9" ht="12.75">
      <c r="A228" s="73"/>
      <c r="B228" s="296" t="s">
        <v>293</v>
      </c>
      <c r="C228" s="959">
        <v>4200</v>
      </c>
      <c r="D228" s="959">
        <v>4200</v>
      </c>
      <c r="E228" s="959">
        <v>6400</v>
      </c>
      <c r="F228" s="959">
        <v>6400</v>
      </c>
      <c r="G228" s="959">
        <v>6400</v>
      </c>
      <c r="H228" s="1086">
        <f t="shared" si="3"/>
        <v>1</v>
      </c>
      <c r="I228" s="448"/>
    </row>
    <row r="229" spans="1:9" ht="12.75" thickBot="1">
      <c r="A229" s="73"/>
      <c r="B229" s="418" t="s">
        <v>272</v>
      </c>
      <c r="C229" s="1024"/>
      <c r="D229" s="1024"/>
      <c r="E229" s="1024"/>
      <c r="F229" s="1024"/>
      <c r="G229" s="1024"/>
      <c r="H229" s="1091"/>
      <c r="I229" s="435"/>
    </row>
    <row r="230" spans="1:9" ht="12.75" thickBot="1">
      <c r="A230" s="371"/>
      <c r="B230" s="421" t="s">
        <v>136</v>
      </c>
      <c r="C230" s="972">
        <f>SUM(C224:C229)</f>
        <v>10000</v>
      </c>
      <c r="D230" s="972">
        <f>SUM(D224:D229)</f>
        <v>10000</v>
      </c>
      <c r="E230" s="972">
        <f>SUM(E224:E229)</f>
        <v>15646</v>
      </c>
      <c r="F230" s="972">
        <f>SUM(F224:F229)</f>
        <v>15646</v>
      </c>
      <c r="G230" s="972">
        <f>SUM(G224:G229)</f>
        <v>15646</v>
      </c>
      <c r="H230" s="1088">
        <f t="shared" si="3"/>
        <v>1</v>
      </c>
      <c r="I230" s="437"/>
    </row>
    <row r="231" spans="1:9" ht="12.75">
      <c r="A231" s="73">
        <v>3203</v>
      </c>
      <c r="B231" s="444" t="s">
        <v>1076</v>
      </c>
      <c r="C231" s="1017"/>
      <c r="D231" s="1017"/>
      <c r="E231" s="1017"/>
      <c r="F231" s="1017"/>
      <c r="G231" s="1017"/>
      <c r="H231" s="406"/>
      <c r="I231" s="432" t="s">
        <v>1078</v>
      </c>
    </row>
    <row r="232" spans="1:9" ht="12" customHeight="1">
      <c r="A232" s="362"/>
      <c r="B232" s="363" t="s">
        <v>115</v>
      </c>
      <c r="C232" s="1018"/>
      <c r="D232" s="1018"/>
      <c r="E232" s="1018"/>
      <c r="F232" s="1018"/>
      <c r="G232" s="1018"/>
      <c r="H232" s="406"/>
      <c r="I232" s="407" t="s">
        <v>160</v>
      </c>
    </row>
    <row r="233" spans="1:9" ht="12" customHeight="1">
      <c r="A233" s="362"/>
      <c r="B233" s="179" t="s">
        <v>298</v>
      </c>
      <c r="C233" s="1018"/>
      <c r="D233" s="1018"/>
      <c r="E233" s="1018"/>
      <c r="F233" s="1018"/>
      <c r="G233" s="1018"/>
      <c r="H233" s="1089"/>
      <c r="I233" s="432"/>
    </row>
    <row r="234" spans="1:9" ht="12" customHeight="1">
      <c r="A234" s="362"/>
      <c r="B234" s="364" t="s">
        <v>284</v>
      </c>
      <c r="C234" s="1018">
        <v>2000</v>
      </c>
      <c r="D234" s="1018">
        <v>2000</v>
      </c>
      <c r="E234" s="1018">
        <v>1000</v>
      </c>
      <c r="F234" s="1018">
        <v>1000</v>
      </c>
      <c r="G234" s="1018">
        <v>1000</v>
      </c>
      <c r="H234" s="1086">
        <f t="shared" si="3"/>
        <v>1</v>
      </c>
      <c r="I234" s="549"/>
    </row>
    <row r="235" spans="1:9" ht="12" customHeight="1">
      <c r="A235" s="362"/>
      <c r="B235" s="296" t="s">
        <v>120</v>
      </c>
      <c r="C235" s="1018"/>
      <c r="D235" s="1018"/>
      <c r="E235" s="1018"/>
      <c r="F235" s="1018"/>
      <c r="G235" s="1018"/>
      <c r="H235" s="1086"/>
      <c r="I235" s="549"/>
    </row>
    <row r="236" spans="1:9" ht="12" customHeight="1">
      <c r="A236" s="362"/>
      <c r="B236" s="296" t="s">
        <v>293</v>
      </c>
      <c r="C236" s="1018"/>
      <c r="D236" s="1018"/>
      <c r="E236" s="1018"/>
      <c r="F236" s="1018"/>
      <c r="G236" s="1018"/>
      <c r="H236" s="1086"/>
      <c r="I236" s="452"/>
    </row>
    <row r="237" spans="1:9" ht="12.75">
      <c r="A237" s="362"/>
      <c r="B237" s="460" t="s">
        <v>253</v>
      </c>
      <c r="C237" s="1018"/>
      <c r="D237" s="1018"/>
      <c r="E237" s="1018"/>
      <c r="F237" s="1018"/>
      <c r="G237" s="1018"/>
      <c r="H237" s="1086"/>
      <c r="I237" s="550"/>
    </row>
    <row r="238" spans="1:9" ht="12.75" thickBot="1">
      <c r="A238" s="362"/>
      <c r="B238" s="418" t="s">
        <v>272</v>
      </c>
      <c r="C238" s="1020">
        <v>3000</v>
      </c>
      <c r="D238" s="1020">
        <v>3000</v>
      </c>
      <c r="E238" s="1020"/>
      <c r="F238" s="1020"/>
      <c r="G238" s="1020"/>
      <c r="H238" s="1091"/>
      <c r="I238" s="402"/>
    </row>
    <row r="239" spans="1:9" ht="12" customHeight="1" thickBot="1">
      <c r="A239" s="371"/>
      <c r="B239" s="421" t="s">
        <v>136</v>
      </c>
      <c r="C239" s="972">
        <f>SUM(C232:C238)</f>
        <v>5000</v>
      </c>
      <c r="D239" s="972">
        <f>SUM(D232:D238)</f>
        <v>5000</v>
      </c>
      <c r="E239" s="972">
        <f>SUM(E232:E238)</f>
        <v>1000</v>
      </c>
      <c r="F239" s="972">
        <f>SUM(F232:F238)</f>
        <v>1000</v>
      </c>
      <c r="G239" s="972">
        <f>SUM(G232:G238)</f>
        <v>1000</v>
      </c>
      <c r="H239" s="1088">
        <f t="shared" si="3"/>
        <v>1</v>
      </c>
      <c r="I239" s="437"/>
    </row>
    <row r="240" spans="1:9" ht="12" customHeight="1">
      <c r="A240" s="73">
        <v>3204</v>
      </c>
      <c r="B240" s="444" t="s">
        <v>392</v>
      </c>
      <c r="C240" s="1017"/>
      <c r="D240" s="1017"/>
      <c r="E240" s="1017"/>
      <c r="F240" s="1017"/>
      <c r="G240" s="1017"/>
      <c r="H240" s="406"/>
      <c r="I240" s="432"/>
    </row>
    <row r="241" spans="1:9" ht="12" customHeight="1">
      <c r="A241" s="362"/>
      <c r="B241" s="363" t="s">
        <v>115</v>
      </c>
      <c r="C241" s="1018"/>
      <c r="D241" s="1018"/>
      <c r="E241" s="1018"/>
      <c r="F241" s="1018"/>
      <c r="G241" s="1018"/>
      <c r="H241" s="406"/>
      <c r="I241" s="407"/>
    </row>
    <row r="242" spans="1:9" ht="12" customHeight="1">
      <c r="A242" s="362"/>
      <c r="B242" s="179" t="s">
        <v>298</v>
      </c>
      <c r="C242" s="1018"/>
      <c r="D242" s="1018"/>
      <c r="E242" s="1018"/>
      <c r="F242" s="1018"/>
      <c r="G242" s="1018"/>
      <c r="H242" s="1089"/>
      <c r="I242" s="1178" t="s">
        <v>1079</v>
      </c>
    </row>
    <row r="243" spans="1:9" ht="12" customHeight="1">
      <c r="A243" s="362"/>
      <c r="B243" s="364" t="s">
        <v>284</v>
      </c>
      <c r="C243" s="1018">
        <v>15000</v>
      </c>
      <c r="D243" s="1018">
        <v>15000</v>
      </c>
      <c r="E243" s="1018">
        <v>17295</v>
      </c>
      <c r="F243" s="1018">
        <v>17295</v>
      </c>
      <c r="G243" s="1018">
        <v>17295</v>
      </c>
      <c r="H243" s="1086">
        <f t="shared" si="3"/>
        <v>1</v>
      </c>
      <c r="I243" s="678" t="s">
        <v>1165</v>
      </c>
    </row>
    <row r="244" spans="1:9" ht="12" customHeight="1">
      <c r="A244" s="362"/>
      <c r="B244" s="296" t="s">
        <v>293</v>
      </c>
      <c r="C244" s="1018"/>
      <c r="D244" s="1018"/>
      <c r="E244" s="1018"/>
      <c r="F244" s="1018"/>
      <c r="G244" s="1018"/>
      <c r="H244" s="1086"/>
      <c r="I244" s="452"/>
    </row>
    <row r="245" spans="1:9" ht="12" customHeight="1">
      <c r="A245" s="362"/>
      <c r="B245" s="296" t="s">
        <v>120</v>
      </c>
      <c r="C245" s="1018"/>
      <c r="D245" s="1018"/>
      <c r="E245" s="1018"/>
      <c r="F245" s="1018"/>
      <c r="G245" s="1018"/>
      <c r="H245" s="1086"/>
      <c r="I245" s="407"/>
    </row>
    <row r="246" spans="1:9" ht="12" customHeight="1" thickBot="1">
      <c r="A246" s="362"/>
      <c r="B246" s="418" t="s">
        <v>88</v>
      </c>
      <c r="C246" s="1022"/>
      <c r="D246" s="1022"/>
      <c r="E246" s="1022"/>
      <c r="F246" s="1022"/>
      <c r="G246" s="1022"/>
      <c r="H246" s="1091"/>
      <c r="I246" s="402"/>
    </row>
    <row r="247" spans="1:9" ht="12" customHeight="1" thickBot="1">
      <c r="A247" s="371"/>
      <c r="B247" s="421" t="s">
        <v>136</v>
      </c>
      <c r="C247" s="972">
        <f>SUM(C241:C246)</f>
        <v>15000</v>
      </c>
      <c r="D247" s="972">
        <f>SUM(D241:D246)</f>
        <v>15000</v>
      </c>
      <c r="E247" s="972">
        <f>SUM(E241:E246)</f>
        <v>17295</v>
      </c>
      <c r="F247" s="972">
        <f>SUM(F241:F246)</f>
        <v>17295</v>
      </c>
      <c r="G247" s="972">
        <f>SUM(G241:G246)</f>
        <v>17295</v>
      </c>
      <c r="H247" s="1088">
        <f t="shared" si="3"/>
        <v>1</v>
      </c>
      <c r="I247" s="437"/>
    </row>
    <row r="248" spans="1:9" ht="12" customHeight="1">
      <c r="A248" s="73">
        <v>3205</v>
      </c>
      <c r="B248" s="444" t="s">
        <v>359</v>
      </c>
      <c r="C248" s="1017"/>
      <c r="D248" s="1017"/>
      <c r="E248" s="1017"/>
      <c r="F248" s="1017"/>
      <c r="G248" s="1017"/>
      <c r="H248" s="406"/>
      <c r="I248" s="432" t="s">
        <v>1078</v>
      </c>
    </row>
    <row r="249" spans="1:9" ht="12" customHeight="1">
      <c r="A249" s="362"/>
      <c r="B249" s="363" t="s">
        <v>115</v>
      </c>
      <c r="C249" s="1018">
        <v>4000</v>
      </c>
      <c r="D249" s="1018">
        <v>4000</v>
      </c>
      <c r="E249" s="1018">
        <v>4595</v>
      </c>
      <c r="F249" s="1018">
        <v>4595</v>
      </c>
      <c r="G249" s="1018">
        <v>4595</v>
      </c>
      <c r="H249" s="1089">
        <f t="shared" si="3"/>
        <v>1</v>
      </c>
      <c r="I249" s="407" t="s">
        <v>160</v>
      </c>
    </row>
    <row r="250" spans="1:9" ht="12" customHeight="1">
      <c r="A250" s="362"/>
      <c r="B250" s="179" t="s">
        <v>298</v>
      </c>
      <c r="C250" s="1018">
        <v>1000</v>
      </c>
      <c r="D250" s="1018">
        <v>1000</v>
      </c>
      <c r="E250" s="1018">
        <v>1228</v>
      </c>
      <c r="F250" s="1018">
        <v>1228</v>
      </c>
      <c r="G250" s="1018">
        <v>1228</v>
      </c>
      <c r="H250" s="1086">
        <f t="shared" si="3"/>
        <v>1</v>
      </c>
      <c r="I250" s="433"/>
    </row>
    <row r="251" spans="1:9" ht="12" customHeight="1">
      <c r="A251" s="289"/>
      <c r="B251" s="364" t="s">
        <v>284</v>
      </c>
      <c r="C251" s="1018">
        <v>9500</v>
      </c>
      <c r="D251" s="1018">
        <v>9500</v>
      </c>
      <c r="E251" s="1018">
        <v>15354</v>
      </c>
      <c r="F251" s="1018">
        <v>15354</v>
      </c>
      <c r="G251" s="1018">
        <f>15354+1300</f>
        <v>16654</v>
      </c>
      <c r="H251" s="1086">
        <f t="shared" si="3"/>
        <v>1.0846684902956885</v>
      </c>
      <c r="I251" s="549"/>
    </row>
    <row r="252" spans="1:9" ht="12" customHeight="1">
      <c r="A252" s="289"/>
      <c r="B252" s="296" t="s">
        <v>120</v>
      </c>
      <c r="C252" s="1018"/>
      <c r="D252" s="1018"/>
      <c r="E252" s="1018"/>
      <c r="F252" s="1018"/>
      <c r="G252" s="1018"/>
      <c r="H252" s="1086"/>
      <c r="I252" s="549"/>
    </row>
    <row r="253" spans="1:9" ht="12" customHeight="1">
      <c r="A253" s="289"/>
      <c r="B253" s="296" t="s">
        <v>293</v>
      </c>
      <c r="C253" s="1018">
        <v>10000</v>
      </c>
      <c r="D253" s="1018">
        <v>10000</v>
      </c>
      <c r="E253" s="1018">
        <v>10000</v>
      </c>
      <c r="F253" s="1018">
        <v>13291</v>
      </c>
      <c r="G253" s="1018">
        <v>14682</v>
      </c>
      <c r="H253" s="1086">
        <f t="shared" si="3"/>
        <v>1.1046572868858626</v>
      </c>
      <c r="I253" s="434"/>
    </row>
    <row r="254" spans="1:9" ht="12" customHeight="1">
      <c r="A254" s="289"/>
      <c r="B254" s="296" t="s">
        <v>120</v>
      </c>
      <c r="C254" s="1018"/>
      <c r="D254" s="1018"/>
      <c r="E254" s="1018"/>
      <c r="F254" s="1018"/>
      <c r="G254" s="1018"/>
      <c r="H254" s="1086"/>
      <c r="I254" s="434"/>
    </row>
    <row r="255" spans="1:9" ht="12" customHeight="1">
      <c r="A255" s="289"/>
      <c r="B255" s="296" t="s">
        <v>21</v>
      </c>
      <c r="C255" s="1019"/>
      <c r="D255" s="1019"/>
      <c r="E255" s="1019">
        <v>11452</v>
      </c>
      <c r="F255" s="1019">
        <v>11452</v>
      </c>
      <c r="G255" s="1019">
        <v>11452</v>
      </c>
      <c r="H255" s="1086">
        <f t="shared" si="3"/>
        <v>1</v>
      </c>
      <c r="I255" s="434"/>
    </row>
    <row r="256" spans="1:9" ht="12" customHeight="1" thickBot="1">
      <c r="A256" s="289"/>
      <c r="B256" s="418" t="s">
        <v>272</v>
      </c>
      <c r="C256" s="1020">
        <v>20000</v>
      </c>
      <c r="D256" s="1020">
        <v>15000</v>
      </c>
      <c r="E256" s="1020">
        <v>19496</v>
      </c>
      <c r="F256" s="1020">
        <v>19496</v>
      </c>
      <c r="G256" s="1020">
        <v>19496</v>
      </c>
      <c r="H256" s="1091">
        <f t="shared" si="3"/>
        <v>1</v>
      </c>
      <c r="I256" s="1104" t="s">
        <v>1080</v>
      </c>
    </row>
    <row r="257" spans="1:9" ht="12" customHeight="1" thickBot="1">
      <c r="A257" s="371"/>
      <c r="B257" s="421" t="s">
        <v>136</v>
      </c>
      <c r="C257" s="972">
        <f>SUM(C249:C256)</f>
        <v>44500</v>
      </c>
      <c r="D257" s="972">
        <f>SUM(D249:D256)</f>
        <v>39500</v>
      </c>
      <c r="E257" s="972">
        <f>SUM(E249:E256)</f>
        <v>62125</v>
      </c>
      <c r="F257" s="972">
        <f>SUM(F249:F256)</f>
        <v>65416</v>
      </c>
      <c r="G257" s="972">
        <f>SUM(G249:G256)</f>
        <v>68107</v>
      </c>
      <c r="H257" s="1088">
        <f t="shared" si="3"/>
        <v>1.0411367249602543</v>
      </c>
      <c r="I257" s="461"/>
    </row>
    <row r="258" spans="1:9" ht="12" customHeight="1">
      <c r="A258" s="73">
        <v>3206</v>
      </c>
      <c r="B258" s="444" t="s">
        <v>1114</v>
      </c>
      <c r="C258" s="1017"/>
      <c r="D258" s="1017"/>
      <c r="E258" s="1017"/>
      <c r="F258" s="1017"/>
      <c r="G258" s="1017"/>
      <c r="H258" s="406"/>
      <c r="I258" s="432"/>
    </row>
    <row r="259" spans="1:9" ht="12" customHeight="1">
      <c r="A259" s="362"/>
      <c r="B259" s="363" t="s">
        <v>115</v>
      </c>
      <c r="C259" s="1018"/>
      <c r="D259" s="1018"/>
      <c r="E259" s="1018"/>
      <c r="F259" s="1018"/>
      <c r="G259" s="1018"/>
      <c r="H259" s="1089"/>
      <c r="I259" s="407"/>
    </row>
    <row r="260" spans="1:9" ht="12" customHeight="1">
      <c r="A260" s="362"/>
      <c r="B260" s="179" t="s">
        <v>298</v>
      </c>
      <c r="C260" s="1018"/>
      <c r="D260" s="1018"/>
      <c r="E260" s="1018"/>
      <c r="F260" s="1018"/>
      <c r="G260" s="1018"/>
      <c r="H260" s="1086"/>
      <c r="I260" s="433"/>
    </row>
    <row r="261" spans="1:9" ht="12" customHeight="1">
      <c r="A261" s="289"/>
      <c r="B261" s="364" t="s">
        <v>284</v>
      </c>
      <c r="C261" s="1018"/>
      <c r="D261" s="1018"/>
      <c r="E261" s="1018"/>
      <c r="F261" s="1018"/>
      <c r="G261" s="1018">
        <v>5000</v>
      </c>
      <c r="H261" s="1086"/>
      <c r="I261" s="549"/>
    </row>
    <row r="262" spans="1:9" ht="12" customHeight="1">
      <c r="A262" s="289"/>
      <c r="B262" s="296" t="s">
        <v>120</v>
      </c>
      <c r="C262" s="1018"/>
      <c r="D262" s="1018"/>
      <c r="E262" s="1018"/>
      <c r="F262" s="1018"/>
      <c r="G262" s="1018"/>
      <c r="H262" s="1086"/>
      <c r="I262" s="549"/>
    </row>
    <row r="263" spans="1:9" ht="12" customHeight="1">
      <c r="A263" s="289"/>
      <c r="B263" s="296" t="s">
        <v>293</v>
      </c>
      <c r="C263" s="1018"/>
      <c r="D263" s="1018"/>
      <c r="E263" s="1018"/>
      <c r="F263" s="1018"/>
      <c r="G263" s="1018"/>
      <c r="H263" s="1086"/>
      <c r="I263" s="434"/>
    </row>
    <row r="264" spans="1:9" ht="12" customHeight="1">
      <c r="A264" s="289"/>
      <c r="B264" s="296" t="s">
        <v>120</v>
      </c>
      <c r="C264" s="1018"/>
      <c r="D264" s="1018"/>
      <c r="E264" s="1018"/>
      <c r="F264" s="1018"/>
      <c r="G264" s="1018"/>
      <c r="H264" s="1086"/>
      <c r="I264" s="434"/>
    </row>
    <row r="265" spans="1:9" ht="12" customHeight="1">
      <c r="A265" s="289"/>
      <c r="B265" s="296" t="s">
        <v>21</v>
      </c>
      <c r="C265" s="1019"/>
      <c r="D265" s="1019"/>
      <c r="E265" s="1019"/>
      <c r="F265" s="1019"/>
      <c r="G265" s="1019"/>
      <c r="H265" s="1086"/>
      <c r="I265" s="434"/>
    </row>
    <row r="266" spans="1:9" ht="12" customHeight="1" thickBot="1">
      <c r="A266" s="289"/>
      <c r="B266" s="418" t="s">
        <v>272</v>
      </c>
      <c r="C266" s="1020"/>
      <c r="D266" s="1020"/>
      <c r="E266" s="1020"/>
      <c r="F266" s="1020"/>
      <c r="G266" s="1020"/>
      <c r="H266" s="1091"/>
      <c r="I266" s="1104"/>
    </row>
    <row r="267" spans="1:9" ht="12" customHeight="1" thickBot="1">
      <c r="A267" s="371"/>
      <c r="B267" s="421" t="s">
        <v>136</v>
      </c>
      <c r="C267" s="972">
        <f>SUM(C259:C266)</f>
        <v>0</v>
      </c>
      <c r="D267" s="972">
        <f>SUM(D259:D266)</f>
        <v>0</v>
      </c>
      <c r="E267" s="972">
        <f>SUM(E259:E266)</f>
        <v>0</v>
      </c>
      <c r="F267" s="972">
        <f>SUM(F259:F266)</f>
        <v>0</v>
      </c>
      <c r="G267" s="972">
        <f>SUM(G259:G266)</f>
        <v>5000</v>
      </c>
      <c r="H267" s="1088"/>
      <c r="I267" s="461"/>
    </row>
    <row r="268" spans="1:9" ht="12" customHeight="1">
      <c r="A268" s="351">
        <v>3207</v>
      </c>
      <c r="B268" s="444" t="s">
        <v>290</v>
      </c>
      <c r="C268" s="1017"/>
      <c r="D268" s="1017"/>
      <c r="E268" s="1017"/>
      <c r="F268" s="1017"/>
      <c r="G268" s="1017"/>
      <c r="H268" s="406"/>
      <c r="I268" s="433"/>
    </row>
    <row r="269" spans="1:9" ht="12" customHeight="1">
      <c r="A269" s="289"/>
      <c r="B269" s="363" t="s">
        <v>115</v>
      </c>
      <c r="C269" s="1018"/>
      <c r="D269" s="1018"/>
      <c r="E269" s="1018"/>
      <c r="F269" s="1018"/>
      <c r="G269" s="1018"/>
      <c r="H269" s="406"/>
      <c r="I269" s="433"/>
    </row>
    <row r="270" spans="1:9" ht="12" customHeight="1">
      <c r="A270" s="289"/>
      <c r="B270" s="179" t="s">
        <v>298</v>
      </c>
      <c r="C270" s="1018"/>
      <c r="D270" s="1018"/>
      <c r="E270" s="1018"/>
      <c r="F270" s="1018"/>
      <c r="G270" s="1018"/>
      <c r="H270" s="1089"/>
      <c r="I270" s="425"/>
    </row>
    <row r="271" spans="1:9" ht="12" customHeight="1">
      <c r="A271" s="289"/>
      <c r="B271" s="364" t="s">
        <v>284</v>
      </c>
      <c r="C271" s="1018">
        <v>29000</v>
      </c>
      <c r="D271" s="1018">
        <v>29000</v>
      </c>
      <c r="E271" s="1018">
        <v>31200</v>
      </c>
      <c r="F271" s="1018">
        <v>31200</v>
      </c>
      <c r="G271" s="1018">
        <v>31200</v>
      </c>
      <c r="H271" s="1086">
        <f t="shared" si="3"/>
        <v>1</v>
      </c>
      <c r="I271" s="549"/>
    </row>
    <row r="272" spans="1:9" ht="12" customHeight="1">
      <c r="A272" s="289"/>
      <c r="B272" s="296" t="s">
        <v>120</v>
      </c>
      <c r="C272" s="1018"/>
      <c r="D272" s="1018"/>
      <c r="E272" s="1018"/>
      <c r="F272" s="1018"/>
      <c r="G272" s="1018"/>
      <c r="H272" s="1086"/>
      <c r="I272" s="549"/>
    </row>
    <row r="273" spans="1:9" ht="12" customHeight="1">
      <c r="A273" s="289"/>
      <c r="B273" s="296" t="s">
        <v>293</v>
      </c>
      <c r="C273" s="1018"/>
      <c r="D273" s="1018"/>
      <c r="E273" s="1018"/>
      <c r="F273" s="1018"/>
      <c r="G273" s="1018"/>
      <c r="H273" s="1086"/>
      <c r="I273" s="433"/>
    </row>
    <row r="274" spans="1:9" ht="12" customHeight="1" thickBot="1">
      <c r="A274" s="289"/>
      <c r="B274" s="418" t="s">
        <v>88</v>
      </c>
      <c r="C274" s="1022"/>
      <c r="D274" s="1022"/>
      <c r="E274" s="1022"/>
      <c r="F274" s="1022"/>
      <c r="G274" s="1022"/>
      <c r="H274" s="1091"/>
      <c r="I274" s="402"/>
    </row>
    <row r="275" spans="1:9" ht="12.75" thickBot="1">
      <c r="A275" s="353"/>
      <c r="B275" s="421" t="s">
        <v>136</v>
      </c>
      <c r="C275" s="972">
        <f>SUM(C269:C274)</f>
        <v>29000</v>
      </c>
      <c r="D275" s="972">
        <f>SUM(D269:D274)</f>
        <v>29000</v>
      </c>
      <c r="E275" s="972">
        <f>SUM(E269:E274)</f>
        <v>31200</v>
      </c>
      <c r="F275" s="972">
        <f>SUM(F269:F274)</f>
        <v>31200</v>
      </c>
      <c r="G275" s="972">
        <f>SUM(G269:G274)</f>
        <v>31200</v>
      </c>
      <c r="H275" s="1088">
        <f t="shared" si="3"/>
        <v>1</v>
      </c>
      <c r="I275" s="437"/>
    </row>
    <row r="276" spans="1:9" ht="12.75">
      <c r="A276" s="351">
        <v>3208</v>
      </c>
      <c r="B276" s="444" t="s">
        <v>190</v>
      </c>
      <c r="C276" s="1017"/>
      <c r="D276" s="1017"/>
      <c r="E276" s="1017"/>
      <c r="F276" s="1017"/>
      <c r="G276" s="1017"/>
      <c r="H276" s="406"/>
      <c r="I276" s="433"/>
    </row>
    <row r="277" spans="1:9" ht="12.75">
      <c r="A277" s="289"/>
      <c r="B277" s="363" t="s">
        <v>115</v>
      </c>
      <c r="C277" s="1018"/>
      <c r="D277" s="1018"/>
      <c r="E277" s="1018"/>
      <c r="F277" s="1018"/>
      <c r="G277" s="1018"/>
      <c r="H277" s="406"/>
      <c r="I277" s="433"/>
    </row>
    <row r="278" spans="1:9" ht="12.75">
      <c r="A278" s="289"/>
      <c r="B278" s="179" t="s">
        <v>298</v>
      </c>
      <c r="C278" s="1018"/>
      <c r="D278" s="1018"/>
      <c r="E278" s="1018"/>
      <c r="F278" s="1018"/>
      <c r="G278" s="1018"/>
      <c r="H278" s="406"/>
      <c r="I278" s="549"/>
    </row>
    <row r="279" spans="1:9" ht="12.75">
      <c r="A279" s="289"/>
      <c r="B279" s="364" t="s">
        <v>284</v>
      </c>
      <c r="C279" s="1018">
        <v>40000</v>
      </c>
      <c r="D279" s="1018">
        <v>40000</v>
      </c>
      <c r="E279" s="1018">
        <v>49452</v>
      </c>
      <c r="F279" s="1018">
        <v>49452</v>
      </c>
      <c r="G279" s="1018">
        <v>49452</v>
      </c>
      <c r="H279" s="1086">
        <f aca="true" t="shared" si="4" ref="H279:H338">SUM(G279/F279)</f>
        <v>1</v>
      </c>
      <c r="I279" s="549"/>
    </row>
    <row r="280" spans="1:9" ht="12.75">
      <c r="A280" s="289"/>
      <c r="B280" s="296" t="s">
        <v>120</v>
      </c>
      <c r="C280" s="1018"/>
      <c r="D280" s="1018"/>
      <c r="E280" s="1018"/>
      <c r="F280" s="1018"/>
      <c r="G280" s="1018"/>
      <c r="H280" s="406"/>
      <c r="I280" s="433"/>
    </row>
    <row r="281" spans="1:9" ht="12.75">
      <c r="A281" s="289"/>
      <c r="B281" s="296" t="s">
        <v>293</v>
      </c>
      <c r="C281" s="1018"/>
      <c r="D281" s="1018"/>
      <c r="E281" s="1018"/>
      <c r="F281" s="1018"/>
      <c r="G281" s="1018"/>
      <c r="H281" s="406"/>
      <c r="I281" s="433"/>
    </row>
    <row r="282" spans="1:9" ht="12.75" thickBot="1">
      <c r="A282" s="289"/>
      <c r="B282" s="418" t="s">
        <v>88</v>
      </c>
      <c r="C282" s="1020"/>
      <c r="D282" s="1020"/>
      <c r="E282" s="1020"/>
      <c r="F282" s="1020"/>
      <c r="G282" s="1020"/>
      <c r="H282" s="1087"/>
      <c r="I282" s="402"/>
    </row>
    <row r="283" spans="1:9" ht="12.75" thickBot="1">
      <c r="A283" s="353"/>
      <c r="B283" s="421" t="s">
        <v>136</v>
      </c>
      <c r="C283" s="972">
        <f>SUM(C277:C282)</f>
        <v>40000</v>
      </c>
      <c r="D283" s="972">
        <f>SUM(D277:D282)</f>
        <v>40000</v>
      </c>
      <c r="E283" s="972">
        <f>SUM(E277:E282)</f>
        <v>49452</v>
      </c>
      <c r="F283" s="972">
        <f>SUM(F277:F282)</f>
        <v>49452</v>
      </c>
      <c r="G283" s="972">
        <f>SUM(G277:G282)</f>
        <v>49452</v>
      </c>
      <c r="H283" s="1088">
        <f t="shared" si="4"/>
        <v>1</v>
      </c>
      <c r="I283" s="437"/>
    </row>
    <row r="284" spans="1:9" ht="12.75">
      <c r="A284" s="73">
        <v>3209</v>
      </c>
      <c r="B284" s="373" t="s">
        <v>78</v>
      </c>
      <c r="C284" s="1017"/>
      <c r="D284" s="1017"/>
      <c r="E284" s="1017"/>
      <c r="F284" s="1017"/>
      <c r="G284" s="1017"/>
      <c r="H284" s="406"/>
      <c r="I284" s="432"/>
    </row>
    <row r="285" spans="1:9" ht="12.75">
      <c r="A285" s="73"/>
      <c r="B285" s="364" t="s">
        <v>115</v>
      </c>
      <c r="C285" s="959">
        <v>2000</v>
      </c>
      <c r="D285" s="959">
        <v>2000</v>
      </c>
      <c r="E285" s="959">
        <v>2802</v>
      </c>
      <c r="F285" s="959">
        <v>2802</v>
      </c>
      <c r="G285" s="959">
        <f>2802+240</f>
        <v>3042</v>
      </c>
      <c r="H285" s="1089">
        <f t="shared" si="4"/>
        <v>1.0856531049250535</v>
      </c>
      <c r="I285" s="407"/>
    </row>
    <row r="286" spans="1:9" ht="12.75">
      <c r="A286" s="73"/>
      <c r="B286" s="179" t="s">
        <v>298</v>
      </c>
      <c r="C286" s="959">
        <v>400</v>
      </c>
      <c r="D286" s="959">
        <v>400</v>
      </c>
      <c r="E286" s="959">
        <v>930</v>
      </c>
      <c r="F286" s="959">
        <v>930</v>
      </c>
      <c r="G286" s="959">
        <v>930</v>
      </c>
      <c r="H286" s="1086">
        <f t="shared" si="4"/>
        <v>1</v>
      </c>
      <c r="I286" s="549"/>
    </row>
    <row r="287" spans="1:9" ht="12.75">
      <c r="A287" s="73"/>
      <c r="B287" s="364" t="s">
        <v>284</v>
      </c>
      <c r="C287" s="959">
        <v>600</v>
      </c>
      <c r="D287" s="959">
        <v>600</v>
      </c>
      <c r="E287" s="959">
        <v>1413</v>
      </c>
      <c r="F287" s="959">
        <v>1413</v>
      </c>
      <c r="G287" s="959">
        <f>1413-313</f>
        <v>1100</v>
      </c>
      <c r="H287" s="1086">
        <f t="shared" si="4"/>
        <v>0.778485491861288</v>
      </c>
      <c r="I287" s="549"/>
    </row>
    <row r="288" spans="1:9" ht="12.75">
      <c r="A288" s="73"/>
      <c r="B288" s="459" t="s">
        <v>120</v>
      </c>
      <c r="C288" s="959"/>
      <c r="D288" s="959"/>
      <c r="E288" s="959"/>
      <c r="F288" s="959"/>
      <c r="G288" s="959"/>
      <c r="H288" s="1086"/>
      <c r="I288" s="448"/>
    </row>
    <row r="289" spans="1:9" ht="12.75">
      <c r="A289" s="73"/>
      <c r="B289" s="459" t="s">
        <v>293</v>
      </c>
      <c r="C289" s="959">
        <v>2000</v>
      </c>
      <c r="D289" s="959">
        <v>2000</v>
      </c>
      <c r="E289" s="959">
        <v>2100</v>
      </c>
      <c r="F289" s="959">
        <v>2100</v>
      </c>
      <c r="G289" s="959">
        <v>2100</v>
      </c>
      <c r="H289" s="1086">
        <f t="shared" si="4"/>
        <v>1</v>
      </c>
      <c r="I289" s="407"/>
    </row>
    <row r="290" spans="1:9" ht="12.75">
      <c r="A290" s="73"/>
      <c r="B290" s="418" t="s">
        <v>253</v>
      </c>
      <c r="C290" s="959"/>
      <c r="D290" s="959"/>
      <c r="E290" s="959"/>
      <c r="F290" s="959"/>
      <c r="G290" s="959">
        <v>73</v>
      </c>
      <c r="H290" s="1086"/>
      <c r="I290" s="407"/>
    </row>
    <row r="291" spans="1:9" ht="12.75" thickBot="1">
      <c r="A291" s="73"/>
      <c r="B291" s="718" t="s">
        <v>272</v>
      </c>
      <c r="C291" s="1024"/>
      <c r="D291" s="1024"/>
      <c r="E291" s="1024"/>
      <c r="F291" s="1024"/>
      <c r="G291" s="1024"/>
      <c r="H291" s="1091"/>
      <c r="I291" s="451"/>
    </row>
    <row r="292" spans="1:9" ht="12.75" thickBot="1">
      <c r="A292" s="371"/>
      <c r="B292" s="421" t="s">
        <v>136</v>
      </c>
      <c r="C292" s="972">
        <f>SUM(C285:C291)</f>
        <v>5000</v>
      </c>
      <c r="D292" s="972">
        <f>SUM(D285:D291)</f>
        <v>5000</v>
      </c>
      <c r="E292" s="972">
        <f>SUM(E285:E291)</f>
        <v>7245</v>
      </c>
      <c r="F292" s="972">
        <f>SUM(F285:F291)</f>
        <v>7245</v>
      </c>
      <c r="G292" s="972">
        <f>SUM(G285:G291)</f>
        <v>7245</v>
      </c>
      <c r="H292" s="1088">
        <f t="shared" si="4"/>
        <v>1</v>
      </c>
      <c r="I292" s="437"/>
    </row>
    <row r="293" spans="1:9" ht="12.75">
      <c r="A293" s="73">
        <v>3210</v>
      </c>
      <c r="B293" s="444" t="s">
        <v>1077</v>
      </c>
      <c r="C293" s="1017"/>
      <c r="D293" s="1017"/>
      <c r="E293" s="1017"/>
      <c r="F293" s="1017"/>
      <c r="G293" s="1017"/>
      <c r="H293" s="406"/>
      <c r="I293" s="432" t="s">
        <v>1079</v>
      </c>
    </row>
    <row r="294" spans="1:9" ht="12.75">
      <c r="A294" s="362"/>
      <c r="B294" s="363" t="s">
        <v>115</v>
      </c>
      <c r="C294" s="1018"/>
      <c r="D294" s="1018"/>
      <c r="E294" s="1018"/>
      <c r="F294" s="1018"/>
      <c r="G294" s="1018"/>
      <c r="H294" s="406"/>
      <c r="I294" s="407"/>
    </row>
    <row r="295" spans="1:9" ht="12.75">
      <c r="A295" s="362"/>
      <c r="B295" s="179" t="s">
        <v>298</v>
      </c>
      <c r="C295" s="1018"/>
      <c r="D295" s="1018"/>
      <c r="E295" s="1018"/>
      <c r="F295" s="1018"/>
      <c r="G295" s="1018"/>
      <c r="H295" s="406"/>
      <c r="I295" s="432"/>
    </row>
    <row r="296" spans="1:9" ht="12.75">
      <c r="A296" s="362"/>
      <c r="B296" s="364" t="s">
        <v>284</v>
      </c>
      <c r="C296" s="1018"/>
      <c r="D296" s="1018"/>
      <c r="E296" s="1018"/>
      <c r="F296" s="1018"/>
      <c r="G296" s="1018"/>
      <c r="H296" s="1089"/>
      <c r="I296" s="549"/>
    </row>
    <row r="297" spans="1:9" ht="12.75">
      <c r="A297" s="362"/>
      <c r="B297" s="296" t="s">
        <v>120</v>
      </c>
      <c r="C297" s="1018"/>
      <c r="D297" s="1018"/>
      <c r="E297" s="1018"/>
      <c r="F297" s="1018"/>
      <c r="G297" s="1018"/>
      <c r="H297" s="1086"/>
      <c r="I297" s="549"/>
    </row>
    <row r="298" spans="1:9" ht="12.75">
      <c r="A298" s="362"/>
      <c r="B298" s="296" t="s">
        <v>293</v>
      </c>
      <c r="C298" s="1018">
        <v>3000</v>
      </c>
      <c r="D298" s="1018">
        <v>3000</v>
      </c>
      <c r="E298" s="1018">
        <v>3000</v>
      </c>
      <c r="F298" s="1018">
        <v>3000</v>
      </c>
      <c r="G298" s="1018">
        <v>3000</v>
      </c>
      <c r="H298" s="1086">
        <f t="shared" si="4"/>
        <v>1</v>
      </c>
      <c r="I298" s="452"/>
    </row>
    <row r="299" spans="1:9" ht="12.75">
      <c r="A299" s="362"/>
      <c r="B299" s="460" t="s">
        <v>253</v>
      </c>
      <c r="C299" s="1018"/>
      <c r="D299" s="1018"/>
      <c r="E299" s="1018"/>
      <c r="F299" s="1018"/>
      <c r="G299" s="1018"/>
      <c r="H299" s="1086"/>
      <c r="I299" s="550"/>
    </row>
    <row r="300" spans="1:9" ht="12.75" thickBot="1">
      <c r="A300" s="362"/>
      <c r="B300" s="418" t="s">
        <v>272</v>
      </c>
      <c r="C300" s="1020"/>
      <c r="D300" s="1020"/>
      <c r="E300" s="1020"/>
      <c r="F300" s="1020"/>
      <c r="G300" s="1020"/>
      <c r="H300" s="1091"/>
      <c r="I300" s="402"/>
    </row>
    <row r="301" spans="1:9" ht="12.75" thickBot="1">
      <c r="A301" s="371"/>
      <c r="B301" s="421" t="s">
        <v>136</v>
      </c>
      <c r="C301" s="972">
        <f>SUM(C294:C300)</f>
        <v>3000</v>
      </c>
      <c r="D301" s="972">
        <f>SUM(D294:D300)</f>
        <v>3000</v>
      </c>
      <c r="E301" s="972">
        <f>SUM(E294:E300)</f>
        <v>3000</v>
      </c>
      <c r="F301" s="972">
        <f>SUM(F294:F300)</f>
        <v>3000</v>
      </c>
      <c r="G301" s="972">
        <f>SUM(G294:G300)</f>
        <v>3000</v>
      </c>
      <c r="H301" s="1088">
        <f t="shared" si="4"/>
        <v>1</v>
      </c>
      <c r="I301" s="437"/>
    </row>
    <row r="302" spans="1:9" ht="12.75">
      <c r="A302" s="351"/>
      <c r="B302" s="370" t="s">
        <v>92</v>
      </c>
      <c r="C302" s="1026">
        <f>SUM(C310+C318+C326+C334+C342)</f>
        <v>2467333</v>
      </c>
      <c r="D302" s="1026">
        <f>SUM(D310+D318+D326+D334+D342)</f>
        <v>2327333</v>
      </c>
      <c r="E302" s="1026">
        <f>SUM(E310+E318+E326+E334+E342)</f>
        <v>2741598</v>
      </c>
      <c r="F302" s="1026">
        <f>SUM(F310+F318+F326+F334+F342)</f>
        <v>2751598</v>
      </c>
      <c r="G302" s="1026">
        <f>SUM(G310+G318+G326+G334+G342)</f>
        <v>2766598</v>
      </c>
      <c r="H302" s="406">
        <f t="shared" si="4"/>
        <v>1.005451377708517</v>
      </c>
      <c r="I302" s="403"/>
    </row>
    <row r="303" spans="1:9" ht="12.75">
      <c r="A303" s="351">
        <v>3211</v>
      </c>
      <c r="B303" s="445" t="s">
        <v>25</v>
      </c>
      <c r="C303" s="1017"/>
      <c r="D303" s="1017"/>
      <c r="E303" s="1017"/>
      <c r="F303" s="1017"/>
      <c r="G303" s="1017"/>
      <c r="H303" s="406"/>
      <c r="I303" s="432"/>
    </row>
    <row r="304" spans="1:9" ht="12.75">
      <c r="A304" s="351"/>
      <c r="B304" s="364" t="s">
        <v>115</v>
      </c>
      <c r="C304" s="1017"/>
      <c r="D304" s="1017"/>
      <c r="E304" s="1017"/>
      <c r="F304" s="1017"/>
      <c r="G304" s="1017"/>
      <c r="H304" s="406"/>
      <c r="I304" s="407"/>
    </row>
    <row r="305" spans="1:9" ht="12.75">
      <c r="A305" s="351"/>
      <c r="B305" s="179" t="s">
        <v>298</v>
      </c>
      <c r="C305" s="1017"/>
      <c r="D305" s="1017"/>
      <c r="E305" s="1017"/>
      <c r="F305" s="1017"/>
      <c r="G305" s="1017"/>
      <c r="H305" s="1089"/>
      <c r="I305" s="1095" t="s">
        <v>1168</v>
      </c>
    </row>
    <row r="306" spans="1:9" ht="12.75">
      <c r="A306" s="351"/>
      <c r="B306" s="364" t="s">
        <v>284</v>
      </c>
      <c r="C306" s="959">
        <v>448879</v>
      </c>
      <c r="D306" s="959">
        <v>408879</v>
      </c>
      <c r="E306" s="959">
        <v>452080</v>
      </c>
      <c r="F306" s="959">
        <v>462080</v>
      </c>
      <c r="G306" s="959">
        <v>462080</v>
      </c>
      <c r="H306" s="1086">
        <f t="shared" si="4"/>
        <v>1</v>
      </c>
      <c r="I306" s="1095" t="s">
        <v>1169</v>
      </c>
    </row>
    <row r="307" spans="1:9" ht="12.75">
      <c r="A307" s="351"/>
      <c r="B307" s="459" t="s">
        <v>120</v>
      </c>
      <c r="C307" s="959"/>
      <c r="D307" s="959"/>
      <c r="E307" s="959"/>
      <c r="F307" s="959"/>
      <c r="G307" s="959"/>
      <c r="H307" s="1086"/>
      <c r="I307" s="1183" t="s">
        <v>1180</v>
      </c>
    </row>
    <row r="308" spans="1:9" ht="12.75">
      <c r="A308" s="351"/>
      <c r="B308" s="459" t="s">
        <v>293</v>
      </c>
      <c r="C308" s="1017"/>
      <c r="D308" s="1017"/>
      <c r="E308" s="1017"/>
      <c r="F308" s="1017"/>
      <c r="G308" s="1017"/>
      <c r="H308" s="1086"/>
      <c r="I308" s="550"/>
    </row>
    <row r="309" spans="1:9" ht="12.75" thickBot="1">
      <c r="A309" s="351"/>
      <c r="B309" s="418" t="s">
        <v>88</v>
      </c>
      <c r="C309" s="975"/>
      <c r="D309" s="975"/>
      <c r="E309" s="975"/>
      <c r="F309" s="975"/>
      <c r="G309" s="975"/>
      <c r="H309" s="1091"/>
      <c r="I309" s="550"/>
    </row>
    <row r="310" spans="1:9" ht="12.75" thickBot="1">
      <c r="A310" s="371"/>
      <c r="B310" s="421" t="s">
        <v>136</v>
      </c>
      <c r="C310" s="972">
        <f>SUM(C306:C309)</f>
        <v>448879</v>
      </c>
      <c r="D310" s="972">
        <f>SUM(D306:D309)</f>
        <v>408879</v>
      </c>
      <c r="E310" s="972">
        <f>SUM(E306:E309)</f>
        <v>452080</v>
      </c>
      <c r="F310" s="972">
        <f>SUM(F306:F309)</f>
        <v>462080</v>
      </c>
      <c r="G310" s="972">
        <f>SUM(G306:G309)</f>
        <v>462080</v>
      </c>
      <c r="H310" s="1088">
        <f t="shared" si="4"/>
        <v>1</v>
      </c>
      <c r="I310" s="437"/>
    </row>
    <row r="311" spans="1:9" ht="12.75">
      <c r="A311" s="351">
        <v>3212</v>
      </c>
      <c r="B311" s="445" t="s">
        <v>427</v>
      </c>
      <c r="C311" s="1017"/>
      <c r="D311" s="1017"/>
      <c r="E311" s="1017"/>
      <c r="F311" s="1017"/>
      <c r="G311" s="1017"/>
      <c r="H311" s="406"/>
      <c r="I311" s="432"/>
    </row>
    <row r="312" spans="1:9" ht="12.75">
      <c r="A312" s="351"/>
      <c r="B312" s="364" t="s">
        <v>115</v>
      </c>
      <c r="C312" s="959"/>
      <c r="D312" s="959"/>
      <c r="E312" s="959"/>
      <c r="F312" s="959"/>
      <c r="G312" s="959"/>
      <c r="H312" s="406"/>
      <c r="I312" s="407"/>
    </row>
    <row r="313" spans="1:9" ht="12.75">
      <c r="A313" s="351"/>
      <c r="B313" s="179" t="s">
        <v>298</v>
      </c>
      <c r="C313" s="959"/>
      <c r="D313" s="959"/>
      <c r="E313" s="959"/>
      <c r="F313" s="959"/>
      <c r="G313" s="959"/>
      <c r="H313" s="1089"/>
      <c r="I313" s="550" t="s">
        <v>1168</v>
      </c>
    </row>
    <row r="314" spans="1:9" ht="12.75">
      <c r="A314" s="351"/>
      <c r="B314" s="364" t="s">
        <v>284</v>
      </c>
      <c r="C314" s="959">
        <v>764270</v>
      </c>
      <c r="D314" s="959">
        <v>764270</v>
      </c>
      <c r="E314" s="959">
        <v>976524</v>
      </c>
      <c r="F314" s="959">
        <v>976524</v>
      </c>
      <c r="G314" s="959">
        <v>976524</v>
      </c>
      <c r="H314" s="1086">
        <f t="shared" si="4"/>
        <v>1</v>
      </c>
      <c r="I314" s="550" t="s">
        <v>1169</v>
      </c>
    </row>
    <row r="315" spans="1:9" ht="12.75">
      <c r="A315" s="351"/>
      <c r="B315" s="459" t="s">
        <v>120</v>
      </c>
      <c r="C315" s="959"/>
      <c r="D315" s="959"/>
      <c r="E315" s="959"/>
      <c r="F315" s="959"/>
      <c r="G315" s="959"/>
      <c r="H315" s="1086"/>
      <c r="I315" s="1183" t="s">
        <v>1180</v>
      </c>
    </row>
    <row r="316" spans="1:9" ht="12.75">
      <c r="A316" s="351"/>
      <c r="B316" s="459" t="s">
        <v>293</v>
      </c>
      <c r="C316" s="1017"/>
      <c r="D316" s="1017"/>
      <c r="E316" s="1017"/>
      <c r="F316" s="1017"/>
      <c r="G316" s="1017"/>
      <c r="H316" s="1086"/>
      <c r="I316" s="448"/>
    </row>
    <row r="317" spans="1:9" ht="12.75" thickBot="1">
      <c r="A317" s="351"/>
      <c r="B317" s="418" t="s">
        <v>88</v>
      </c>
      <c r="C317" s="975"/>
      <c r="D317" s="975"/>
      <c r="E317" s="975"/>
      <c r="F317" s="975"/>
      <c r="G317" s="975"/>
      <c r="H317" s="1091"/>
      <c r="I317" s="435"/>
    </row>
    <row r="318" spans="1:9" ht="12.75" thickBot="1">
      <c r="A318" s="371"/>
      <c r="B318" s="421" t="s">
        <v>136</v>
      </c>
      <c r="C318" s="972">
        <f>SUM(C312:C317)</f>
        <v>764270</v>
      </c>
      <c r="D318" s="972">
        <f>SUM(D312:D317)</f>
        <v>764270</v>
      </c>
      <c r="E318" s="972">
        <f>SUM(E312:E317)</f>
        <v>976524</v>
      </c>
      <c r="F318" s="972">
        <f>SUM(F312:F317)</f>
        <v>976524</v>
      </c>
      <c r="G318" s="972">
        <f>SUM(G312:G317)</f>
        <v>976524</v>
      </c>
      <c r="H318" s="1088">
        <f t="shared" si="4"/>
        <v>1</v>
      </c>
      <c r="I318" s="437"/>
    </row>
    <row r="319" spans="1:9" ht="12.75">
      <c r="A319" s="351">
        <v>3213</v>
      </c>
      <c r="B319" s="373" t="s">
        <v>348</v>
      </c>
      <c r="C319" s="1017"/>
      <c r="D319" s="1017"/>
      <c r="E319" s="1017"/>
      <c r="F319" s="1017"/>
      <c r="G319" s="1017"/>
      <c r="H319" s="406"/>
      <c r="I319" s="403"/>
    </row>
    <row r="320" spans="1:9" ht="12.75">
      <c r="A320" s="351"/>
      <c r="B320" s="364" t="s">
        <v>115</v>
      </c>
      <c r="C320" s="1017"/>
      <c r="D320" s="1017"/>
      <c r="E320" s="1017"/>
      <c r="F320" s="1017"/>
      <c r="G320" s="1017"/>
      <c r="H320" s="1089"/>
      <c r="I320" s="407"/>
    </row>
    <row r="321" spans="1:9" ht="12.75">
      <c r="A321" s="351"/>
      <c r="B321" s="179" t="s">
        <v>298</v>
      </c>
      <c r="C321" s="1017"/>
      <c r="D321" s="1017"/>
      <c r="E321" s="1017"/>
      <c r="F321" s="1017"/>
      <c r="G321" s="1017"/>
      <c r="H321" s="1086"/>
      <c r="I321" s="550"/>
    </row>
    <row r="322" spans="1:9" ht="12.75">
      <c r="A322" s="351"/>
      <c r="B322" s="364" t="s">
        <v>284</v>
      </c>
      <c r="C322" s="959">
        <v>506300</v>
      </c>
      <c r="D322" s="959">
        <v>506300</v>
      </c>
      <c r="E322" s="959">
        <v>525972</v>
      </c>
      <c r="F322" s="959">
        <v>525972</v>
      </c>
      <c r="G322" s="959">
        <v>525972</v>
      </c>
      <c r="H322" s="1086">
        <f t="shared" si="4"/>
        <v>1</v>
      </c>
      <c r="I322" s="448"/>
    </row>
    <row r="323" spans="1:9" ht="12.75">
      <c r="A323" s="351"/>
      <c r="B323" s="459" t="s">
        <v>120</v>
      </c>
      <c r="C323" s="959"/>
      <c r="D323" s="959"/>
      <c r="E323" s="959"/>
      <c r="F323" s="959"/>
      <c r="G323" s="959"/>
      <c r="H323" s="1086"/>
      <c r="I323" s="448"/>
    </row>
    <row r="324" spans="1:9" ht="12.75">
      <c r="A324" s="351"/>
      <c r="B324" s="459" t="s">
        <v>293</v>
      </c>
      <c r="C324" s="1017"/>
      <c r="D324" s="1017"/>
      <c r="E324" s="1017"/>
      <c r="F324" s="1017"/>
      <c r="G324" s="1017"/>
      <c r="H324" s="1086"/>
      <c r="I324" s="407"/>
    </row>
    <row r="325" spans="1:9" ht="12.75" thickBot="1">
      <c r="A325" s="351"/>
      <c r="B325" s="418" t="s">
        <v>88</v>
      </c>
      <c r="C325" s="975"/>
      <c r="D325" s="975"/>
      <c r="E325" s="975"/>
      <c r="F325" s="975"/>
      <c r="G325" s="975"/>
      <c r="H325" s="1091"/>
      <c r="I325" s="435"/>
    </row>
    <row r="326" spans="1:9" ht="12.75" thickBot="1">
      <c r="A326" s="371"/>
      <c r="B326" s="421" t="s">
        <v>136</v>
      </c>
      <c r="C326" s="972">
        <f>SUM(C322:C325)</f>
        <v>506300</v>
      </c>
      <c r="D326" s="972">
        <f>SUM(D322:D325)</f>
        <v>506300</v>
      </c>
      <c r="E326" s="972">
        <f>SUM(E322:E325)</f>
        <v>525972</v>
      </c>
      <c r="F326" s="972">
        <f>SUM(F322:F325)</f>
        <v>525972</v>
      </c>
      <c r="G326" s="972">
        <f>SUM(G322:G325)</f>
        <v>525972</v>
      </c>
      <c r="H326" s="1088">
        <f t="shared" si="4"/>
        <v>1</v>
      </c>
      <c r="I326" s="451"/>
    </row>
    <row r="327" spans="1:9" ht="12.75">
      <c r="A327" s="351">
        <v>3214</v>
      </c>
      <c r="B327" s="373" t="s">
        <v>1053</v>
      </c>
      <c r="C327" s="1017"/>
      <c r="D327" s="1017"/>
      <c r="E327" s="1017"/>
      <c r="F327" s="1017"/>
      <c r="G327" s="1017"/>
      <c r="H327" s="406"/>
      <c r="I327" s="403"/>
    </row>
    <row r="328" spans="1:9" ht="12.75">
      <c r="A328" s="351"/>
      <c r="B328" s="364" t="s">
        <v>115</v>
      </c>
      <c r="C328" s="1017"/>
      <c r="D328" s="1017"/>
      <c r="E328" s="1017"/>
      <c r="F328" s="1017"/>
      <c r="G328" s="1017"/>
      <c r="H328" s="406"/>
      <c r="I328" s="407"/>
    </row>
    <row r="329" spans="1:9" ht="12.75">
      <c r="A329" s="351"/>
      <c r="B329" s="179" t="s">
        <v>298</v>
      </c>
      <c r="C329" s="1017"/>
      <c r="D329" s="1017"/>
      <c r="E329" s="1017"/>
      <c r="F329" s="1017"/>
      <c r="G329" s="1017"/>
      <c r="H329" s="406"/>
      <c r="I329" s="407"/>
    </row>
    <row r="330" spans="1:9" ht="12.75">
      <c r="A330" s="351"/>
      <c r="B330" s="364" t="s">
        <v>284</v>
      </c>
      <c r="C330" s="959"/>
      <c r="D330" s="959"/>
      <c r="E330" s="959"/>
      <c r="F330" s="959"/>
      <c r="G330" s="959"/>
      <c r="H330" s="1089"/>
      <c r="I330" s="550"/>
    </row>
    <row r="331" spans="1:9" ht="12.75">
      <c r="A331" s="351"/>
      <c r="B331" s="459" t="s">
        <v>120</v>
      </c>
      <c r="C331" s="959"/>
      <c r="D331" s="959"/>
      <c r="E331" s="959"/>
      <c r="F331" s="959"/>
      <c r="G331" s="959"/>
      <c r="H331" s="1086"/>
      <c r="I331" s="448"/>
    </row>
    <row r="332" spans="1:9" ht="12.75">
      <c r="A332" s="351"/>
      <c r="B332" s="460" t="s">
        <v>253</v>
      </c>
      <c r="C332" s="959">
        <v>38100</v>
      </c>
      <c r="D332" s="959">
        <v>38100</v>
      </c>
      <c r="E332" s="959">
        <v>38100</v>
      </c>
      <c r="F332" s="959">
        <v>38100</v>
      </c>
      <c r="G332" s="959">
        <v>38100</v>
      </c>
      <c r="H332" s="1086">
        <f t="shared" si="4"/>
        <v>1</v>
      </c>
      <c r="I332" s="710"/>
    </row>
    <row r="333" spans="1:9" ht="12.75" thickBot="1">
      <c r="A333" s="351"/>
      <c r="B333" s="728" t="s">
        <v>252</v>
      </c>
      <c r="C333" s="958">
        <v>139700</v>
      </c>
      <c r="D333" s="958">
        <v>139700</v>
      </c>
      <c r="E333" s="958">
        <v>139700</v>
      </c>
      <c r="F333" s="958">
        <v>139700</v>
      </c>
      <c r="G333" s="958">
        <v>139700</v>
      </c>
      <c r="H333" s="1091">
        <f t="shared" si="4"/>
        <v>1</v>
      </c>
      <c r="I333" s="729"/>
    </row>
    <row r="334" spans="1:9" ht="12.75" thickBot="1">
      <c r="A334" s="371"/>
      <c r="B334" s="421" t="s">
        <v>136</v>
      </c>
      <c r="C334" s="972">
        <f>SUM(C330:C333)</f>
        <v>177800</v>
      </c>
      <c r="D334" s="972">
        <f>SUM(D330:D333)</f>
        <v>177800</v>
      </c>
      <c r="E334" s="972">
        <f>SUM(E330:E333)</f>
        <v>177800</v>
      </c>
      <c r="F334" s="972">
        <f>SUM(F330:F333)</f>
        <v>177800</v>
      </c>
      <c r="G334" s="972">
        <f>SUM(G330:G333)</f>
        <v>177800</v>
      </c>
      <c r="H334" s="1088">
        <f t="shared" si="4"/>
        <v>1</v>
      </c>
      <c r="I334" s="437"/>
    </row>
    <row r="335" spans="1:9" ht="12.75">
      <c r="A335" s="408">
        <v>3216</v>
      </c>
      <c r="B335" s="441" t="s">
        <v>35</v>
      </c>
      <c r="C335" s="1009"/>
      <c r="D335" s="1009"/>
      <c r="E335" s="1009"/>
      <c r="F335" s="1009"/>
      <c r="G335" s="1009"/>
      <c r="H335" s="406"/>
      <c r="I335" s="462"/>
    </row>
    <row r="336" spans="1:9" ht="12.75">
      <c r="A336" s="408"/>
      <c r="B336" s="416" t="s">
        <v>115</v>
      </c>
      <c r="C336" s="1009"/>
      <c r="D336" s="1009"/>
      <c r="E336" s="1009"/>
      <c r="F336" s="1009"/>
      <c r="G336" s="1009"/>
      <c r="H336" s="406"/>
      <c r="I336" s="463"/>
    </row>
    <row r="337" spans="1:9" ht="12.75">
      <c r="A337" s="408"/>
      <c r="B337" s="415" t="s">
        <v>298</v>
      </c>
      <c r="C337" s="1009"/>
      <c r="D337" s="1009"/>
      <c r="E337" s="1009"/>
      <c r="F337" s="1009"/>
      <c r="G337" s="1009"/>
      <c r="H337" s="1089"/>
      <c r="I337" s="1178" t="s">
        <v>1079</v>
      </c>
    </row>
    <row r="338" spans="1:9" ht="12.75">
      <c r="A338" s="408"/>
      <c r="B338" s="416" t="s">
        <v>284</v>
      </c>
      <c r="C338" s="1008">
        <v>570084</v>
      </c>
      <c r="D338" s="1008">
        <v>470084</v>
      </c>
      <c r="E338" s="1008">
        <v>609222</v>
      </c>
      <c r="F338" s="1008">
        <v>609222</v>
      </c>
      <c r="G338" s="1008">
        <v>624222</v>
      </c>
      <c r="H338" s="1086">
        <f t="shared" si="4"/>
        <v>1.0246215665225484</v>
      </c>
      <c r="I338" s="678" t="s">
        <v>1165</v>
      </c>
    </row>
    <row r="339" spans="1:9" ht="12.75">
      <c r="A339" s="408"/>
      <c r="B339" s="465" t="s">
        <v>120</v>
      </c>
      <c r="C339" s="1008"/>
      <c r="D339" s="1008"/>
      <c r="E339" s="1008"/>
      <c r="F339" s="1008"/>
      <c r="G339" s="1008"/>
      <c r="H339" s="1086"/>
      <c r="I339" s="553"/>
    </row>
    <row r="340" spans="1:9" ht="12.75">
      <c r="A340" s="408"/>
      <c r="B340" s="459" t="s">
        <v>293</v>
      </c>
      <c r="C340" s="1008"/>
      <c r="D340" s="1008"/>
      <c r="E340" s="1008"/>
      <c r="F340" s="1008"/>
      <c r="G340" s="1008"/>
      <c r="H340" s="1086"/>
      <c r="I340" s="1183" t="s">
        <v>1180</v>
      </c>
    </row>
    <row r="341" spans="1:9" ht="12.75" thickBot="1">
      <c r="A341" s="408"/>
      <c r="B341" s="418" t="s">
        <v>253</v>
      </c>
      <c r="C341" s="1023"/>
      <c r="D341" s="1023"/>
      <c r="E341" s="1023"/>
      <c r="F341" s="1023"/>
      <c r="G341" s="1023"/>
      <c r="H341" s="1091"/>
      <c r="I341" s="466"/>
    </row>
    <row r="342" spans="1:9" ht="12.75" thickBot="1">
      <c r="A342" s="429"/>
      <c r="B342" s="421" t="s">
        <v>136</v>
      </c>
      <c r="C342" s="974">
        <f>SUM(C338:C341)</f>
        <v>570084</v>
      </c>
      <c r="D342" s="974">
        <f>SUM(D338:D341)</f>
        <v>470084</v>
      </c>
      <c r="E342" s="974">
        <f>SUM(E338:E341)</f>
        <v>609222</v>
      </c>
      <c r="F342" s="974">
        <f>SUM(F338:F341)</f>
        <v>609222</v>
      </c>
      <c r="G342" s="974">
        <f>SUM(G338:G341)</f>
        <v>624222</v>
      </c>
      <c r="H342" s="1088">
        <f aca="true" t="shared" si="5" ref="H342:H403">SUM(G342/F342)</f>
        <v>1.0246215665225484</v>
      </c>
      <c r="I342" s="467"/>
    </row>
    <row r="343" spans="1:9" ht="12.75" thickBot="1">
      <c r="A343" s="351">
        <v>3220</v>
      </c>
      <c r="B343" s="367" t="s">
        <v>370</v>
      </c>
      <c r="C343" s="972">
        <f>SUM(C351+C359)</f>
        <v>25000</v>
      </c>
      <c r="D343" s="972">
        <f>SUM(D351+D359)</f>
        <v>25000</v>
      </c>
      <c r="E343" s="972">
        <f>SUM(E351+E359)</f>
        <v>20098</v>
      </c>
      <c r="F343" s="972">
        <f>SUM(F351+F359)</f>
        <v>20098</v>
      </c>
      <c r="G343" s="972">
        <f>SUM(G351+G359)</f>
        <v>20098</v>
      </c>
      <c r="H343" s="1088">
        <f t="shared" si="5"/>
        <v>1</v>
      </c>
      <c r="I343" s="437"/>
    </row>
    <row r="344" spans="1:9" ht="12.75">
      <c r="A344" s="351">
        <v>3223</v>
      </c>
      <c r="B344" s="373" t="s">
        <v>81</v>
      </c>
      <c r="C344" s="1017"/>
      <c r="D344" s="1017"/>
      <c r="E344" s="1017"/>
      <c r="F344" s="1017"/>
      <c r="G344" s="1017"/>
      <c r="H344" s="406"/>
      <c r="I344" s="403"/>
    </row>
    <row r="345" spans="1:9" ht="12.75">
      <c r="A345" s="351"/>
      <c r="B345" s="363" t="s">
        <v>115</v>
      </c>
      <c r="C345" s="959"/>
      <c r="D345" s="959"/>
      <c r="E345" s="959"/>
      <c r="F345" s="959"/>
      <c r="G345" s="959"/>
      <c r="H345" s="406"/>
      <c r="I345" s="432"/>
    </row>
    <row r="346" spans="1:9" ht="12.75">
      <c r="A346" s="351"/>
      <c r="B346" s="179" t="s">
        <v>298</v>
      </c>
      <c r="C346" s="959"/>
      <c r="D346" s="959"/>
      <c r="E346" s="959"/>
      <c r="F346" s="959"/>
      <c r="G346" s="959"/>
      <c r="H346" s="406"/>
      <c r="I346" s="549"/>
    </row>
    <row r="347" spans="1:9" ht="12.75">
      <c r="A347" s="351"/>
      <c r="B347" s="364" t="s">
        <v>284</v>
      </c>
      <c r="C347" s="959">
        <v>5500</v>
      </c>
      <c r="D347" s="959">
        <v>5500</v>
      </c>
      <c r="E347" s="959">
        <v>3598</v>
      </c>
      <c r="F347" s="959">
        <v>3598</v>
      </c>
      <c r="G347" s="959">
        <f>3598-1931</f>
        <v>1667</v>
      </c>
      <c r="H347" s="1086">
        <f t="shared" si="5"/>
        <v>0.4633129516397999</v>
      </c>
      <c r="I347" s="448"/>
    </row>
    <row r="348" spans="1:9" ht="12.75">
      <c r="A348" s="351"/>
      <c r="B348" s="296" t="s">
        <v>120</v>
      </c>
      <c r="C348" s="959"/>
      <c r="D348" s="959"/>
      <c r="E348" s="959"/>
      <c r="F348" s="959"/>
      <c r="G348" s="959"/>
      <c r="H348" s="406"/>
      <c r="I348" s="448"/>
    </row>
    <row r="349" spans="1:9" ht="12.75">
      <c r="A349" s="351"/>
      <c r="B349" s="296" t="s">
        <v>293</v>
      </c>
      <c r="C349" s="1017"/>
      <c r="D349" s="1017"/>
      <c r="E349" s="1017"/>
      <c r="F349" s="1017"/>
      <c r="G349" s="959">
        <v>1931</v>
      </c>
      <c r="H349" s="406"/>
      <c r="I349" s="407"/>
    </row>
    <row r="350" spans="1:9" ht="12.75" thickBot="1">
      <c r="A350" s="351"/>
      <c r="B350" s="418" t="s">
        <v>272</v>
      </c>
      <c r="C350" s="1024">
        <v>4500</v>
      </c>
      <c r="D350" s="1024">
        <v>4500</v>
      </c>
      <c r="E350" s="1024">
        <v>1500</v>
      </c>
      <c r="F350" s="1024">
        <v>1500</v>
      </c>
      <c r="G350" s="1024">
        <v>1500</v>
      </c>
      <c r="H350" s="1090">
        <f t="shared" si="5"/>
        <v>1</v>
      </c>
      <c r="I350" s="435"/>
    </row>
    <row r="351" spans="1:9" ht="12.75" thickBot="1">
      <c r="A351" s="371"/>
      <c r="B351" s="421" t="s">
        <v>136</v>
      </c>
      <c r="C351" s="972">
        <f>SUM(C345:C350)</f>
        <v>10000</v>
      </c>
      <c r="D351" s="972">
        <f>SUM(D345:D350)</f>
        <v>10000</v>
      </c>
      <c r="E351" s="972">
        <f>SUM(E345:E350)</f>
        <v>5098</v>
      </c>
      <c r="F351" s="972">
        <f>SUM(F345:F350)</f>
        <v>5098</v>
      </c>
      <c r="G351" s="972">
        <f>SUM(G345:G350)</f>
        <v>5098</v>
      </c>
      <c r="H351" s="1088">
        <f t="shared" si="5"/>
        <v>1</v>
      </c>
      <c r="I351" s="437"/>
    </row>
    <row r="352" spans="1:9" ht="12.75">
      <c r="A352" s="351">
        <v>3224</v>
      </c>
      <c r="B352" s="373" t="s">
        <v>428</v>
      </c>
      <c r="C352" s="1017"/>
      <c r="D352" s="1017"/>
      <c r="E352" s="1017"/>
      <c r="F352" s="1017"/>
      <c r="G352" s="1017"/>
      <c r="H352" s="406"/>
      <c r="I352" s="403" t="s">
        <v>1085</v>
      </c>
    </row>
    <row r="353" spans="1:9" ht="12.75">
      <c r="A353" s="351"/>
      <c r="B353" s="363" t="s">
        <v>115</v>
      </c>
      <c r="C353" s="959"/>
      <c r="D353" s="959"/>
      <c r="E353" s="959"/>
      <c r="F353" s="959"/>
      <c r="G353" s="959"/>
      <c r="H353" s="406"/>
      <c r="I353" s="432"/>
    </row>
    <row r="354" spans="1:9" ht="12.75">
      <c r="A354" s="351"/>
      <c r="B354" s="179" t="s">
        <v>298</v>
      </c>
      <c r="C354" s="959"/>
      <c r="D354" s="959"/>
      <c r="E354" s="959"/>
      <c r="F354" s="959"/>
      <c r="G354" s="959"/>
      <c r="H354" s="406"/>
      <c r="I354" s="549"/>
    </row>
    <row r="355" spans="1:9" ht="12.75">
      <c r="A355" s="351"/>
      <c r="B355" s="364" t="s">
        <v>284</v>
      </c>
      <c r="C355" s="959"/>
      <c r="D355" s="959"/>
      <c r="E355" s="959"/>
      <c r="F355" s="959"/>
      <c r="G355" s="959"/>
      <c r="H355" s="406"/>
      <c r="I355" s="710"/>
    </row>
    <row r="356" spans="1:9" ht="12.75">
      <c r="A356" s="351"/>
      <c r="B356" s="296" t="s">
        <v>120</v>
      </c>
      <c r="C356" s="959"/>
      <c r="D356" s="959"/>
      <c r="E356" s="959"/>
      <c r="F356" s="959"/>
      <c r="G356" s="959"/>
      <c r="H356" s="406"/>
      <c r="I356" s="550"/>
    </row>
    <row r="357" spans="1:9" ht="12.75">
      <c r="A357" s="351"/>
      <c r="B357" s="296" t="s">
        <v>293</v>
      </c>
      <c r="C357" s="959">
        <v>15000</v>
      </c>
      <c r="D357" s="959">
        <v>15000</v>
      </c>
      <c r="E357" s="959">
        <v>15000</v>
      </c>
      <c r="F357" s="959">
        <v>15000</v>
      </c>
      <c r="G357" s="959">
        <v>15000</v>
      </c>
      <c r="H357" s="1086">
        <f t="shared" si="5"/>
        <v>1</v>
      </c>
      <c r="I357" s="407"/>
    </row>
    <row r="358" spans="1:9" ht="12.75" thickBot="1">
      <c r="A358" s="351"/>
      <c r="B358" s="418" t="s">
        <v>88</v>
      </c>
      <c r="C358" s="1024"/>
      <c r="D358" s="1024"/>
      <c r="E358" s="1024"/>
      <c r="F358" s="1024"/>
      <c r="G358" s="1024"/>
      <c r="H358" s="1087"/>
      <c r="I358" s="435"/>
    </row>
    <row r="359" spans="1:9" ht="12.75" thickBot="1">
      <c r="A359" s="371"/>
      <c r="B359" s="421" t="s">
        <v>136</v>
      </c>
      <c r="C359" s="972">
        <f>SUM(C353:C358)</f>
        <v>15000</v>
      </c>
      <c r="D359" s="972">
        <f>SUM(D353:D358)</f>
        <v>15000</v>
      </c>
      <c r="E359" s="972">
        <f>SUM(E353:E358)</f>
        <v>15000</v>
      </c>
      <c r="F359" s="972">
        <f>SUM(F353:F358)</f>
        <v>15000</v>
      </c>
      <c r="G359" s="972">
        <f>SUM(G353:G358)</f>
        <v>15000</v>
      </c>
      <c r="H359" s="1088">
        <f t="shared" si="5"/>
        <v>1</v>
      </c>
      <c r="I359" s="437"/>
    </row>
    <row r="360" spans="1:9" ht="12" customHeight="1" thickBot="1">
      <c r="A360" s="351">
        <v>3300</v>
      </c>
      <c r="B360" s="457" t="s">
        <v>53</v>
      </c>
      <c r="C360" s="972">
        <f>SUM(C368+C376+C403+C412+C421+C429+C437+C445+C461+C495+C503+C511+C559+C567+C576+C584+C592+C600+C608+C616+C624+C632+C648+C657+C665+C673+C681+C689+C697+C705+C453+C469+C477+C486+C519+C527+C535+C543+C640)</f>
        <v>636748</v>
      </c>
      <c r="D360" s="972">
        <f>SUM(D368+D376+D403+D412+D421+D429+D437+D445+D461+D495+D503+D511+D559+D567+D576+D584+D592+D600+D608+D616+D624+D632+D648+D657+D665+D673+D681+D689+D697+D705+D453+D469+D477+D486+D519+D527+D535+D543+D640+D385+D551)</f>
        <v>1071248</v>
      </c>
      <c r="E360" s="972">
        <f>SUM(E368+E376+E403+E412+E421+E429+E437+E445+E461+E495+E503+E511+E559+E567+E576+E584+E592+E600+E608+E616+E624+E632+E648+E657+E665+E673+E681+E689+E697+E705+E453+E469+E477+E486+E519+E527+E535+E543+E640+E385+E551)</f>
        <v>1102872</v>
      </c>
      <c r="F360" s="972">
        <f>SUM(F368+F376+F403+F412+F421+F429+F437+F445+F461+F495+F503+F511+F559+F567+F576+F584+F592+F600+F608+F616+F624+F632+F648+F657+F665+F673+F681+F689+F697+F705+F453+F469+F477+F486+F519+F527+F535+F543+F640+F385+F551)</f>
        <v>1056872</v>
      </c>
      <c r="G360" s="972">
        <f>SUM(G368+G376+G403+G412+G421+G429+G437+G445+G461+G495+G503+G511+G559+G567+G576+G584+G592+G600+G608+G616+G624+G632+G648+G657+G665+G673+G681+G689+G697+G705+G453+G469+G477+G486+G519+G527+G535+G543+G640+G385+G551)</f>
        <v>932431</v>
      </c>
      <c r="H360" s="1088">
        <f t="shared" si="5"/>
        <v>0.8822553724575919</v>
      </c>
      <c r="I360" s="468"/>
    </row>
    <row r="361" spans="1:9" ht="12" customHeight="1">
      <c r="A361" s="351">
        <v>3301</v>
      </c>
      <c r="B361" s="374" t="s">
        <v>150</v>
      </c>
      <c r="C361" s="1017"/>
      <c r="D361" s="1017"/>
      <c r="E361" s="1017"/>
      <c r="F361" s="1017"/>
      <c r="G361" s="1017"/>
      <c r="H361" s="406"/>
      <c r="I361" s="403" t="s">
        <v>1091</v>
      </c>
    </row>
    <row r="362" spans="1:9" ht="12" customHeight="1">
      <c r="A362" s="73"/>
      <c r="B362" s="363" t="s">
        <v>115</v>
      </c>
      <c r="C362" s="959">
        <v>1000</v>
      </c>
      <c r="D362" s="959">
        <v>1000</v>
      </c>
      <c r="E362" s="959">
        <v>1497</v>
      </c>
      <c r="F362" s="959">
        <v>1497</v>
      </c>
      <c r="G362" s="959">
        <v>1497</v>
      </c>
      <c r="H362" s="1089">
        <f t="shared" si="5"/>
        <v>1</v>
      </c>
      <c r="I362" s="1105" t="s">
        <v>1090</v>
      </c>
    </row>
    <row r="363" spans="1:9" ht="12" customHeight="1">
      <c r="A363" s="73"/>
      <c r="B363" s="179" t="s">
        <v>298</v>
      </c>
      <c r="C363" s="959">
        <v>300</v>
      </c>
      <c r="D363" s="959">
        <v>300</v>
      </c>
      <c r="E363" s="959">
        <v>393</v>
      </c>
      <c r="F363" s="959">
        <v>393</v>
      </c>
      <c r="G363" s="959">
        <v>393</v>
      </c>
      <c r="H363" s="1086">
        <f t="shared" si="5"/>
        <v>1</v>
      </c>
      <c r="I363" s="448"/>
    </row>
    <row r="364" spans="1:9" ht="12" customHeight="1">
      <c r="A364" s="351"/>
      <c r="B364" s="364" t="s">
        <v>284</v>
      </c>
      <c r="C364" s="1018">
        <v>6200</v>
      </c>
      <c r="D364" s="1018">
        <v>6200</v>
      </c>
      <c r="E364" s="1018">
        <v>9300</v>
      </c>
      <c r="F364" s="1018">
        <v>9300</v>
      </c>
      <c r="G364" s="1018">
        <v>9300</v>
      </c>
      <c r="H364" s="1086">
        <f t="shared" si="5"/>
        <v>1</v>
      </c>
      <c r="I364" s="448"/>
    </row>
    <row r="365" spans="1:9" ht="12" customHeight="1">
      <c r="A365" s="351"/>
      <c r="B365" s="296" t="s">
        <v>120</v>
      </c>
      <c r="C365" s="1018"/>
      <c r="D365" s="1018"/>
      <c r="E365" s="1018"/>
      <c r="F365" s="1018"/>
      <c r="G365" s="1018"/>
      <c r="H365" s="1086"/>
      <c r="I365" s="448"/>
    </row>
    <row r="366" spans="1:9" ht="12" customHeight="1">
      <c r="A366" s="73"/>
      <c r="B366" s="296" t="s">
        <v>293</v>
      </c>
      <c r="C366" s="959">
        <v>2500</v>
      </c>
      <c r="D366" s="959">
        <v>2500</v>
      </c>
      <c r="E366" s="959">
        <v>2500</v>
      </c>
      <c r="F366" s="959">
        <v>2500</v>
      </c>
      <c r="G366" s="959">
        <v>2500</v>
      </c>
      <c r="H366" s="1086">
        <f t="shared" si="5"/>
        <v>1</v>
      </c>
      <c r="I366" s="434"/>
    </row>
    <row r="367" spans="1:9" ht="12" customHeight="1" thickBot="1">
      <c r="A367" s="73"/>
      <c r="B367" s="418" t="s">
        <v>272</v>
      </c>
      <c r="C367" s="1024">
        <v>3000</v>
      </c>
      <c r="D367" s="1024">
        <v>3000</v>
      </c>
      <c r="E367" s="1024">
        <v>3200</v>
      </c>
      <c r="F367" s="1024">
        <v>3200</v>
      </c>
      <c r="G367" s="1024">
        <v>3200</v>
      </c>
      <c r="H367" s="1091">
        <f t="shared" si="5"/>
        <v>1</v>
      </c>
      <c r="I367" s="469"/>
    </row>
    <row r="368" spans="1:9" ht="13.5" customHeight="1" thickBot="1">
      <c r="A368" s="371"/>
      <c r="B368" s="421" t="s">
        <v>136</v>
      </c>
      <c r="C368" s="972">
        <f>SUM(C362:C367)</f>
        <v>13000</v>
      </c>
      <c r="D368" s="972">
        <f>SUM(D362:D367)</f>
        <v>13000</v>
      </c>
      <c r="E368" s="972">
        <f>SUM(E362:E367)</f>
        <v>16890</v>
      </c>
      <c r="F368" s="972">
        <f>SUM(F362:F367)</f>
        <v>16890</v>
      </c>
      <c r="G368" s="972">
        <f>SUM(G362:G367)</f>
        <v>16890</v>
      </c>
      <c r="H368" s="1240">
        <f t="shared" si="5"/>
        <v>1</v>
      </c>
      <c r="I368" s="437"/>
    </row>
    <row r="369" spans="1:9" ht="12.75">
      <c r="A369" s="351">
        <v>3302</v>
      </c>
      <c r="B369" s="374" t="s">
        <v>383</v>
      </c>
      <c r="C369" s="1017"/>
      <c r="D369" s="1017"/>
      <c r="E369" s="1017"/>
      <c r="F369" s="1017"/>
      <c r="G369" s="1017"/>
      <c r="H369" s="406"/>
      <c r="I369" s="432"/>
    </row>
    <row r="370" spans="1:9" ht="12.75">
      <c r="A370" s="73"/>
      <c r="B370" s="363" t="s">
        <v>115</v>
      </c>
      <c r="C370" s="1017"/>
      <c r="D370" s="1017"/>
      <c r="E370" s="1017"/>
      <c r="F370" s="1017"/>
      <c r="G370" s="1017"/>
      <c r="H370" s="406"/>
      <c r="I370" s="433"/>
    </row>
    <row r="371" spans="1:9" ht="12.75">
      <c r="A371" s="73"/>
      <c r="B371" s="179" t="s">
        <v>298</v>
      </c>
      <c r="C371" s="959"/>
      <c r="D371" s="959"/>
      <c r="E371" s="959"/>
      <c r="F371" s="959"/>
      <c r="G371" s="959"/>
      <c r="H371" s="406"/>
      <c r="I371" s="433" t="s">
        <v>1172</v>
      </c>
    </row>
    <row r="372" spans="1:9" ht="12.75">
      <c r="A372" s="351"/>
      <c r="B372" s="364" t="s">
        <v>284</v>
      </c>
      <c r="C372" s="1018">
        <v>267800</v>
      </c>
      <c r="D372" s="1018">
        <v>267800</v>
      </c>
      <c r="E372" s="1018">
        <v>267800</v>
      </c>
      <c r="F372" s="1018">
        <v>267800</v>
      </c>
      <c r="G372" s="1018">
        <v>267800</v>
      </c>
      <c r="H372" s="1089">
        <f t="shared" si="5"/>
        <v>1</v>
      </c>
      <c r="I372" s="550"/>
    </row>
    <row r="373" spans="1:9" ht="12.75">
      <c r="A373" s="351"/>
      <c r="B373" s="296" t="s">
        <v>120</v>
      </c>
      <c r="C373" s="1018"/>
      <c r="D373" s="1018"/>
      <c r="E373" s="1018"/>
      <c r="F373" s="1018"/>
      <c r="G373" s="1018"/>
      <c r="H373" s="1086"/>
      <c r="I373" s="1183" t="s">
        <v>1180</v>
      </c>
    </row>
    <row r="374" spans="1:9" ht="12.75">
      <c r="A374" s="73"/>
      <c r="B374" s="296" t="s">
        <v>293</v>
      </c>
      <c r="C374" s="959"/>
      <c r="D374" s="959"/>
      <c r="E374" s="959"/>
      <c r="F374" s="959"/>
      <c r="G374" s="959"/>
      <c r="H374" s="1086"/>
      <c r="I374" s="434"/>
    </row>
    <row r="375" spans="1:9" ht="12.75" thickBot="1">
      <c r="A375" s="73"/>
      <c r="B375" s="418" t="s">
        <v>88</v>
      </c>
      <c r="C375" s="975"/>
      <c r="D375" s="975"/>
      <c r="E375" s="975"/>
      <c r="F375" s="975"/>
      <c r="G375" s="975"/>
      <c r="H375" s="1091"/>
      <c r="I375" s="469"/>
    </row>
    <row r="376" spans="1:9" ht="12.75" thickBot="1">
      <c r="A376" s="371"/>
      <c r="B376" s="421" t="s">
        <v>136</v>
      </c>
      <c r="C376" s="972">
        <f>SUM(C370:C375)</f>
        <v>267800</v>
      </c>
      <c r="D376" s="972">
        <f>SUM(D370:D375)</f>
        <v>267800</v>
      </c>
      <c r="E376" s="972">
        <f>SUM(E370:E375)</f>
        <v>267800</v>
      </c>
      <c r="F376" s="972">
        <f>SUM(F370:F375)</f>
        <v>267800</v>
      </c>
      <c r="G376" s="972">
        <f>SUM(G370:G375)</f>
        <v>267800</v>
      </c>
      <c r="H376" s="1088">
        <f t="shared" si="5"/>
        <v>1</v>
      </c>
      <c r="I376" s="437"/>
    </row>
    <row r="377" spans="1:9" ht="12.75">
      <c r="A377" s="73">
        <v>3303</v>
      </c>
      <c r="B377" s="444" t="s">
        <v>1196</v>
      </c>
      <c r="C377" s="1017"/>
      <c r="D377" s="1017"/>
      <c r="E377" s="1017"/>
      <c r="F377" s="1017"/>
      <c r="G377" s="1017"/>
      <c r="H377" s="406"/>
      <c r="I377" s="470"/>
    </row>
    <row r="378" spans="1:9" ht="12.75">
      <c r="A378" s="362"/>
      <c r="B378" s="363" t="s">
        <v>115</v>
      </c>
      <c r="C378" s="1018"/>
      <c r="D378" s="1018"/>
      <c r="E378" s="1018"/>
      <c r="F378" s="1018"/>
      <c r="G378" s="1018">
        <v>1410</v>
      </c>
      <c r="H378" s="406"/>
      <c r="I378" s="471"/>
    </row>
    <row r="379" spans="1:9" ht="12.75">
      <c r="A379" s="362"/>
      <c r="B379" s="179" t="s">
        <v>298</v>
      </c>
      <c r="C379" s="1018"/>
      <c r="D379" s="1018"/>
      <c r="E379" s="1018"/>
      <c r="F379" s="1018"/>
      <c r="G379" s="1018">
        <v>240</v>
      </c>
      <c r="H379" s="1089"/>
      <c r="I379" s="474"/>
    </row>
    <row r="380" spans="1:9" ht="12.75">
      <c r="A380" s="362"/>
      <c r="B380" s="364" t="s">
        <v>284</v>
      </c>
      <c r="C380" s="1018"/>
      <c r="D380" s="1018">
        <v>135000</v>
      </c>
      <c r="E380" s="1018">
        <v>135000</v>
      </c>
      <c r="F380" s="1018">
        <v>135000</v>
      </c>
      <c r="G380" s="1018">
        <f>135000-14611</f>
        <v>120389</v>
      </c>
      <c r="H380" s="1086">
        <f t="shared" si="5"/>
        <v>0.8917703703703703</v>
      </c>
      <c r="I380" s="550"/>
    </row>
    <row r="381" spans="1:9" ht="12.75">
      <c r="A381" s="362"/>
      <c r="B381" s="296" t="s">
        <v>120</v>
      </c>
      <c r="C381" s="1018"/>
      <c r="D381" s="1018"/>
      <c r="E381" s="1018"/>
      <c r="F381" s="1018"/>
      <c r="G381" s="1018"/>
      <c r="H381" s="1086"/>
      <c r="I381" s="554"/>
    </row>
    <row r="382" spans="1:9" ht="12.75">
      <c r="A382" s="362"/>
      <c r="B382" s="296" t="s">
        <v>293</v>
      </c>
      <c r="C382" s="959"/>
      <c r="D382" s="959"/>
      <c r="E382" s="959"/>
      <c r="F382" s="959"/>
      <c r="G382" s="959">
        <v>12000</v>
      </c>
      <c r="H382" s="1086"/>
      <c r="I382" s="471"/>
    </row>
    <row r="383" spans="1:9" ht="12.75">
      <c r="A383" s="362"/>
      <c r="B383" s="296" t="s">
        <v>120</v>
      </c>
      <c r="C383" s="1018"/>
      <c r="D383" s="1018"/>
      <c r="E383" s="1018"/>
      <c r="F383" s="1018"/>
      <c r="G383" s="1018"/>
      <c r="H383" s="1086"/>
      <c r="I383" s="1094"/>
    </row>
    <row r="384" spans="1:9" ht="12.75" thickBot="1">
      <c r="A384" s="362"/>
      <c r="B384" s="296" t="s">
        <v>253</v>
      </c>
      <c r="C384" s="1020"/>
      <c r="D384" s="1020"/>
      <c r="E384" s="1020"/>
      <c r="F384" s="1020"/>
      <c r="G384" s="1266">
        <v>961</v>
      </c>
      <c r="H384" s="1091"/>
      <c r="I384" s="451"/>
    </row>
    <row r="385" spans="1:9" ht="13.5" thickBot="1">
      <c r="A385" s="371"/>
      <c r="B385" s="421" t="s">
        <v>136</v>
      </c>
      <c r="C385" s="972">
        <f>SUM(C378:C384)</f>
        <v>0</v>
      </c>
      <c r="D385" s="972">
        <f>SUM(D378:D384)</f>
        <v>135000</v>
      </c>
      <c r="E385" s="972">
        <f>SUM(E378:E384)</f>
        <v>135000</v>
      </c>
      <c r="F385" s="972">
        <f>SUM(F378:F384)</f>
        <v>135000</v>
      </c>
      <c r="G385" s="972">
        <f>SUM(G378:G384)</f>
        <v>135000</v>
      </c>
      <c r="H385" s="1088">
        <f t="shared" si="5"/>
        <v>1</v>
      </c>
      <c r="I385" s="473"/>
    </row>
    <row r="386" spans="1:9" ht="12.75">
      <c r="A386" s="73">
        <v>3304</v>
      </c>
      <c r="B386" s="444" t="s">
        <v>1256</v>
      </c>
      <c r="C386" s="1017"/>
      <c r="D386" s="1017"/>
      <c r="E386" s="1017"/>
      <c r="F386" s="1017"/>
      <c r="G386" s="1017"/>
      <c r="H386" s="406"/>
      <c r="I386" s="470"/>
    </row>
    <row r="387" spans="1:9" ht="12.75">
      <c r="A387" s="362"/>
      <c r="B387" s="363" t="s">
        <v>115</v>
      </c>
      <c r="C387" s="1018"/>
      <c r="D387" s="1018"/>
      <c r="E387" s="1018"/>
      <c r="F387" s="1018"/>
      <c r="G387" s="1018"/>
      <c r="H387" s="406"/>
      <c r="I387" s="471"/>
    </row>
    <row r="388" spans="1:9" ht="12.75">
      <c r="A388" s="362"/>
      <c r="B388" s="179" t="s">
        <v>298</v>
      </c>
      <c r="C388" s="1018"/>
      <c r="D388" s="1018"/>
      <c r="E388" s="1018"/>
      <c r="F388" s="1018"/>
      <c r="G388" s="1018"/>
      <c r="H388" s="1089"/>
      <c r="I388" s="474"/>
    </row>
    <row r="389" spans="1:9" ht="12.75">
      <c r="A389" s="362"/>
      <c r="B389" s="364" t="s">
        <v>284</v>
      </c>
      <c r="C389" s="1018"/>
      <c r="D389" s="1018"/>
      <c r="E389" s="1018"/>
      <c r="F389" s="1018"/>
      <c r="G389" s="1018">
        <v>6032</v>
      </c>
      <c r="H389" s="1086"/>
      <c r="I389" s="550"/>
    </row>
    <row r="390" spans="1:9" ht="12.75">
      <c r="A390" s="362"/>
      <c r="B390" s="296" t="s">
        <v>120</v>
      </c>
      <c r="C390" s="1018"/>
      <c r="D390" s="1018"/>
      <c r="E390" s="1018">
        <v>11000</v>
      </c>
      <c r="F390" s="1018">
        <v>11000</v>
      </c>
      <c r="G390" s="1018">
        <f>11000-6032</f>
        <v>4968</v>
      </c>
      <c r="H390" s="1086">
        <f t="shared" si="5"/>
        <v>0.4516363636363636</v>
      </c>
      <c r="I390" s="554"/>
    </row>
    <row r="391" spans="1:9" ht="12.75">
      <c r="A391" s="362"/>
      <c r="B391" s="296" t="s">
        <v>293</v>
      </c>
      <c r="C391" s="959"/>
      <c r="D391" s="959"/>
      <c r="E391" s="959"/>
      <c r="F391" s="959"/>
      <c r="G391" s="959"/>
      <c r="H391" s="1086"/>
      <c r="I391" s="471"/>
    </row>
    <row r="392" spans="1:9" ht="12.75">
      <c r="A392" s="362"/>
      <c r="B392" s="296" t="s">
        <v>120</v>
      </c>
      <c r="C392" s="1018"/>
      <c r="D392" s="1018"/>
      <c r="E392" s="1018"/>
      <c r="F392" s="1018"/>
      <c r="G392" s="1018"/>
      <c r="H392" s="1086"/>
      <c r="I392" s="1094"/>
    </row>
    <row r="393" spans="1:9" ht="12.75" thickBot="1">
      <c r="A393" s="362"/>
      <c r="B393" s="418" t="s">
        <v>88</v>
      </c>
      <c r="C393" s="1020"/>
      <c r="D393" s="1020"/>
      <c r="E393" s="1020"/>
      <c r="F393" s="1020"/>
      <c r="G393" s="1020"/>
      <c r="H393" s="1091"/>
      <c r="I393" s="451"/>
    </row>
    <row r="394" spans="1:9" ht="13.5" thickBot="1">
      <c r="A394" s="371"/>
      <c r="B394" s="421" t="s">
        <v>136</v>
      </c>
      <c r="C394" s="972">
        <f>SUM(C387:C393)</f>
        <v>0</v>
      </c>
      <c r="D394" s="972">
        <f>SUM(D387:D393)</f>
        <v>0</v>
      </c>
      <c r="E394" s="972">
        <f>SUM(E387:E393)</f>
        <v>11000</v>
      </c>
      <c r="F394" s="972">
        <f>SUM(F387:F393)</f>
        <v>11000</v>
      </c>
      <c r="G394" s="972">
        <f>SUM(G387:G393)</f>
        <v>11000</v>
      </c>
      <c r="H394" s="1088">
        <f t="shared" si="5"/>
        <v>1</v>
      </c>
      <c r="I394" s="473"/>
    </row>
    <row r="395" spans="1:9" ht="12" customHeight="1">
      <c r="A395" s="73">
        <v>3305</v>
      </c>
      <c r="B395" s="444" t="s">
        <v>201</v>
      </c>
      <c r="C395" s="1017"/>
      <c r="D395" s="1017"/>
      <c r="E395" s="1017"/>
      <c r="F395" s="1017"/>
      <c r="G395" s="1017"/>
      <c r="H395" s="406"/>
      <c r="I395" s="470"/>
    </row>
    <row r="396" spans="1:9" ht="12" customHeight="1">
      <c r="A396" s="362"/>
      <c r="B396" s="363" t="s">
        <v>115</v>
      </c>
      <c r="C396" s="1018"/>
      <c r="D396" s="1018"/>
      <c r="E396" s="1018"/>
      <c r="F396" s="1018"/>
      <c r="G396" s="1018"/>
      <c r="H396" s="406"/>
      <c r="I396" s="471"/>
    </row>
    <row r="397" spans="1:9" ht="12" customHeight="1">
      <c r="A397" s="362"/>
      <c r="B397" s="179" t="s">
        <v>298</v>
      </c>
      <c r="C397" s="1018"/>
      <c r="D397" s="1018"/>
      <c r="E397" s="1018"/>
      <c r="F397" s="1018"/>
      <c r="G397" s="1018"/>
      <c r="H397" s="1089"/>
      <c r="I397" s="474"/>
    </row>
    <row r="398" spans="1:9" ht="12" customHeight="1">
      <c r="A398" s="362"/>
      <c r="B398" s="364" t="s">
        <v>284</v>
      </c>
      <c r="C398" s="1018"/>
      <c r="D398" s="1018"/>
      <c r="E398" s="1018"/>
      <c r="F398" s="1018"/>
      <c r="G398" s="1018"/>
      <c r="H398" s="1086"/>
      <c r="I398" s="550"/>
    </row>
    <row r="399" spans="1:9" ht="12" customHeight="1">
      <c r="A399" s="362"/>
      <c r="B399" s="296" t="s">
        <v>120</v>
      </c>
      <c r="C399" s="1018">
        <v>11000</v>
      </c>
      <c r="D399" s="1018">
        <v>11000</v>
      </c>
      <c r="E399" s="1018">
        <v>11073</v>
      </c>
      <c r="F399" s="1018">
        <v>17573</v>
      </c>
      <c r="G399" s="1018">
        <v>17573</v>
      </c>
      <c r="H399" s="1086">
        <f t="shared" si="5"/>
        <v>1</v>
      </c>
      <c r="I399" s="554"/>
    </row>
    <row r="400" spans="1:9" ht="12" customHeight="1">
      <c r="A400" s="362"/>
      <c r="B400" s="296" t="s">
        <v>293</v>
      </c>
      <c r="C400" s="959"/>
      <c r="D400" s="959"/>
      <c r="E400" s="959"/>
      <c r="F400" s="959"/>
      <c r="G400" s="959"/>
      <c r="H400" s="1086"/>
      <c r="I400" s="471"/>
    </row>
    <row r="401" spans="1:9" ht="12" customHeight="1">
      <c r="A401" s="362"/>
      <c r="B401" s="296" t="s">
        <v>120</v>
      </c>
      <c r="C401" s="1018"/>
      <c r="D401" s="1018"/>
      <c r="E401" s="1018"/>
      <c r="F401" s="1018"/>
      <c r="G401" s="1018"/>
      <c r="H401" s="1086"/>
      <c r="I401" s="1094"/>
    </row>
    <row r="402" spans="1:9" ht="12" customHeight="1" thickBot="1">
      <c r="A402" s="362"/>
      <c r="B402" s="418" t="s">
        <v>88</v>
      </c>
      <c r="C402" s="1020"/>
      <c r="D402" s="1020"/>
      <c r="E402" s="1020"/>
      <c r="F402" s="1020"/>
      <c r="G402" s="1020"/>
      <c r="H402" s="1091"/>
      <c r="I402" s="451"/>
    </row>
    <row r="403" spans="1:9" ht="12" customHeight="1" thickBot="1">
      <c r="A403" s="371"/>
      <c r="B403" s="421" t="s">
        <v>136</v>
      </c>
      <c r="C403" s="972">
        <f>SUM(C396:C402)</f>
        <v>11000</v>
      </c>
      <c r="D403" s="972">
        <f>SUM(D396:D402)</f>
        <v>11000</v>
      </c>
      <c r="E403" s="972">
        <f>SUM(E396:E402)</f>
        <v>11073</v>
      </c>
      <c r="F403" s="972">
        <f>SUM(F396:F402)</f>
        <v>17573</v>
      </c>
      <c r="G403" s="972">
        <f>SUM(G396:G402)</f>
        <v>17573</v>
      </c>
      <c r="H403" s="1088">
        <f t="shared" si="5"/>
        <v>1</v>
      </c>
      <c r="I403" s="473"/>
    </row>
    <row r="404" spans="1:9" ht="12" customHeight="1">
      <c r="A404" s="73">
        <v>3306</v>
      </c>
      <c r="B404" s="444" t="s">
        <v>202</v>
      </c>
      <c r="C404" s="1017"/>
      <c r="D404" s="1017"/>
      <c r="E404" s="1017"/>
      <c r="F404" s="1017"/>
      <c r="G404" s="1017"/>
      <c r="H404" s="406"/>
      <c r="I404" s="470"/>
    </row>
    <row r="405" spans="1:9" ht="12" customHeight="1">
      <c r="A405" s="362"/>
      <c r="B405" s="363" t="s">
        <v>115</v>
      </c>
      <c r="C405" s="1018"/>
      <c r="D405" s="1018"/>
      <c r="E405" s="1018"/>
      <c r="F405" s="1018"/>
      <c r="G405" s="1018"/>
      <c r="H405" s="406"/>
      <c r="I405" s="471"/>
    </row>
    <row r="406" spans="1:9" ht="12" customHeight="1">
      <c r="A406" s="362"/>
      <c r="B406" s="179" t="s">
        <v>298</v>
      </c>
      <c r="C406" s="1018"/>
      <c r="D406" s="1018"/>
      <c r="E406" s="1018"/>
      <c r="F406" s="1018"/>
      <c r="G406" s="1018"/>
      <c r="H406" s="406"/>
      <c r="I406" s="474"/>
    </row>
    <row r="407" spans="1:9" ht="12" customHeight="1">
      <c r="A407" s="362"/>
      <c r="B407" s="364" t="s">
        <v>284</v>
      </c>
      <c r="C407" s="1018">
        <v>350</v>
      </c>
      <c r="D407" s="1018">
        <v>350</v>
      </c>
      <c r="E407" s="1018">
        <v>350</v>
      </c>
      <c r="F407" s="1018">
        <v>350</v>
      </c>
      <c r="G407" s="1018">
        <v>350</v>
      </c>
      <c r="H407" s="1089">
        <f aca="true" t="shared" si="6" ref="H407:H466">SUM(G407/F407)</f>
        <v>1</v>
      </c>
      <c r="I407" s="554"/>
    </row>
    <row r="408" spans="1:9" ht="12" customHeight="1">
      <c r="A408" s="362"/>
      <c r="B408" s="296" t="s">
        <v>120</v>
      </c>
      <c r="C408" s="1018">
        <v>9650</v>
      </c>
      <c r="D408" s="1018">
        <v>9650</v>
      </c>
      <c r="E408" s="1018">
        <v>9662</v>
      </c>
      <c r="F408" s="1018">
        <v>9662</v>
      </c>
      <c r="G408" s="1018">
        <v>9662</v>
      </c>
      <c r="H408" s="1086">
        <f t="shared" si="6"/>
        <v>1</v>
      </c>
      <c r="I408" s="550"/>
    </row>
    <row r="409" spans="1:9" ht="12" customHeight="1">
      <c r="A409" s="362"/>
      <c r="B409" s="296" t="s">
        <v>293</v>
      </c>
      <c r="C409" s="959"/>
      <c r="D409" s="959"/>
      <c r="E409" s="959"/>
      <c r="F409" s="959"/>
      <c r="G409" s="959"/>
      <c r="H409" s="1086"/>
      <c r="I409" s="471"/>
    </row>
    <row r="410" spans="1:9" ht="12" customHeight="1">
      <c r="A410" s="362"/>
      <c r="B410" s="296" t="s">
        <v>120</v>
      </c>
      <c r="C410" s="1018"/>
      <c r="D410" s="1018"/>
      <c r="E410" s="1018"/>
      <c r="F410" s="1018"/>
      <c r="G410" s="1018"/>
      <c r="H410" s="1086"/>
      <c r="I410" s="475"/>
    </row>
    <row r="411" spans="1:9" ht="12" customHeight="1" thickBot="1">
      <c r="A411" s="362"/>
      <c r="B411" s="418" t="s">
        <v>88</v>
      </c>
      <c r="C411" s="1020"/>
      <c r="D411" s="1020"/>
      <c r="E411" s="1020"/>
      <c r="F411" s="1020"/>
      <c r="G411" s="1020"/>
      <c r="H411" s="1091"/>
      <c r="I411" s="451"/>
    </row>
    <row r="412" spans="1:9" ht="12" customHeight="1" thickBot="1">
      <c r="A412" s="371"/>
      <c r="B412" s="421" t="s">
        <v>136</v>
      </c>
      <c r="C412" s="972">
        <f>SUM(C407:C408)</f>
        <v>10000</v>
      </c>
      <c r="D412" s="972">
        <f>SUM(D407:D408)</f>
        <v>10000</v>
      </c>
      <c r="E412" s="972">
        <f>SUM(E407:E408)</f>
        <v>10012</v>
      </c>
      <c r="F412" s="972">
        <f>SUM(F407:F408)</f>
        <v>10012</v>
      </c>
      <c r="G412" s="972">
        <f>SUM(G407:G408)</f>
        <v>10012</v>
      </c>
      <c r="H412" s="1240">
        <f t="shared" si="6"/>
        <v>1</v>
      </c>
      <c r="I412" s="473"/>
    </row>
    <row r="413" spans="1:9" ht="12" customHeight="1">
      <c r="A413" s="73">
        <v>3307</v>
      </c>
      <c r="B413" s="444" t="s">
        <v>203</v>
      </c>
      <c r="C413" s="1017"/>
      <c r="D413" s="1017"/>
      <c r="E413" s="1017"/>
      <c r="F413" s="1017"/>
      <c r="G413" s="1017"/>
      <c r="H413" s="406"/>
      <c r="I413" s="470"/>
    </row>
    <row r="414" spans="1:9" ht="12" customHeight="1">
      <c r="A414" s="362"/>
      <c r="B414" s="363" t="s">
        <v>115</v>
      </c>
      <c r="C414" s="1018"/>
      <c r="D414" s="1018"/>
      <c r="E414" s="1018"/>
      <c r="F414" s="1018"/>
      <c r="G414" s="1018"/>
      <c r="H414" s="406"/>
      <c r="I414" s="471"/>
    </row>
    <row r="415" spans="1:9" ht="12" customHeight="1">
      <c r="A415" s="362"/>
      <c r="B415" s="179" t="s">
        <v>298</v>
      </c>
      <c r="C415" s="1018"/>
      <c r="D415" s="1018"/>
      <c r="E415" s="1018"/>
      <c r="F415" s="1018"/>
      <c r="G415" s="1018"/>
      <c r="H415" s="406"/>
      <c r="I415" s="474"/>
    </row>
    <row r="416" spans="1:9" ht="12" customHeight="1">
      <c r="A416" s="362"/>
      <c r="B416" s="364" t="s">
        <v>284</v>
      </c>
      <c r="C416" s="1018"/>
      <c r="D416" s="1018"/>
      <c r="E416" s="1018"/>
      <c r="F416" s="1018"/>
      <c r="G416" s="1018"/>
      <c r="H416" s="1089"/>
      <c r="I416" s="554"/>
    </row>
    <row r="417" spans="1:9" ht="12" customHeight="1">
      <c r="A417" s="362"/>
      <c r="B417" s="296" t="s">
        <v>120</v>
      </c>
      <c r="C417" s="1018">
        <v>4000</v>
      </c>
      <c r="D417" s="1018">
        <v>4000</v>
      </c>
      <c r="E417" s="1018">
        <v>4000</v>
      </c>
      <c r="F417" s="1018">
        <v>4000</v>
      </c>
      <c r="G417" s="1018">
        <v>4000</v>
      </c>
      <c r="H417" s="1086">
        <f t="shared" si="6"/>
        <v>1</v>
      </c>
      <c r="I417" s="554"/>
    </row>
    <row r="418" spans="1:9" ht="12" customHeight="1">
      <c r="A418" s="362"/>
      <c r="B418" s="296" t="s">
        <v>293</v>
      </c>
      <c r="C418" s="959"/>
      <c r="D418" s="959"/>
      <c r="E418" s="959">
        <v>1063</v>
      </c>
      <c r="F418" s="959">
        <v>1063</v>
      </c>
      <c r="G418" s="959">
        <v>1063</v>
      </c>
      <c r="H418" s="1086">
        <f t="shared" si="6"/>
        <v>1</v>
      </c>
      <c r="I418" s="550"/>
    </row>
    <row r="419" spans="1:9" ht="12" customHeight="1">
      <c r="A419" s="362"/>
      <c r="B419" s="296" t="s">
        <v>120</v>
      </c>
      <c r="C419" s="1018"/>
      <c r="D419" s="1018"/>
      <c r="E419" s="1018"/>
      <c r="F419" s="1018"/>
      <c r="G419" s="1018"/>
      <c r="H419" s="1086"/>
      <c r="I419" s="475"/>
    </row>
    <row r="420" spans="1:9" ht="12" customHeight="1" thickBot="1">
      <c r="A420" s="362"/>
      <c r="B420" s="418" t="s">
        <v>88</v>
      </c>
      <c r="C420" s="1020"/>
      <c r="D420" s="1020"/>
      <c r="E420" s="1020"/>
      <c r="F420" s="1020"/>
      <c r="G420" s="1020"/>
      <c r="H420" s="1091"/>
      <c r="I420" s="451"/>
    </row>
    <row r="421" spans="1:9" ht="12" customHeight="1" thickBot="1">
      <c r="A421" s="371"/>
      <c r="B421" s="421" t="s">
        <v>136</v>
      </c>
      <c r="C421" s="972">
        <f>SUM(C414:C420)</f>
        <v>4000</v>
      </c>
      <c r="D421" s="972">
        <f>SUM(D414:D420)</f>
        <v>4000</v>
      </c>
      <c r="E421" s="972">
        <f>SUM(E414:E420)</f>
        <v>5063</v>
      </c>
      <c r="F421" s="972">
        <f>SUM(F414:F420)</f>
        <v>5063</v>
      </c>
      <c r="G421" s="972">
        <f>SUM(G414:G420)</f>
        <v>5063</v>
      </c>
      <c r="H421" s="1088">
        <f t="shared" si="6"/>
        <v>1</v>
      </c>
      <c r="I421" s="473"/>
    </row>
    <row r="422" spans="1:9" ht="12.75" customHeight="1">
      <c r="A422" s="73">
        <v>3310</v>
      </c>
      <c r="B422" s="209" t="s">
        <v>402</v>
      </c>
      <c r="C422" s="1017"/>
      <c r="D422" s="1017"/>
      <c r="E422" s="1017"/>
      <c r="F422" s="1017"/>
      <c r="G422" s="1017"/>
      <c r="H422" s="406"/>
      <c r="I422" s="433"/>
    </row>
    <row r="423" spans="1:9" ht="12.75" customHeight="1">
      <c r="A423" s="362"/>
      <c r="B423" s="363" t="s">
        <v>115</v>
      </c>
      <c r="C423" s="1018"/>
      <c r="D423" s="1018"/>
      <c r="E423" s="1018"/>
      <c r="F423" s="1018"/>
      <c r="G423" s="1018"/>
      <c r="H423" s="406"/>
      <c r="I423" s="433"/>
    </row>
    <row r="424" spans="1:9" ht="12.75" customHeight="1">
      <c r="A424" s="362"/>
      <c r="B424" s="179" t="s">
        <v>298</v>
      </c>
      <c r="C424" s="1018"/>
      <c r="D424" s="1018"/>
      <c r="E424" s="1018"/>
      <c r="F424" s="1018"/>
      <c r="G424" s="1018"/>
      <c r="H424" s="406"/>
      <c r="I424" s="549"/>
    </row>
    <row r="425" spans="1:9" ht="12.75" customHeight="1">
      <c r="A425" s="362"/>
      <c r="B425" s="364" t="s">
        <v>284</v>
      </c>
      <c r="C425" s="1018"/>
      <c r="D425" s="1018"/>
      <c r="E425" s="1018"/>
      <c r="F425" s="1018"/>
      <c r="G425" s="1018"/>
      <c r="H425" s="1089"/>
      <c r="I425" s="550"/>
    </row>
    <row r="426" spans="1:9" ht="12.75" customHeight="1">
      <c r="A426" s="362"/>
      <c r="B426" s="296" t="s">
        <v>120</v>
      </c>
      <c r="C426" s="1018">
        <v>14000</v>
      </c>
      <c r="D426" s="1018">
        <v>14000</v>
      </c>
      <c r="E426" s="1018">
        <v>14000</v>
      </c>
      <c r="F426" s="1018">
        <v>14000</v>
      </c>
      <c r="G426" s="1018">
        <v>14000</v>
      </c>
      <c r="H426" s="1086">
        <f t="shared" si="6"/>
        <v>1</v>
      </c>
      <c r="I426" s="554"/>
    </row>
    <row r="427" spans="1:9" ht="12.75" customHeight="1">
      <c r="A427" s="362"/>
      <c r="B427" s="296" t="s">
        <v>293</v>
      </c>
      <c r="C427" s="959"/>
      <c r="D427" s="959"/>
      <c r="E427" s="959"/>
      <c r="F427" s="959"/>
      <c r="G427" s="959"/>
      <c r="H427" s="1086"/>
      <c r="I427" s="1094"/>
    </row>
    <row r="428" spans="1:9" ht="12.75" customHeight="1" thickBot="1">
      <c r="A428" s="362"/>
      <c r="B428" s="418" t="s">
        <v>88</v>
      </c>
      <c r="C428" s="1020"/>
      <c r="D428" s="1020"/>
      <c r="E428" s="1020"/>
      <c r="F428" s="1020"/>
      <c r="G428" s="1020"/>
      <c r="H428" s="1091"/>
      <c r="I428" s="451"/>
    </row>
    <row r="429" spans="1:9" ht="12.75" customHeight="1" thickBot="1">
      <c r="A429" s="371"/>
      <c r="B429" s="421" t="s">
        <v>136</v>
      </c>
      <c r="C429" s="972">
        <f>SUM(C423:C428)</f>
        <v>14000</v>
      </c>
      <c r="D429" s="972">
        <f>SUM(D423:D428)</f>
        <v>14000</v>
      </c>
      <c r="E429" s="972">
        <f>SUM(E423:E428)</f>
        <v>14000</v>
      </c>
      <c r="F429" s="972">
        <f>SUM(F423:F428)</f>
        <v>14000</v>
      </c>
      <c r="G429" s="972">
        <f>SUM(G423:G428)</f>
        <v>14000</v>
      </c>
      <c r="H429" s="1088">
        <f t="shared" si="6"/>
        <v>1</v>
      </c>
      <c r="I429" s="437"/>
    </row>
    <row r="430" spans="1:9" ht="12" customHeight="1">
      <c r="A430" s="73">
        <v>3311</v>
      </c>
      <c r="B430" s="209" t="s">
        <v>137</v>
      </c>
      <c r="C430" s="1017"/>
      <c r="D430" s="1017"/>
      <c r="E430" s="1017"/>
      <c r="F430" s="1017"/>
      <c r="G430" s="1017"/>
      <c r="H430" s="406"/>
      <c r="I430" s="433"/>
    </row>
    <row r="431" spans="1:9" ht="12" customHeight="1">
      <c r="A431" s="362"/>
      <c r="B431" s="363" t="s">
        <v>115</v>
      </c>
      <c r="C431" s="1018"/>
      <c r="D431" s="1018"/>
      <c r="E431" s="1018"/>
      <c r="F431" s="1018"/>
      <c r="G431" s="1018"/>
      <c r="H431" s="406"/>
      <c r="I431" s="433"/>
    </row>
    <row r="432" spans="1:9" ht="12" customHeight="1">
      <c r="A432" s="362"/>
      <c r="B432" s="179" t="s">
        <v>298</v>
      </c>
      <c r="C432" s="1018"/>
      <c r="D432" s="1018"/>
      <c r="E432" s="1018"/>
      <c r="F432" s="1018"/>
      <c r="G432" s="1018"/>
      <c r="H432" s="406"/>
      <c r="I432" s="433"/>
    </row>
    <row r="433" spans="1:9" ht="12" customHeight="1">
      <c r="A433" s="362"/>
      <c r="B433" s="364" t="s">
        <v>284</v>
      </c>
      <c r="C433" s="1018"/>
      <c r="D433" s="1018"/>
      <c r="E433" s="1018"/>
      <c r="F433" s="1018"/>
      <c r="G433" s="1018"/>
      <c r="H433" s="1089"/>
      <c r="I433" s="549"/>
    </row>
    <row r="434" spans="1:9" ht="12" customHeight="1">
      <c r="A434" s="362"/>
      <c r="B434" s="296" t="s">
        <v>120</v>
      </c>
      <c r="C434" s="1018">
        <v>9000</v>
      </c>
      <c r="D434" s="1018">
        <v>9000</v>
      </c>
      <c r="E434" s="1018">
        <v>9006</v>
      </c>
      <c r="F434" s="1018">
        <v>9006</v>
      </c>
      <c r="G434" s="1018">
        <v>9006</v>
      </c>
      <c r="H434" s="1086">
        <f t="shared" si="6"/>
        <v>1</v>
      </c>
      <c r="I434" s="600"/>
    </row>
    <row r="435" spans="1:9" ht="12" customHeight="1">
      <c r="A435" s="362"/>
      <c r="B435" s="296" t="s">
        <v>293</v>
      </c>
      <c r="C435" s="959"/>
      <c r="D435" s="959"/>
      <c r="E435" s="959"/>
      <c r="F435" s="959"/>
      <c r="G435" s="959"/>
      <c r="H435" s="1086"/>
      <c r="I435" s="472"/>
    </row>
    <row r="436" spans="1:9" ht="12" customHeight="1" thickBot="1">
      <c r="A436" s="362"/>
      <c r="B436" s="418" t="s">
        <v>88</v>
      </c>
      <c r="C436" s="1020"/>
      <c r="D436" s="1020"/>
      <c r="E436" s="1020"/>
      <c r="F436" s="1020"/>
      <c r="G436" s="1020"/>
      <c r="H436" s="1091"/>
      <c r="I436" s="451"/>
    </row>
    <row r="437" spans="1:9" ht="12.75" thickBot="1">
      <c r="A437" s="371"/>
      <c r="B437" s="421" t="s">
        <v>136</v>
      </c>
      <c r="C437" s="972">
        <f>SUM(C431:C436)</f>
        <v>9000</v>
      </c>
      <c r="D437" s="972">
        <f>SUM(D431:D436)</f>
        <v>9000</v>
      </c>
      <c r="E437" s="972">
        <f>SUM(E431:E436)</f>
        <v>9006</v>
      </c>
      <c r="F437" s="972">
        <f>SUM(F431:F436)</f>
        <v>9006</v>
      </c>
      <c r="G437" s="972">
        <f>SUM(G431:G436)</f>
        <v>9006</v>
      </c>
      <c r="H437" s="1088">
        <f t="shared" si="6"/>
        <v>1</v>
      </c>
      <c r="I437" s="437"/>
    </row>
    <row r="438" spans="1:9" ht="12.75">
      <c r="A438" s="372">
        <v>3312</v>
      </c>
      <c r="B438" s="209" t="s">
        <v>385</v>
      </c>
      <c r="C438" s="1017"/>
      <c r="D438" s="1017"/>
      <c r="E438" s="1017"/>
      <c r="F438" s="1017"/>
      <c r="G438" s="1017"/>
      <c r="H438" s="406"/>
      <c r="I438" s="433"/>
    </row>
    <row r="439" spans="1:9" ht="12.75">
      <c r="A439" s="362"/>
      <c r="B439" s="363" t="s">
        <v>115</v>
      </c>
      <c r="C439" s="1018"/>
      <c r="D439" s="1018"/>
      <c r="E439" s="1018"/>
      <c r="F439" s="1018"/>
      <c r="G439" s="1018"/>
      <c r="H439" s="406"/>
      <c r="I439" s="433"/>
    </row>
    <row r="440" spans="1:9" ht="12.75">
      <c r="A440" s="362"/>
      <c r="B440" s="179" t="s">
        <v>298</v>
      </c>
      <c r="C440" s="1018"/>
      <c r="D440" s="1018"/>
      <c r="E440" s="1018"/>
      <c r="F440" s="1018"/>
      <c r="G440" s="1018"/>
      <c r="H440" s="1089"/>
      <c r="I440" s="472"/>
    </row>
    <row r="441" spans="1:9" ht="12.75">
      <c r="A441" s="362"/>
      <c r="B441" s="364" t="s">
        <v>284</v>
      </c>
      <c r="C441" s="1018">
        <v>900</v>
      </c>
      <c r="D441" s="1018">
        <v>900</v>
      </c>
      <c r="E441" s="1018">
        <v>900</v>
      </c>
      <c r="F441" s="1018">
        <v>900</v>
      </c>
      <c r="G441" s="1018">
        <f>900+156</f>
        <v>1056</v>
      </c>
      <c r="H441" s="1086">
        <f t="shared" si="6"/>
        <v>1.1733333333333333</v>
      </c>
      <c r="I441" s="550"/>
    </row>
    <row r="442" spans="1:9" ht="12.75">
      <c r="A442" s="362"/>
      <c r="B442" s="296" t="s">
        <v>120</v>
      </c>
      <c r="C442" s="1018">
        <v>19100</v>
      </c>
      <c r="D442" s="1018">
        <v>19100</v>
      </c>
      <c r="E442" s="1018">
        <v>28325</v>
      </c>
      <c r="F442" s="1018">
        <v>41325</v>
      </c>
      <c r="G442" s="1018">
        <f>41325-156</f>
        <v>41169</v>
      </c>
      <c r="H442" s="1086">
        <f t="shared" si="6"/>
        <v>0.9962250453720508</v>
      </c>
      <c r="I442" s="549"/>
    </row>
    <row r="443" spans="1:9" ht="12.75">
      <c r="A443" s="362"/>
      <c r="B443" s="296" t="s">
        <v>293</v>
      </c>
      <c r="C443" s="959"/>
      <c r="D443" s="959"/>
      <c r="E443" s="959"/>
      <c r="F443" s="959"/>
      <c r="G443" s="959"/>
      <c r="H443" s="1086"/>
      <c r="I443" s="1094"/>
    </row>
    <row r="444" spans="1:9" ht="12.75" thickBot="1">
      <c r="A444" s="362"/>
      <c r="B444" s="418" t="s">
        <v>88</v>
      </c>
      <c r="C444" s="1020"/>
      <c r="D444" s="1020"/>
      <c r="E444" s="1020"/>
      <c r="F444" s="1020"/>
      <c r="G444" s="1020"/>
      <c r="H444" s="1091"/>
      <c r="I444" s="451"/>
    </row>
    <row r="445" spans="1:9" ht="12.75" thickBot="1">
      <c r="A445" s="371"/>
      <c r="B445" s="421" t="s">
        <v>136</v>
      </c>
      <c r="C445" s="972">
        <f>SUM(C439:C444)</f>
        <v>20000</v>
      </c>
      <c r="D445" s="972">
        <f>SUM(D439:D444)</f>
        <v>20000</v>
      </c>
      <c r="E445" s="972">
        <f>SUM(E439:E444)</f>
        <v>29225</v>
      </c>
      <c r="F445" s="972">
        <f>SUM(F439:F444)</f>
        <v>42225</v>
      </c>
      <c r="G445" s="972">
        <f>SUM(G439:G444)</f>
        <v>42225</v>
      </c>
      <c r="H445" s="1088">
        <f t="shared" si="6"/>
        <v>1</v>
      </c>
      <c r="I445" s="437"/>
    </row>
    <row r="446" spans="1:9" ht="12.75">
      <c r="A446" s="372">
        <v>3313</v>
      </c>
      <c r="B446" s="209" t="s">
        <v>10</v>
      </c>
      <c r="C446" s="1017"/>
      <c r="D446" s="1017"/>
      <c r="E446" s="1017"/>
      <c r="F446" s="1017"/>
      <c r="G446" s="1017"/>
      <c r="H446" s="406"/>
      <c r="I446" s="433"/>
    </row>
    <row r="447" spans="1:9" ht="12.75">
      <c r="A447" s="362"/>
      <c r="B447" s="363" t="s">
        <v>115</v>
      </c>
      <c r="C447" s="1018"/>
      <c r="D447" s="1018"/>
      <c r="E447" s="1018"/>
      <c r="F447" s="1018"/>
      <c r="G447" s="1018"/>
      <c r="H447" s="406"/>
      <c r="I447" s="433"/>
    </row>
    <row r="448" spans="1:9" ht="12.75">
      <c r="A448" s="362"/>
      <c r="B448" s="179" t="s">
        <v>298</v>
      </c>
      <c r="C448" s="1018"/>
      <c r="D448" s="1018"/>
      <c r="E448" s="1018"/>
      <c r="F448" s="1018"/>
      <c r="G448" s="1018"/>
      <c r="H448" s="406"/>
      <c r="I448" s="472"/>
    </row>
    <row r="449" spans="1:9" ht="12.75">
      <c r="A449" s="362"/>
      <c r="B449" s="364" t="s">
        <v>284</v>
      </c>
      <c r="C449" s="1018">
        <v>190</v>
      </c>
      <c r="D449" s="1018">
        <v>190</v>
      </c>
      <c r="E449" s="1018">
        <v>190</v>
      </c>
      <c r="F449" s="1018">
        <v>190</v>
      </c>
      <c r="G449" s="1018">
        <v>190</v>
      </c>
      <c r="H449" s="1089">
        <f t="shared" si="6"/>
        <v>1</v>
      </c>
      <c r="I449" s="550"/>
    </row>
    <row r="450" spans="1:9" ht="12.75">
      <c r="A450" s="362"/>
      <c r="B450" s="296" t="s">
        <v>120</v>
      </c>
      <c r="C450" s="1018">
        <v>6810</v>
      </c>
      <c r="D450" s="1018">
        <v>6810</v>
      </c>
      <c r="E450" s="1018">
        <v>6830</v>
      </c>
      <c r="F450" s="1018">
        <v>6830</v>
      </c>
      <c r="G450" s="1018">
        <v>6830</v>
      </c>
      <c r="H450" s="1086">
        <f t="shared" si="6"/>
        <v>1</v>
      </c>
      <c r="I450" s="549"/>
    </row>
    <row r="451" spans="1:9" ht="12.75">
      <c r="A451" s="362"/>
      <c r="B451" s="296" t="s">
        <v>293</v>
      </c>
      <c r="C451" s="959"/>
      <c r="D451" s="959"/>
      <c r="E451" s="959"/>
      <c r="F451" s="959"/>
      <c r="G451" s="959"/>
      <c r="H451" s="1086"/>
      <c r="I451" s="1094"/>
    </row>
    <row r="452" spans="1:9" ht="12.75" thickBot="1">
      <c r="A452" s="362"/>
      <c r="B452" s="418" t="s">
        <v>88</v>
      </c>
      <c r="C452" s="1020"/>
      <c r="D452" s="1020"/>
      <c r="E452" s="1020"/>
      <c r="F452" s="1020"/>
      <c r="G452" s="1020"/>
      <c r="H452" s="1091"/>
      <c r="I452" s="451"/>
    </row>
    <row r="453" spans="1:9" ht="12.75" thickBot="1">
      <c r="A453" s="371"/>
      <c r="B453" s="421" t="s">
        <v>136</v>
      </c>
      <c r="C453" s="972">
        <f>SUM(C447:C452)</f>
        <v>7000</v>
      </c>
      <c r="D453" s="972">
        <f>SUM(D447:D452)</f>
        <v>7000</v>
      </c>
      <c r="E453" s="972">
        <f>SUM(E447:E452)</f>
        <v>7020</v>
      </c>
      <c r="F453" s="972">
        <f>SUM(F447:F452)</f>
        <v>7020</v>
      </c>
      <c r="G453" s="972">
        <f>SUM(G447:G452)</f>
        <v>7020</v>
      </c>
      <c r="H453" s="1088">
        <f t="shared" si="6"/>
        <v>1</v>
      </c>
      <c r="I453" s="437"/>
    </row>
    <row r="454" spans="1:9" ht="12.75">
      <c r="A454" s="372">
        <v>3315</v>
      </c>
      <c r="B454" s="209" t="s">
        <v>11</v>
      </c>
      <c r="C454" s="1017"/>
      <c r="D454" s="1017"/>
      <c r="E454" s="1017"/>
      <c r="F454" s="1017"/>
      <c r="G454" s="1017"/>
      <c r="H454" s="406"/>
      <c r="I454" s="433"/>
    </row>
    <row r="455" spans="1:9" ht="12.75">
      <c r="A455" s="362"/>
      <c r="B455" s="363" t="s">
        <v>115</v>
      </c>
      <c r="C455" s="1018"/>
      <c r="D455" s="1018"/>
      <c r="E455" s="1018"/>
      <c r="F455" s="1018"/>
      <c r="G455" s="1018"/>
      <c r="H455" s="406"/>
      <c r="I455" s="433"/>
    </row>
    <row r="456" spans="1:9" ht="12.75">
      <c r="A456" s="362"/>
      <c r="B456" s="179" t="s">
        <v>298</v>
      </c>
      <c r="C456" s="1018"/>
      <c r="D456" s="1018"/>
      <c r="E456" s="1018"/>
      <c r="F456" s="1018"/>
      <c r="G456" s="1018"/>
      <c r="H456" s="406"/>
      <c r="I456" s="550"/>
    </row>
    <row r="457" spans="1:9" ht="12.75">
      <c r="A457" s="362"/>
      <c r="B457" s="364" t="s">
        <v>284</v>
      </c>
      <c r="C457" s="1018"/>
      <c r="D457" s="1018"/>
      <c r="E457" s="1018"/>
      <c r="F457" s="1018"/>
      <c r="G457" s="1018"/>
      <c r="H457" s="1089"/>
      <c r="I457" s="549"/>
    </row>
    <row r="458" spans="1:9" ht="12.75">
      <c r="A458" s="362"/>
      <c r="B458" s="296" t="s">
        <v>120</v>
      </c>
      <c r="C458" s="1018">
        <v>10000</v>
      </c>
      <c r="D458" s="1018">
        <v>10000</v>
      </c>
      <c r="E458" s="1018">
        <v>10000</v>
      </c>
      <c r="F458" s="1018">
        <v>10000</v>
      </c>
      <c r="G458" s="1018">
        <v>10000</v>
      </c>
      <c r="H458" s="1086">
        <f t="shared" si="6"/>
        <v>1</v>
      </c>
      <c r="I458" s="433"/>
    </row>
    <row r="459" spans="1:9" ht="12.75">
      <c r="A459" s="362"/>
      <c r="B459" s="296" t="s">
        <v>293</v>
      </c>
      <c r="C459" s="959"/>
      <c r="D459" s="959"/>
      <c r="E459" s="959"/>
      <c r="F459" s="959"/>
      <c r="G459" s="959"/>
      <c r="H459" s="1086"/>
      <c r="I459" s="433"/>
    </row>
    <row r="460" spans="1:9" ht="12.75" thickBot="1">
      <c r="A460" s="362"/>
      <c r="B460" s="418" t="s">
        <v>88</v>
      </c>
      <c r="C460" s="1020"/>
      <c r="D460" s="1020"/>
      <c r="E460" s="1020"/>
      <c r="F460" s="1020"/>
      <c r="G460" s="1020"/>
      <c r="H460" s="1091"/>
      <c r="I460" s="451"/>
    </row>
    <row r="461" spans="1:9" ht="12.75" thickBot="1">
      <c r="A461" s="371"/>
      <c r="B461" s="421" t="s">
        <v>136</v>
      </c>
      <c r="C461" s="972">
        <f>SUM(C455:C460)</f>
        <v>10000</v>
      </c>
      <c r="D461" s="972">
        <f>SUM(D455:D460)</f>
        <v>10000</v>
      </c>
      <c r="E461" s="972">
        <f>SUM(E455:E460)</f>
        <v>10000</v>
      </c>
      <c r="F461" s="972">
        <f>SUM(F455:F460)</f>
        <v>10000</v>
      </c>
      <c r="G461" s="972">
        <f>SUM(G455:G460)</f>
        <v>10000</v>
      </c>
      <c r="H461" s="1088">
        <f t="shared" si="6"/>
        <v>1</v>
      </c>
      <c r="I461" s="437"/>
    </row>
    <row r="462" spans="1:9" ht="12.75">
      <c r="A462" s="372">
        <v>3316</v>
      </c>
      <c r="B462" s="209" t="s">
        <v>138</v>
      </c>
      <c r="C462" s="1017"/>
      <c r="D462" s="1017"/>
      <c r="E462" s="1017"/>
      <c r="F462" s="1017"/>
      <c r="G462" s="1017"/>
      <c r="H462" s="406"/>
      <c r="I462" s="433"/>
    </row>
    <row r="463" spans="1:9" ht="12.75">
      <c r="A463" s="362"/>
      <c r="B463" s="363" t="s">
        <v>115</v>
      </c>
      <c r="C463" s="1018"/>
      <c r="D463" s="1018"/>
      <c r="E463" s="1018"/>
      <c r="F463" s="1018"/>
      <c r="G463" s="1018"/>
      <c r="H463" s="406"/>
      <c r="I463" s="433"/>
    </row>
    <row r="464" spans="1:9" ht="12.75">
      <c r="A464" s="362"/>
      <c r="B464" s="179" t="s">
        <v>298</v>
      </c>
      <c r="C464" s="1018"/>
      <c r="D464" s="1018"/>
      <c r="E464" s="1018"/>
      <c r="F464" s="1018"/>
      <c r="G464" s="1018"/>
      <c r="H464" s="406"/>
      <c r="I464" s="472"/>
    </row>
    <row r="465" spans="1:9" ht="12.75">
      <c r="A465" s="362"/>
      <c r="B465" s="364" t="s">
        <v>284</v>
      </c>
      <c r="C465" s="1018"/>
      <c r="D465" s="1018"/>
      <c r="E465" s="1018"/>
      <c r="F465" s="1018"/>
      <c r="G465" s="1018"/>
      <c r="H465" s="1089"/>
      <c r="I465" s="549"/>
    </row>
    <row r="466" spans="1:9" ht="12.75">
      <c r="A466" s="362"/>
      <c r="B466" s="296" t="s">
        <v>120</v>
      </c>
      <c r="C466" s="1018">
        <v>5000</v>
      </c>
      <c r="D466" s="1018">
        <v>5000</v>
      </c>
      <c r="E466" s="1018">
        <v>5000</v>
      </c>
      <c r="F466" s="1018">
        <v>5000</v>
      </c>
      <c r="G466" s="1018">
        <v>5000</v>
      </c>
      <c r="H466" s="1086">
        <f t="shared" si="6"/>
        <v>1</v>
      </c>
      <c r="I466" s="433"/>
    </row>
    <row r="467" spans="1:9" ht="12.75">
      <c r="A467" s="362"/>
      <c r="B467" s="296" t="s">
        <v>293</v>
      </c>
      <c r="C467" s="959"/>
      <c r="D467" s="959"/>
      <c r="E467" s="959"/>
      <c r="F467" s="959"/>
      <c r="G467" s="959"/>
      <c r="H467" s="1086"/>
      <c r="I467" s="433"/>
    </row>
    <row r="468" spans="1:9" ht="12.75" thickBot="1">
      <c r="A468" s="362"/>
      <c r="B468" s="418" t="s">
        <v>88</v>
      </c>
      <c r="C468" s="1020"/>
      <c r="D468" s="1020"/>
      <c r="E468" s="1020"/>
      <c r="F468" s="1020"/>
      <c r="G468" s="1020"/>
      <c r="H468" s="1091"/>
      <c r="I468" s="451"/>
    </row>
    <row r="469" spans="1:9" ht="12.75" thickBot="1">
      <c r="A469" s="371"/>
      <c r="B469" s="421" t="s">
        <v>136</v>
      </c>
      <c r="C469" s="972">
        <f>SUM(C463:C468)</f>
        <v>5000</v>
      </c>
      <c r="D469" s="972">
        <f>SUM(D463:D468)</f>
        <v>5000</v>
      </c>
      <c r="E469" s="972">
        <f>SUM(E463:E468)</f>
        <v>5000</v>
      </c>
      <c r="F469" s="972">
        <f>SUM(F463:F468)</f>
        <v>5000</v>
      </c>
      <c r="G469" s="972">
        <f>SUM(G463:G468)</f>
        <v>5000</v>
      </c>
      <c r="H469" s="1088">
        <f aca="true" t="shared" si="7" ref="H469:H527">SUM(G469/F469)</f>
        <v>1</v>
      </c>
      <c r="I469" s="437"/>
    </row>
    <row r="470" spans="1:9" ht="12.75">
      <c r="A470" s="372">
        <v>3317</v>
      </c>
      <c r="B470" s="209" t="s">
        <v>386</v>
      </c>
      <c r="C470" s="1017"/>
      <c r="D470" s="1017"/>
      <c r="E470" s="1017"/>
      <c r="F470" s="1017"/>
      <c r="G470" s="1017"/>
      <c r="H470" s="406"/>
      <c r="I470" s="433"/>
    </row>
    <row r="471" spans="1:9" ht="12.75">
      <c r="A471" s="362"/>
      <c r="B471" s="363" t="s">
        <v>115</v>
      </c>
      <c r="C471" s="1018"/>
      <c r="D471" s="1018"/>
      <c r="E471" s="1018"/>
      <c r="F471" s="1018"/>
      <c r="G471" s="1018"/>
      <c r="H471" s="406"/>
      <c r="I471" s="433"/>
    </row>
    <row r="472" spans="1:9" ht="12.75">
      <c r="A472" s="362"/>
      <c r="B472" s="179" t="s">
        <v>298</v>
      </c>
      <c r="C472" s="1018"/>
      <c r="D472" s="1018"/>
      <c r="E472" s="1018"/>
      <c r="F472" s="1018"/>
      <c r="G472" s="1018"/>
      <c r="H472" s="1089"/>
      <c r="I472" s="550"/>
    </row>
    <row r="473" spans="1:9" ht="12.75">
      <c r="A473" s="362"/>
      <c r="B473" s="364" t="s">
        <v>284</v>
      </c>
      <c r="C473" s="1018">
        <v>2200</v>
      </c>
      <c r="D473" s="1018">
        <v>2200</v>
      </c>
      <c r="E473" s="1018">
        <v>2200</v>
      </c>
      <c r="F473" s="1018">
        <v>2200</v>
      </c>
      <c r="G473" s="1018">
        <v>2200</v>
      </c>
      <c r="H473" s="1086">
        <f t="shared" si="7"/>
        <v>1</v>
      </c>
      <c r="I473" s="550"/>
    </row>
    <row r="474" spans="1:9" ht="12.75">
      <c r="A474" s="362"/>
      <c r="B474" s="296" t="s">
        <v>120</v>
      </c>
      <c r="C474" s="1018">
        <v>87800</v>
      </c>
      <c r="D474" s="1018">
        <v>87800</v>
      </c>
      <c r="E474" s="1018">
        <v>88067</v>
      </c>
      <c r="F474" s="1018">
        <v>88067</v>
      </c>
      <c r="G474" s="1018">
        <v>88067</v>
      </c>
      <c r="H474" s="1086">
        <f t="shared" si="7"/>
        <v>1</v>
      </c>
      <c r="I474" s="549"/>
    </row>
    <row r="475" spans="1:9" ht="12.75">
      <c r="A475" s="362"/>
      <c r="B475" s="296" t="s">
        <v>293</v>
      </c>
      <c r="C475" s="959"/>
      <c r="D475" s="959"/>
      <c r="E475" s="959"/>
      <c r="F475" s="959"/>
      <c r="G475" s="959"/>
      <c r="H475" s="1086"/>
      <c r="I475" s="1094"/>
    </row>
    <row r="476" spans="1:9" ht="12.75" thickBot="1">
      <c r="A476" s="362"/>
      <c r="B476" s="418" t="s">
        <v>88</v>
      </c>
      <c r="C476" s="1020"/>
      <c r="D476" s="1020"/>
      <c r="E476" s="1020"/>
      <c r="F476" s="1020"/>
      <c r="G476" s="1020"/>
      <c r="H476" s="1091"/>
      <c r="I476" s="451"/>
    </row>
    <row r="477" spans="1:9" ht="12.75" thickBot="1">
      <c r="A477" s="371"/>
      <c r="B477" s="421" t="s">
        <v>136</v>
      </c>
      <c r="C477" s="972">
        <f>SUM(C471:C476)</f>
        <v>90000</v>
      </c>
      <c r="D477" s="972">
        <f>SUM(D471:D476)</f>
        <v>90000</v>
      </c>
      <c r="E477" s="972">
        <f>SUM(E471:E476)</f>
        <v>90267</v>
      </c>
      <c r="F477" s="972">
        <f>SUM(F471:F476)</f>
        <v>90267</v>
      </c>
      <c r="G477" s="972">
        <f>SUM(G471:G476)</f>
        <v>90267</v>
      </c>
      <c r="H477" s="1088">
        <f t="shared" si="7"/>
        <v>1</v>
      </c>
      <c r="I477" s="437"/>
    </row>
    <row r="478" spans="1:9" ht="12.95" customHeight="1">
      <c r="A478" s="73">
        <v>3319</v>
      </c>
      <c r="B478" s="444" t="s">
        <v>1108</v>
      </c>
      <c r="C478" s="1017"/>
      <c r="D478" s="1017"/>
      <c r="E478" s="1017"/>
      <c r="F478" s="1017"/>
      <c r="G478" s="1017"/>
      <c r="H478" s="406"/>
      <c r="I478" s="433"/>
    </row>
    <row r="479" spans="1:9" ht="12" customHeight="1">
      <c r="A479" s="362"/>
      <c r="B479" s="363" t="s">
        <v>115</v>
      </c>
      <c r="C479" s="1018"/>
      <c r="D479" s="1018"/>
      <c r="E479" s="1018"/>
      <c r="F479" s="1018"/>
      <c r="G479" s="1018"/>
      <c r="H479" s="406"/>
      <c r="I479" s="433"/>
    </row>
    <row r="480" spans="1:9" ht="12" customHeight="1">
      <c r="A480" s="362"/>
      <c r="B480" s="179" t="s">
        <v>298</v>
      </c>
      <c r="C480" s="1018"/>
      <c r="D480" s="1018"/>
      <c r="E480" s="1018"/>
      <c r="F480" s="1018"/>
      <c r="G480" s="1018"/>
      <c r="H480" s="406"/>
      <c r="I480" s="433"/>
    </row>
    <row r="481" spans="1:9" ht="12" customHeight="1">
      <c r="A481" s="362"/>
      <c r="B481" s="364" t="s">
        <v>284</v>
      </c>
      <c r="C481" s="1018"/>
      <c r="D481" s="1018"/>
      <c r="E481" s="1018"/>
      <c r="F481" s="1018"/>
      <c r="G481" s="1018"/>
      <c r="H481" s="406"/>
      <c r="I481" s="550"/>
    </row>
    <row r="482" spans="1:9" ht="12" customHeight="1">
      <c r="A482" s="362"/>
      <c r="B482" s="296" t="s">
        <v>120</v>
      </c>
      <c r="C482" s="1018"/>
      <c r="D482" s="1018"/>
      <c r="E482" s="1018"/>
      <c r="F482" s="1018"/>
      <c r="G482" s="1018"/>
      <c r="H482" s="406"/>
      <c r="I482" s="554"/>
    </row>
    <row r="483" spans="1:9" ht="12" customHeight="1">
      <c r="A483" s="362"/>
      <c r="B483" s="296" t="s">
        <v>293</v>
      </c>
      <c r="C483" s="959"/>
      <c r="D483" s="959"/>
      <c r="E483" s="959"/>
      <c r="F483" s="959"/>
      <c r="G483" s="959"/>
      <c r="H483" s="406"/>
      <c r="I483" s="549"/>
    </row>
    <row r="484" spans="1:9" ht="12" customHeight="1">
      <c r="A484" s="362"/>
      <c r="B484" s="296" t="s">
        <v>120</v>
      </c>
      <c r="C484" s="1018"/>
      <c r="D484" s="1018"/>
      <c r="E484" s="1018"/>
      <c r="F484" s="1018"/>
      <c r="G484" s="1018"/>
      <c r="H484" s="406"/>
      <c r="I484" s="550"/>
    </row>
    <row r="485" spans="1:9" ht="12" customHeight="1" thickBot="1">
      <c r="A485" s="362"/>
      <c r="B485" s="418" t="s">
        <v>88</v>
      </c>
      <c r="C485" s="1020"/>
      <c r="D485" s="1020"/>
      <c r="E485" s="1020"/>
      <c r="F485" s="1020"/>
      <c r="G485" s="1020"/>
      <c r="H485" s="1087"/>
      <c r="I485" s="451"/>
    </row>
    <row r="486" spans="1:9" ht="12" customHeight="1" thickBot="1">
      <c r="A486" s="371"/>
      <c r="B486" s="421" t="s">
        <v>136</v>
      </c>
      <c r="C486" s="972">
        <f>SUM(C479:C485)</f>
        <v>0</v>
      </c>
      <c r="D486" s="972">
        <f>SUM(D479:D485)</f>
        <v>0</v>
      </c>
      <c r="E486" s="972">
        <f>SUM(E479:E485)</f>
        <v>0</v>
      </c>
      <c r="F486" s="972">
        <f>SUM(F479:F485)</f>
        <v>0</v>
      </c>
      <c r="G486" s="972">
        <f>SUM(G479:G485)</f>
        <v>0</v>
      </c>
      <c r="H486" s="1088"/>
      <c r="I486" s="437"/>
    </row>
    <row r="487" spans="1:9" ht="12" customHeight="1">
      <c r="A487" s="73">
        <v>3320</v>
      </c>
      <c r="B487" s="209" t="s">
        <v>8</v>
      </c>
      <c r="C487" s="1017"/>
      <c r="D487" s="1017"/>
      <c r="E487" s="1017"/>
      <c r="F487" s="1017"/>
      <c r="G487" s="1017"/>
      <c r="H487" s="406"/>
      <c r="I487" s="433"/>
    </row>
    <row r="488" spans="1:9" ht="12" customHeight="1">
      <c r="A488" s="362"/>
      <c r="B488" s="363" t="s">
        <v>115</v>
      </c>
      <c r="C488" s="1018"/>
      <c r="D488" s="1018"/>
      <c r="E488" s="1018"/>
      <c r="F488" s="1018"/>
      <c r="G488" s="1018"/>
      <c r="H488" s="406"/>
      <c r="I488" s="433"/>
    </row>
    <row r="489" spans="1:9" ht="12" customHeight="1">
      <c r="A489" s="362"/>
      <c r="B489" s="179" t="s">
        <v>298</v>
      </c>
      <c r="C489" s="1018"/>
      <c r="D489" s="1018"/>
      <c r="E489" s="1018"/>
      <c r="F489" s="1018"/>
      <c r="G489" s="1018"/>
      <c r="H489" s="406"/>
      <c r="I489" s="433"/>
    </row>
    <row r="490" spans="1:9" ht="12" customHeight="1">
      <c r="A490" s="362"/>
      <c r="B490" s="364" t="s">
        <v>284</v>
      </c>
      <c r="C490" s="1018"/>
      <c r="D490" s="1018"/>
      <c r="E490" s="1018"/>
      <c r="F490" s="1018"/>
      <c r="G490" s="1018"/>
      <c r="H490" s="406"/>
      <c r="I490" s="549"/>
    </row>
    <row r="491" spans="1:9" ht="12" customHeight="1">
      <c r="A491" s="362"/>
      <c r="B491" s="296" t="s">
        <v>120</v>
      </c>
      <c r="C491" s="1018">
        <v>1000</v>
      </c>
      <c r="D491" s="1018">
        <v>1000</v>
      </c>
      <c r="E491" s="1018">
        <v>1097</v>
      </c>
      <c r="F491" s="1018">
        <v>1097</v>
      </c>
      <c r="G491" s="1018">
        <v>1097</v>
      </c>
      <c r="H491" s="1089">
        <f t="shared" si="7"/>
        <v>1</v>
      </c>
      <c r="I491" s="555"/>
    </row>
    <row r="492" spans="1:9" ht="12" customHeight="1">
      <c r="A492" s="362"/>
      <c r="B492" s="296" t="s">
        <v>293</v>
      </c>
      <c r="C492" s="959"/>
      <c r="D492" s="959"/>
      <c r="E492" s="959"/>
      <c r="F492" s="959"/>
      <c r="G492" s="959"/>
      <c r="H492" s="1086"/>
      <c r="I492" s="549"/>
    </row>
    <row r="493" spans="1:9" ht="12" customHeight="1">
      <c r="A493" s="362"/>
      <c r="B493" s="296" t="s">
        <v>120</v>
      </c>
      <c r="C493" s="1018"/>
      <c r="D493" s="1018"/>
      <c r="E493" s="1018"/>
      <c r="F493" s="1018"/>
      <c r="G493" s="1018"/>
      <c r="H493" s="1086"/>
      <c r="I493" s="472"/>
    </row>
    <row r="494" spans="1:9" ht="12" customHeight="1" thickBot="1">
      <c r="A494" s="362"/>
      <c r="B494" s="418" t="s">
        <v>88</v>
      </c>
      <c r="C494" s="1020"/>
      <c r="D494" s="1020"/>
      <c r="E494" s="1020"/>
      <c r="F494" s="1020"/>
      <c r="G494" s="1020"/>
      <c r="H494" s="1091"/>
      <c r="I494" s="451"/>
    </row>
    <row r="495" spans="1:9" ht="12" customHeight="1" thickBot="1">
      <c r="A495" s="371"/>
      <c r="B495" s="421" t="s">
        <v>136</v>
      </c>
      <c r="C495" s="975">
        <f>SUM(C488:C494)</f>
        <v>1000</v>
      </c>
      <c r="D495" s="975">
        <f>SUM(D488:D494)</f>
        <v>1000</v>
      </c>
      <c r="E495" s="975">
        <f>SUM(E488:E494)</f>
        <v>1097</v>
      </c>
      <c r="F495" s="975">
        <f>SUM(F488:F494)</f>
        <v>1097</v>
      </c>
      <c r="G495" s="975">
        <f>SUM(G488:G494)</f>
        <v>1097</v>
      </c>
      <c r="H495" s="1088">
        <f t="shared" si="7"/>
        <v>1</v>
      </c>
      <c r="I495" s="437"/>
    </row>
    <row r="496" spans="1:9" ht="12" customHeight="1">
      <c r="A496" s="73">
        <v>3322</v>
      </c>
      <c r="B496" s="209" t="s">
        <v>400</v>
      </c>
      <c r="C496" s="1017"/>
      <c r="D496" s="1017"/>
      <c r="E496" s="1017"/>
      <c r="F496" s="1017"/>
      <c r="G496" s="1017"/>
      <c r="H496" s="406"/>
      <c r="I496" s="433"/>
    </row>
    <row r="497" spans="1:9" ht="12" customHeight="1">
      <c r="A497" s="362"/>
      <c r="B497" s="363" t="s">
        <v>115</v>
      </c>
      <c r="C497" s="1018"/>
      <c r="D497" s="1018"/>
      <c r="E497" s="1018"/>
      <c r="F497" s="1018"/>
      <c r="G497" s="1018"/>
      <c r="H497" s="406"/>
      <c r="I497" s="433"/>
    </row>
    <row r="498" spans="1:9" ht="12" customHeight="1">
      <c r="A498" s="362"/>
      <c r="B498" s="179" t="s">
        <v>298</v>
      </c>
      <c r="C498" s="1018"/>
      <c r="D498" s="1018"/>
      <c r="E498" s="1018"/>
      <c r="F498" s="1018"/>
      <c r="G498" s="1018"/>
      <c r="H498" s="1089"/>
      <c r="I498" s="550"/>
    </row>
    <row r="499" spans="1:9" ht="12" customHeight="1">
      <c r="A499" s="362"/>
      <c r="B499" s="364" t="s">
        <v>284</v>
      </c>
      <c r="C499" s="1018">
        <v>600</v>
      </c>
      <c r="D499" s="1018">
        <v>600</v>
      </c>
      <c r="E499" s="1018">
        <v>600</v>
      </c>
      <c r="F499" s="1018">
        <v>600</v>
      </c>
      <c r="G499" s="1018">
        <v>600</v>
      </c>
      <c r="H499" s="1086">
        <f t="shared" si="7"/>
        <v>1</v>
      </c>
      <c r="I499" s="725"/>
    </row>
    <row r="500" spans="1:9" ht="12" customHeight="1">
      <c r="A500" s="362"/>
      <c r="B500" s="296" t="s">
        <v>120</v>
      </c>
      <c r="C500" s="1018">
        <v>8900</v>
      </c>
      <c r="D500" s="1018">
        <v>8900</v>
      </c>
      <c r="E500" s="1018">
        <v>8938</v>
      </c>
      <c r="F500" s="1018">
        <v>8938</v>
      </c>
      <c r="G500" s="1018">
        <v>8938</v>
      </c>
      <c r="H500" s="1086">
        <f t="shared" si="7"/>
        <v>1</v>
      </c>
      <c r="I500" s="725"/>
    </row>
    <row r="501" spans="1:9" ht="12" customHeight="1">
      <c r="A501" s="362"/>
      <c r="B501" s="296" t="s">
        <v>293</v>
      </c>
      <c r="C501" s="959"/>
      <c r="D501" s="959"/>
      <c r="E501" s="959"/>
      <c r="F501" s="959"/>
      <c r="G501" s="959"/>
      <c r="H501" s="1086"/>
      <c r="I501" s="472"/>
    </row>
    <row r="502" spans="1:9" ht="12" customHeight="1" thickBot="1">
      <c r="A502" s="362"/>
      <c r="B502" s="418" t="s">
        <v>88</v>
      </c>
      <c r="C502" s="1020"/>
      <c r="D502" s="1020"/>
      <c r="E502" s="1020"/>
      <c r="F502" s="1020"/>
      <c r="G502" s="1020"/>
      <c r="H502" s="1091"/>
      <c r="I502" s="478"/>
    </row>
    <row r="503" spans="1:9" ht="12" customHeight="1" thickBot="1">
      <c r="A503" s="371"/>
      <c r="B503" s="421" t="s">
        <v>136</v>
      </c>
      <c r="C503" s="975">
        <f>SUM(C497:C502)</f>
        <v>9500</v>
      </c>
      <c r="D503" s="975">
        <f>SUM(D497:D502)</f>
        <v>9500</v>
      </c>
      <c r="E503" s="975">
        <f>SUM(E497:E502)</f>
        <v>9538</v>
      </c>
      <c r="F503" s="975">
        <f>SUM(F497:F502)</f>
        <v>9538</v>
      </c>
      <c r="G503" s="975">
        <f>SUM(G497:G502)</f>
        <v>9538</v>
      </c>
      <c r="H503" s="1088">
        <f t="shared" si="7"/>
        <v>1</v>
      </c>
      <c r="I503" s="437"/>
    </row>
    <row r="504" spans="1:9" ht="12" customHeight="1">
      <c r="A504" s="73">
        <v>3323</v>
      </c>
      <c r="B504" s="209" t="s">
        <v>361</v>
      </c>
      <c r="C504" s="1017"/>
      <c r="D504" s="1017"/>
      <c r="E504" s="1017"/>
      <c r="F504" s="1017"/>
      <c r="G504" s="1017"/>
      <c r="H504" s="406"/>
      <c r="I504" s="433"/>
    </row>
    <row r="505" spans="1:9" ht="12" customHeight="1">
      <c r="A505" s="362"/>
      <c r="B505" s="363" t="s">
        <v>115</v>
      </c>
      <c r="C505" s="1018"/>
      <c r="D505" s="1018"/>
      <c r="E505" s="1018"/>
      <c r="F505" s="1018"/>
      <c r="G505" s="1018"/>
      <c r="H505" s="406"/>
      <c r="I505" s="433"/>
    </row>
    <row r="506" spans="1:9" ht="12" customHeight="1">
      <c r="A506" s="362"/>
      <c r="B506" s="179" t="s">
        <v>298</v>
      </c>
      <c r="C506" s="1018"/>
      <c r="D506" s="1018"/>
      <c r="E506" s="1018"/>
      <c r="F506" s="1018"/>
      <c r="G506" s="1018"/>
      <c r="H506" s="1089"/>
      <c r="I506" s="472"/>
    </row>
    <row r="507" spans="1:9" ht="12" customHeight="1">
      <c r="A507" s="362"/>
      <c r="B507" s="364" t="s">
        <v>284</v>
      </c>
      <c r="C507" s="1018">
        <v>50</v>
      </c>
      <c r="D507" s="1018">
        <v>50</v>
      </c>
      <c r="E507" s="1018">
        <v>50</v>
      </c>
      <c r="F507" s="1018">
        <v>50</v>
      </c>
      <c r="G507" s="1018">
        <v>50</v>
      </c>
      <c r="H507" s="1086">
        <f t="shared" si="7"/>
        <v>1</v>
      </c>
      <c r="I507" s="550"/>
    </row>
    <row r="508" spans="1:9" ht="12" customHeight="1">
      <c r="A508" s="362"/>
      <c r="B508" s="296" t="s">
        <v>120</v>
      </c>
      <c r="C508" s="1018">
        <v>7450</v>
      </c>
      <c r="D508" s="1018">
        <v>7450</v>
      </c>
      <c r="E508" s="1018">
        <v>7450</v>
      </c>
      <c r="F508" s="1018">
        <v>7450</v>
      </c>
      <c r="G508" s="1018">
        <v>7450</v>
      </c>
      <c r="H508" s="1086">
        <f t="shared" si="7"/>
        <v>1</v>
      </c>
      <c r="I508" s="477"/>
    </row>
    <row r="509" spans="1:9" ht="12" customHeight="1">
      <c r="A509" s="362"/>
      <c r="B509" s="296" t="s">
        <v>293</v>
      </c>
      <c r="C509" s="959"/>
      <c r="D509" s="959"/>
      <c r="E509" s="959"/>
      <c r="F509" s="959"/>
      <c r="G509" s="959"/>
      <c r="H509" s="1086"/>
      <c r="I509" s="472"/>
    </row>
    <row r="510" spans="1:9" ht="12" customHeight="1" thickBot="1">
      <c r="A510" s="362"/>
      <c r="B510" s="418" t="s">
        <v>88</v>
      </c>
      <c r="C510" s="1020"/>
      <c r="D510" s="1020"/>
      <c r="E510" s="1020"/>
      <c r="F510" s="1020"/>
      <c r="G510" s="1020"/>
      <c r="H510" s="1091"/>
      <c r="I510" s="478"/>
    </row>
    <row r="511" spans="1:9" ht="12" customHeight="1" thickBot="1">
      <c r="A511" s="371"/>
      <c r="B511" s="421" t="s">
        <v>136</v>
      </c>
      <c r="C511" s="972">
        <f>SUM(C505:C510)</f>
        <v>7500</v>
      </c>
      <c r="D511" s="972">
        <f>SUM(D505:D510)</f>
        <v>7500</v>
      </c>
      <c r="E511" s="972">
        <f>SUM(E505:E510)</f>
        <v>7500</v>
      </c>
      <c r="F511" s="972">
        <f>SUM(F505:F510)</f>
        <v>7500</v>
      </c>
      <c r="G511" s="972">
        <f>SUM(G505:G510)</f>
        <v>7500</v>
      </c>
      <c r="H511" s="1088">
        <f t="shared" si="7"/>
        <v>1</v>
      </c>
      <c r="I511" s="437"/>
    </row>
    <row r="512" spans="1:9" ht="12" customHeight="1">
      <c r="A512" s="73">
        <v>3324</v>
      </c>
      <c r="B512" s="209" t="s">
        <v>451</v>
      </c>
      <c r="C512" s="1017"/>
      <c r="D512" s="1017"/>
      <c r="E512" s="1017"/>
      <c r="F512" s="1017"/>
      <c r="G512" s="1017"/>
      <c r="H512" s="406"/>
      <c r="I512" s="433"/>
    </row>
    <row r="513" spans="1:9" ht="12" customHeight="1">
      <c r="A513" s="362"/>
      <c r="B513" s="363" t="s">
        <v>115</v>
      </c>
      <c r="C513" s="1018"/>
      <c r="D513" s="1018"/>
      <c r="E513" s="1018"/>
      <c r="F513" s="1018"/>
      <c r="G513" s="1018"/>
      <c r="H513" s="1089"/>
      <c r="I513" s="433"/>
    </row>
    <row r="514" spans="1:9" ht="12" customHeight="1">
      <c r="A514" s="362"/>
      <c r="B514" s="179" t="s">
        <v>298</v>
      </c>
      <c r="C514" s="1018"/>
      <c r="D514" s="1018"/>
      <c r="E514" s="1018"/>
      <c r="F514" s="1018"/>
      <c r="G514" s="1018"/>
      <c r="H514" s="1086"/>
      <c r="I514" s="472"/>
    </row>
    <row r="515" spans="1:9" ht="12" customHeight="1">
      <c r="A515" s="362"/>
      <c r="B515" s="364" t="s">
        <v>284</v>
      </c>
      <c r="C515" s="1018">
        <v>2000</v>
      </c>
      <c r="D515" s="1018">
        <v>2000</v>
      </c>
      <c r="E515" s="1018">
        <v>3550</v>
      </c>
      <c r="F515" s="1018">
        <v>3550</v>
      </c>
      <c r="G515" s="1018">
        <v>3550</v>
      </c>
      <c r="H515" s="1086">
        <f t="shared" si="7"/>
        <v>1</v>
      </c>
      <c r="I515" s="550"/>
    </row>
    <row r="516" spans="1:9" ht="12" customHeight="1">
      <c r="A516" s="362"/>
      <c r="B516" s="296" t="s">
        <v>120</v>
      </c>
      <c r="C516" s="1018"/>
      <c r="D516" s="1018"/>
      <c r="E516" s="1018"/>
      <c r="F516" s="1018"/>
      <c r="G516" s="1018"/>
      <c r="H516" s="1086"/>
      <c r="I516" s="477"/>
    </row>
    <row r="517" spans="1:9" ht="12" customHeight="1">
      <c r="A517" s="362"/>
      <c r="B517" s="296" t="s">
        <v>293</v>
      </c>
      <c r="C517" s="959"/>
      <c r="D517" s="959"/>
      <c r="E517" s="959"/>
      <c r="F517" s="959"/>
      <c r="G517" s="959"/>
      <c r="H517" s="1086"/>
      <c r="I517" s="472"/>
    </row>
    <row r="518" spans="1:9" ht="12" customHeight="1" thickBot="1">
      <c r="A518" s="362"/>
      <c r="B518" s="418" t="s">
        <v>88</v>
      </c>
      <c r="C518" s="1020"/>
      <c r="D518" s="1020"/>
      <c r="E518" s="1020"/>
      <c r="F518" s="1020"/>
      <c r="G518" s="1020"/>
      <c r="H518" s="1091"/>
      <c r="I518" s="478"/>
    </row>
    <row r="519" spans="1:9" ht="12" customHeight="1" thickBot="1">
      <c r="A519" s="371"/>
      <c r="B519" s="421" t="s">
        <v>136</v>
      </c>
      <c r="C519" s="972">
        <f>SUM(C513:C518)</f>
        <v>2000</v>
      </c>
      <c r="D519" s="972">
        <f>SUM(D513:D518)</f>
        <v>2000</v>
      </c>
      <c r="E519" s="972">
        <f>SUM(E513:E518)</f>
        <v>3550</v>
      </c>
      <c r="F519" s="972">
        <f>SUM(F513:F518)</f>
        <v>3550</v>
      </c>
      <c r="G519" s="972">
        <f>SUM(G513:G518)</f>
        <v>3550</v>
      </c>
      <c r="H519" s="1088">
        <f t="shared" si="7"/>
        <v>1</v>
      </c>
      <c r="I519" s="437"/>
    </row>
    <row r="520" spans="1:9" ht="12" customHeight="1">
      <c r="A520" s="73">
        <v>3325</v>
      </c>
      <c r="B520" s="209" t="s">
        <v>1039</v>
      </c>
      <c r="C520" s="1017"/>
      <c r="D520" s="1017"/>
      <c r="E520" s="1017"/>
      <c r="F520" s="1017"/>
      <c r="G520" s="1017"/>
      <c r="H520" s="406"/>
      <c r="I520" s="433"/>
    </row>
    <row r="521" spans="1:9" ht="12" customHeight="1">
      <c r="A521" s="362"/>
      <c r="B521" s="363" t="s">
        <v>115</v>
      </c>
      <c r="C521" s="1018"/>
      <c r="D521" s="1018"/>
      <c r="E521" s="1018"/>
      <c r="F521" s="1018"/>
      <c r="G521" s="1018"/>
      <c r="H521" s="406"/>
      <c r="I521" s="433"/>
    </row>
    <row r="522" spans="1:9" ht="12" customHeight="1">
      <c r="A522" s="362"/>
      <c r="B522" s="179" t="s">
        <v>298</v>
      </c>
      <c r="C522" s="1018"/>
      <c r="D522" s="1018"/>
      <c r="E522" s="1018"/>
      <c r="F522" s="1018"/>
      <c r="G522" s="1018"/>
      <c r="H522" s="1089"/>
      <c r="I522" s="472"/>
    </row>
    <row r="523" spans="1:9" ht="12" customHeight="1">
      <c r="A523" s="362"/>
      <c r="B523" s="364" t="s">
        <v>284</v>
      </c>
      <c r="C523" s="1018">
        <v>2000</v>
      </c>
      <c r="D523" s="1018">
        <v>2000</v>
      </c>
      <c r="E523" s="1018">
        <v>2000</v>
      </c>
      <c r="F523" s="1018">
        <v>2000</v>
      </c>
      <c r="G523" s="1018">
        <v>2000</v>
      </c>
      <c r="H523" s="1086">
        <f t="shared" si="7"/>
        <v>1</v>
      </c>
      <c r="I523" s="725"/>
    </row>
    <row r="524" spans="1:9" ht="12" customHeight="1">
      <c r="A524" s="362"/>
      <c r="B524" s="296" t="s">
        <v>120</v>
      </c>
      <c r="C524" s="1018">
        <v>38000</v>
      </c>
      <c r="D524" s="1018">
        <v>38000</v>
      </c>
      <c r="E524" s="1018">
        <v>38252</v>
      </c>
      <c r="F524" s="1018">
        <v>38252</v>
      </c>
      <c r="G524" s="1018">
        <v>38252</v>
      </c>
      <c r="H524" s="1086">
        <f t="shared" si="7"/>
        <v>1</v>
      </c>
      <c r="I524" s="1096"/>
    </row>
    <row r="525" spans="1:9" ht="12" customHeight="1">
      <c r="A525" s="362"/>
      <c r="B525" s="296" t="s">
        <v>293</v>
      </c>
      <c r="C525" s="959"/>
      <c r="D525" s="959"/>
      <c r="E525" s="959"/>
      <c r="F525" s="959"/>
      <c r="G525" s="959"/>
      <c r="H525" s="1086"/>
      <c r="I525" s="554"/>
    </row>
    <row r="526" spans="1:9" ht="12" customHeight="1" thickBot="1">
      <c r="A526" s="362"/>
      <c r="B526" s="418" t="s">
        <v>88</v>
      </c>
      <c r="C526" s="1020"/>
      <c r="D526" s="1020"/>
      <c r="E526" s="1020"/>
      <c r="F526" s="1020"/>
      <c r="G526" s="1020"/>
      <c r="H526" s="1091"/>
      <c r="I526" s="478"/>
    </row>
    <row r="527" spans="1:9" ht="12" customHeight="1" thickBot="1">
      <c r="A527" s="371"/>
      <c r="B527" s="421" t="s">
        <v>136</v>
      </c>
      <c r="C527" s="972">
        <f>SUM(C521:C526)</f>
        <v>40000</v>
      </c>
      <c r="D527" s="972">
        <f>SUM(D521:D526)</f>
        <v>40000</v>
      </c>
      <c r="E527" s="972">
        <f>SUM(E521:E526)</f>
        <v>40252</v>
      </c>
      <c r="F527" s="972">
        <f>SUM(F521:F526)</f>
        <v>40252</v>
      </c>
      <c r="G527" s="972">
        <f>SUM(G521:G526)</f>
        <v>40252</v>
      </c>
      <c r="H527" s="1088">
        <f t="shared" si="7"/>
        <v>1</v>
      </c>
      <c r="I527" s="437"/>
    </row>
    <row r="528" spans="1:9" ht="12" customHeight="1">
      <c r="A528" s="73">
        <v>3326</v>
      </c>
      <c r="B528" s="209" t="s">
        <v>1040</v>
      </c>
      <c r="C528" s="1017"/>
      <c r="D528" s="1017"/>
      <c r="E528" s="1017"/>
      <c r="F528" s="1017"/>
      <c r="G528" s="1017"/>
      <c r="H528" s="406"/>
      <c r="I528" s="433"/>
    </row>
    <row r="529" spans="1:9" ht="12" customHeight="1">
      <c r="A529" s="362"/>
      <c r="B529" s="363" t="s">
        <v>115</v>
      </c>
      <c r="C529" s="1018"/>
      <c r="D529" s="1018"/>
      <c r="E529" s="1018"/>
      <c r="F529" s="1018"/>
      <c r="G529" s="1018"/>
      <c r="H529" s="406"/>
      <c r="I529" s="433"/>
    </row>
    <row r="530" spans="1:9" ht="12" customHeight="1">
      <c r="A530" s="362"/>
      <c r="B530" s="179" t="s">
        <v>298</v>
      </c>
      <c r="C530" s="1018"/>
      <c r="D530" s="1018"/>
      <c r="E530" s="1018"/>
      <c r="F530" s="1018"/>
      <c r="G530" s="1018"/>
      <c r="H530" s="1089"/>
      <c r="I530" s="472"/>
    </row>
    <row r="531" spans="1:9" ht="12" customHeight="1">
      <c r="A531" s="362"/>
      <c r="B531" s="364" t="s">
        <v>284</v>
      </c>
      <c r="C531" s="1018"/>
      <c r="D531" s="1018"/>
      <c r="E531" s="1018"/>
      <c r="F531" s="1018"/>
      <c r="G531" s="1018"/>
      <c r="H531" s="1086"/>
      <c r="I531" s="550"/>
    </row>
    <row r="532" spans="1:9" ht="12" customHeight="1">
      <c r="A532" s="362"/>
      <c r="B532" s="296" t="s">
        <v>120</v>
      </c>
      <c r="C532" s="1018">
        <v>4000</v>
      </c>
      <c r="D532" s="1018">
        <v>4000</v>
      </c>
      <c r="E532" s="1018">
        <v>4000</v>
      </c>
      <c r="F532" s="1018">
        <v>4000</v>
      </c>
      <c r="G532" s="1018">
        <v>6500</v>
      </c>
      <c r="H532" s="1086">
        <f aca="true" t="shared" si="8" ref="H532:H592">SUM(G532/F532)</f>
        <v>1.625</v>
      </c>
      <c r="I532" s="477"/>
    </row>
    <row r="533" spans="1:9" ht="12" customHeight="1">
      <c r="A533" s="362"/>
      <c r="B533" s="296" t="s">
        <v>293</v>
      </c>
      <c r="C533" s="959"/>
      <c r="D533" s="959"/>
      <c r="E533" s="959"/>
      <c r="F533" s="959"/>
      <c r="G533" s="959"/>
      <c r="H533" s="1086"/>
      <c r="I533" s="472"/>
    </row>
    <row r="534" spans="1:9" ht="12" customHeight="1" thickBot="1">
      <c r="A534" s="362"/>
      <c r="B534" s="418" t="s">
        <v>88</v>
      </c>
      <c r="C534" s="1020"/>
      <c r="D534" s="1020"/>
      <c r="E534" s="1020"/>
      <c r="F534" s="1020"/>
      <c r="G534" s="1020"/>
      <c r="H534" s="1091"/>
      <c r="I534" s="478"/>
    </row>
    <row r="535" spans="1:9" ht="12" customHeight="1" thickBot="1">
      <c r="A535" s="371"/>
      <c r="B535" s="421" t="s">
        <v>136</v>
      </c>
      <c r="C535" s="972">
        <f>SUM(C529:C534)</f>
        <v>4000</v>
      </c>
      <c r="D535" s="972">
        <f>SUM(D529:D534)</f>
        <v>4000</v>
      </c>
      <c r="E535" s="972">
        <f>SUM(E529:E534)</f>
        <v>4000</v>
      </c>
      <c r="F535" s="972">
        <f>SUM(F529:F534)</f>
        <v>4000</v>
      </c>
      <c r="G535" s="972">
        <f>SUM(G529:G534)</f>
        <v>6500</v>
      </c>
      <c r="H535" s="1088">
        <f t="shared" si="8"/>
        <v>1.625</v>
      </c>
      <c r="I535" s="437"/>
    </row>
    <row r="536" spans="1:9" ht="12" customHeight="1">
      <c r="A536" s="73">
        <v>3327</v>
      </c>
      <c r="B536" s="209" t="s">
        <v>1041</v>
      </c>
      <c r="C536" s="1017"/>
      <c r="D536" s="1017"/>
      <c r="E536" s="1017"/>
      <c r="F536" s="1017"/>
      <c r="G536" s="1017"/>
      <c r="H536" s="406"/>
      <c r="I536" s="433"/>
    </row>
    <row r="537" spans="1:9" ht="12" customHeight="1">
      <c r="A537" s="362"/>
      <c r="B537" s="363" t="s">
        <v>115</v>
      </c>
      <c r="C537" s="1018"/>
      <c r="D537" s="1018"/>
      <c r="E537" s="1018"/>
      <c r="F537" s="1018"/>
      <c r="G537" s="1018"/>
      <c r="H537" s="406"/>
      <c r="I537" s="433"/>
    </row>
    <row r="538" spans="1:9" ht="12" customHeight="1">
      <c r="A538" s="362"/>
      <c r="B538" s="179" t="s">
        <v>298</v>
      </c>
      <c r="C538" s="1018"/>
      <c r="D538" s="1018"/>
      <c r="E538" s="1018"/>
      <c r="F538" s="1018"/>
      <c r="G538" s="1018"/>
      <c r="H538" s="406"/>
      <c r="I538" s="472"/>
    </row>
    <row r="539" spans="1:9" ht="12" customHeight="1">
      <c r="A539" s="362"/>
      <c r="B539" s="364" t="s">
        <v>284</v>
      </c>
      <c r="C539" s="1018"/>
      <c r="D539" s="1018"/>
      <c r="E539" s="1018"/>
      <c r="F539" s="1018"/>
      <c r="G539" s="1018"/>
      <c r="H539" s="1089"/>
      <c r="I539" s="550"/>
    </row>
    <row r="540" spans="1:9" ht="12" customHeight="1">
      <c r="A540" s="362"/>
      <c r="B540" s="296" t="s">
        <v>120</v>
      </c>
      <c r="C540" s="1018">
        <v>1000</v>
      </c>
      <c r="D540" s="1018">
        <v>1000</v>
      </c>
      <c r="E540" s="1018">
        <v>1000</v>
      </c>
      <c r="F540" s="1018">
        <v>1000</v>
      </c>
      <c r="G540" s="1018">
        <v>1000</v>
      </c>
      <c r="H540" s="1086">
        <f t="shared" si="8"/>
        <v>1</v>
      </c>
      <c r="I540" s="477"/>
    </row>
    <row r="541" spans="1:9" ht="12" customHeight="1">
      <c r="A541" s="362"/>
      <c r="B541" s="296" t="s">
        <v>293</v>
      </c>
      <c r="C541" s="959"/>
      <c r="D541" s="959"/>
      <c r="E541" s="959"/>
      <c r="F541" s="959"/>
      <c r="G541" s="959"/>
      <c r="H541" s="1086"/>
      <c r="I541" s="472"/>
    </row>
    <row r="542" spans="1:9" ht="12" customHeight="1" thickBot="1">
      <c r="A542" s="362"/>
      <c r="B542" s="418" t="s">
        <v>88</v>
      </c>
      <c r="C542" s="1020"/>
      <c r="D542" s="1020"/>
      <c r="E542" s="1020"/>
      <c r="F542" s="1020"/>
      <c r="G542" s="1020"/>
      <c r="H542" s="1091"/>
      <c r="I542" s="478"/>
    </row>
    <row r="543" spans="1:9" ht="12" customHeight="1" thickBot="1">
      <c r="A543" s="371"/>
      <c r="B543" s="421" t="s">
        <v>136</v>
      </c>
      <c r="C543" s="972">
        <f>SUM(C537:C542)</f>
        <v>1000</v>
      </c>
      <c r="D543" s="972">
        <f>SUM(D537:D542)</f>
        <v>1000</v>
      </c>
      <c r="E543" s="972">
        <f>SUM(E537:E542)</f>
        <v>1000</v>
      </c>
      <c r="F543" s="972">
        <f>SUM(F537:F542)</f>
        <v>1000</v>
      </c>
      <c r="G543" s="972">
        <f>SUM(G537:G542)</f>
        <v>1000</v>
      </c>
      <c r="H543" s="1088">
        <f t="shared" si="8"/>
        <v>1</v>
      </c>
      <c r="I543" s="437"/>
    </row>
    <row r="544" spans="1:9" ht="12" customHeight="1">
      <c r="A544" s="73">
        <v>3329</v>
      </c>
      <c r="B544" s="209" t="s">
        <v>1197</v>
      </c>
      <c r="C544" s="1017"/>
      <c r="D544" s="1017"/>
      <c r="E544" s="1017"/>
      <c r="F544" s="1017"/>
      <c r="G544" s="1017"/>
      <c r="H544" s="406"/>
      <c r="I544" s="433"/>
    </row>
    <row r="545" spans="1:9" ht="12" customHeight="1">
      <c r="A545" s="362"/>
      <c r="B545" s="363" t="s">
        <v>115</v>
      </c>
      <c r="C545" s="1018"/>
      <c r="D545" s="1018"/>
      <c r="E545" s="1018"/>
      <c r="F545" s="1018"/>
      <c r="G545" s="1018"/>
      <c r="H545" s="406"/>
      <c r="I545" s="433"/>
    </row>
    <row r="546" spans="1:9" ht="12" customHeight="1">
      <c r="A546" s="362"/>
      <c r="B546" s="179" t="s">
        <v>298</v>
      </c>
      <c r="C546" s="1018"/>
      <c r="D546" s="1018"/>
      <c r="E546" s="1018"/>
      <c r="F546" s="1018"/>
      <c r="G546" s="1018"/>
      <c r="H546" s="1089"/>
      <c r="I546" s="472"/>
    </row>
    <row r="547" spans="1:9" ht="12" customHeight="1">
      <c r="A547" s="362"/>
      <c r="B547" s="364" t="s">
        <v>284</v>
      </c>
      <c r="C547" s="1018"/>
      <c r="D547" s="1018"/>
      <c r="E547" s="1018"/>
      <c r="F547" s="1018"/>
      <c r="G547" s="1018"/>
      <c r="H547" s="1086"/>
      <c r="I547" s="550"/>
    </row>
    <row r="548" spans="1:9" ht="12" customHeight="1">
      <c r="A548" s="362"/>
      <c r="B548" s="296" t="s">
        <v>120</v>
      </c>
      <c r="C548" s="1018"/>
      <c r="D548" s="1018">
        <v>299500</v>
      </c>
      <c r="E548" s="1018">
        <v>299500</v>
      </c>
      <c r="F548" s="1018">
        <v>234000</v>
      </c>
      <c r="G548" s="1018">
        <v>107059</v>
      </c>
      <c r="H548" s="1086">
        <f t="shared" si="8"/>
        <v>0.457517094017094</v>
      </c>
      <c r="I548" s="477"/>
    </row>
    <row r="549" spans="1:9" ht="12" customHeight="1">
      <c r="A549" s="362"/>
      <c r="B549" s="296" t="s">
        <v>293</v>
      </c>
      <c r="C549" s="959"/>
      <c r="D549" s="959"/>
      <c r="E549" s="959"/>
      <c r="F549" s="959"/>
      <c r="G549" s="959"/>
      <c r="H549" s="1086"/>
      <c r="I549" s="472"/>
    </row>
    <row r="550" spans="1:9" ht="12" customHeight="1" thickBot="1">
      <c r="A550" s="362"/>
      <c r="B550" s="418" t="s">
        <v>88</v>
      </c>
      <c r="C550" s="1020"/>
      <c r="D550" s="1020"/>
      <c r="E550" s="1020"/>
      <c r="F550" s="1020"/>
      <c r="G550" s="1020"/>
      <c r="H550" s="1091"/>
      <c r="I550" s="478"/>
    </row>
    <row r="551" spans="1:9" ht="12" customHeight="1" thickBot="1">
      <c r="A551" s="371"/>
      <c r="B551" s="421" t="s">
        <v>136</v>
      </c>
      <c r="C551" s="972">
        <f>SUM(C545:C550)</f>
        <v>0</v>
      </c>
      <c r="D551" s="972">
        <f>SUM(D545:D550)</f>
        <v>299500</v>
      </c>
      <c r="E551" s="972">
        <f>SUM(E545:E550)</f>
        <v>299500</v>
      </c>
      <c r="F551" s="972">
        <f>SUM(F545:F550)</f>
        <v>234000</v>
      </c>
      <c r="G551" s="972">
        <f>SUM(G545:G550)</f>
        <v>107059</v>
      </c>
      <c r="H551" s="1088">
        <f t="shared" si="8"/>
        <v>0.457517094017094</v>
      </c>
      <c r="I551" s="437"/>
    </row>
    <row r="552" spans="1:9" ht="12" customHeight="1">
      <c r="A552" s="479">
        <v>3340</v>
      </c>
      <c r="B552" s="445" t="s">
        <v>486</v>
      </c>
      <c r="C552" s="1017"/>
      <c r="D552" s="1017"/>
      <c r="E552" s="1017"/>
      <c r="F552" s="1017"/>
      <c r="G552" s="1017"/>
      <c r="H552" s="406"/>
      <c r="I552" s="433"/>
    </row>
    <row r="553" spans="1:9" ht="12" customHeight="1">
      <c r="A553" s="73"/>
      <c r="B553" s="363" t="s">
        <v>115</v>
      </c>
      <c r="C553" s="1017"/>
      <c r="D553" s="1017"/>
      <c r="E553" s="1017"/>
      <c r="F553" s="1017"/>
      <c r="G553" s="1017"/>
      <c r="H553" s="406"/>
      <c r="I553" s="433"/>
    </row>
    <row r="554" spans="1:9" ht="12" customHeight="1">
      <c r="A554" s="73"/>
      <c r="B554" s="179" t="s">
        <v>298</v>
      </c>
      <c r="C554" s="1017"/>
      <c r="D554" s="1017"/>
      <c r="E554" s="1017"/>
      <c r="F554" s="1017"/>
      <c r="G554" s="1017"/>
      <c r="H554" s="1089"/>
      <c r="I554" s="433" t="s">
        <v>1172</v>
      </c>
    </row>
    <row r="555" spans="1:9" ht="12" customHeight="1">
      <c r="A555" s="351"/>
      <c r="B555" s="364" t="s">
        <v>284</v>
      </c>
      <c r="C555" s="959">
        <v>7000</v>
      </c>
      <c r="D555" s="959">
        <v>7000</v>
      </c>
      <c r="E555" s="959">
        <v>8079</v>
      </c>
      <c r="F555" s="959">
        <v>8079</v>
      </c>
      <c r="G555" s="959">
        <v>8079</v>
      </c>
      <c r="H555" s="1086">
        <f t="shared" si="8"/>
        <v>1</v>
      </c>
      <c r="I555" s="600"/>
    </row>
    <row r="556" spans="1:9" ht="12" customHeight="1">
      <c r="A556" s="351"/>
      <c r="B556" s="296" t="s">
        <v>120</v>
      </c>
      <c r="C556" s="959"/>
      <c r="D556" s="959"/>
      <c r="E556" s="959"/>
      <c r="F556" s="959"/>
      <c r="G556" s="959"/>
      <c r="H556" s="1086"/>
      <c r="I556" s="476"/>
    </row>
    <row r="557" spans="1:9" ht="12" customHeight="1">
      <c r="A557" s="73"/>
      <c r="B557" s="296" t="s">
        <v>293</v>
      </c>
      <c r="C557" s="959"/>
      <c r="D557" s="959"/>
      <c r="E557" s="959"/>
      <c r="F557" s="959"/>
      <c r="G557" s="959"/>
      <c r="H557" s="1086"/>
      <c r="I557" s="433"/>
    </row>
    <row r="558" spans="1:9" ht="12" customHeight="1" thickBot="1">
      <c r="A558" s="73"/>
      <c r="B558" s="418" t="s">
        <v>88</v>
      </c>
      <c r="C558" s="975"/>
      <c r="D558" s="975"/>
      <c r="E558" s="975"/>
      <c r="F558" s="975"/>
      <c r="G558" s="975"/>
      <c r="H558" s="1091"/>
      <c r="I558" s="451"/>
    </row>
    <row r="559" spans="1:9" ht="12" customHeight="1" thickBot="1">
      <c r="A559" s="353"/>
      <c r="B559" s="421" t="s">
        <v>136</v>
      </c>
      <c r="C559" s="972">
        <f>SUM(C553:C558)</f>
        <v>7000</v>
      </c>
      <c r="D559" s="972">
        <f>SUM(D553:D558)</f>
        <v>7000</v>
      </c>
      <c r="E559" s="972">
        <f>SUM(E553:E558)</f>
        <v>8079</v>
      </c>
      <c r="F559" s="972">
        <f>SUM(F553:F558)</f>
        <v>8079</v>
      </c>
      <c r="G559" s="972">
        <f>SUM(G553:G558)</f>
        <v>8079</v>
      </c>
      <c r="H559" s="1088">
        <f t="shared" si="8"/>
        <v>1</v>
      </c>
      <c r="I559" s="437"/>
    </row>
    <row r="560" spans="1:9" ht="12" customHeight="1">
      <c r="A560" s="479">
        <v>3341</v>
      </c>
      <c r="B560" s="445" t="s">
        <v>389</v>
      </c>
      <c r="C560" s="1017"/>
      <c r="D560" s="1017"/>
      <c r="E560" s="1017"/>
      <c r="F560" s="1017"/>
      <c r="G560" s="1017"/>
      <c r="H560" s="406"/>
      <c r="I560" s="433"/>
    </row>
    <row r="561" spans="1:9" ht="12" customHeight="1">
      <c r="A561" s="73"/>
      <c r="B561" s="363" t="s">
        <v>115</v>
      </c>
      <c r="C561" s="1017"/>
      <c r="D561" s="1017"/>
      <c r="E561" s="1017"/>
      <c r="F561" s="1017"/>
      <c r="G561" s="1017"/>
      <c r="H561" s="406"/>
      <c r="I561" s="433"/>
    </row>
    <row r="562" spans="1:9" ht="12" customHeight="1">
      <c r="A562" s="73"/>
      <c r="B562" s="179" t="s">
        <v>298</v>
      </c>
      <c r="C562" s="1017"/>
      <c r="D562" s="1017"/>
      <c r="E562" s="1017"/>
      <c r="F562" s="1017"/>
      <c r="G562" s="1017"/>
      <c r="H562" s="1089"/>
      <c r="I562" s="550"/>
    </row>
    <row r="563" spans="1:9" ht="12" customHeight="1">
      <c r="A563" s="351"/>
      <c r="B563" s="364" t="s">
        <v>284</v>
      </c>
      <c r="C563" s="959">
        <v>1785</v>
      </c>
      <c r="D563" s="959">
        <v>1785</v>
      </c>
      <c r="E563" s="959">
        <v>1785</v>
      </c>
      <c r="F563" s="959">
        <v>1785</v>
      </c>
      <c r="G563" s="959">
        <v>1785</v>
      </c>
      <c r="H563" s="1086">
        <f t="shared" si="8"/>
        <v>1</v>
      </c>
      <c r="I563" s="433" t="s">
        <v>1172</v>
      </c>
    </row>
    <row r="564" spans="1:9" ht="12" customHeight="1">
      <c r="A564" s="351"/>
      <c r="B564" s="296" t="s">
        <v>120</v>
      </c>
      <c r="C564" s="959"/>
      <c r="D564" s="959"/>
      <c r="E564" s="959"/>
      <c r="F564" s="959"/>
      <c r="G564" s="959"/>
      <c r="H564" s="1086"/>
      <c r="I564" s="476"/>
    </row>
    <row r="565" spans="1:9" ht="12" customHeight="1">
      <c r="A565" s="73"/>
      <c r="B565" s="296" t="s">
        <v>293</v>
      </c>
      <c r="C565" s="1017"/>
      <c r="D565" s="1017"/>
      <c r="E565" s="1017"/>
      <c r="F565" s="1017"/>
      <c r="G565" s="1017"/>
      <c r="H565" s="1086"/>
      <c r="I565" s="433"/>
    </row>
    <row r="566" spans="1:9" ht="12" customHeight="1" thickBot="1">
      <c r="A566" s="73"/>
      <c r="B566" s="418" t="s">
        <v>88</v>
      </c>
      <c r="C566" s="975"/>
      <c r="D566" s="975"/>
      <c r="E566" s="975"/>
      <c r="F566" s="975"/>
      <c r="G566" s="975"/>
      <c r="H566" s="1091"/>
      <c r="I566" s="451"/>
    </row>
    <row r="567" spans="1:9" ht="12" customHeight="1" thickBot="1">
      <c r="A567" s="353"/>
      <c r="B567" s="421" t="s">
        <v>136</v>
      </c>
      <c r="C567" s="972">
        <f>SUM(C561:C566)</f>
        <v>1785</v>
      </c>
      <c r="D567" s="972">
        <f>SUM(D561:D566)</f>
        <v>1785</v>
      </c>
      <c r="E567" s="972">
        <f>SUM(E561:E566)</f>
        <v>1785</v>
      </c>
      <c r="F567" s="972">
        <f>SUM(F561:F566)</f>
        <v>1785</v>
      </c>
      <c r="G567" s="972">
        <f>SUM(G561:G566)</f>
        <v>1785</v>
      </c>
      <c r="H567" s="1088">
        <f t="shared" si="8"/>
        <v>1</v>
      </c>
      <c r="I567" s="437"/>
    </row>
    <row r="568" spans="1:9" ht="12" customHeight="1">
      <c r="A568" s="479">
        <v>3342</v>
      </c>
      <c r="B568" s="445" t="s">
        <v>471</v>
      </c>
      <c r="C568" s="1017"/>
      <c r="D568" s="1017"/>
      <c r="E568" s="1017"/>
      <c r="F568" s="1017"/>
      <c r="G568" s="1017"/>
      <c r="H568" s="406"/>
      <c r="I568" s="433"/>
    </row>
    <row r="569" spans="1:9" ht="12" customHeight="1">
      <c r="A569" s="73"/>
      <c r="B569" s="363" t="s">
        <v>115</v>
      </c>
      <c r="C569" s="1017"/>
      <c r="D569" s="1017"/>
      <c r="E569" s="1017"/>
      <c r="F569" s="1017"/>
      <c r="G569" s="1017"/>
      <c r="H569" s="406"/>
      <c r="I569" s="433"/>
    </row>
    <row r="570" spans="1:9" ht="12" customHeight="1">
      <c r="A570" s="73"/>
      <c r="B570" s="179" t="s">
        <v>298</v>
      </c>
      <c r="C570" s="1017"/>
      <c r="D570" s="1017"/>
      <c r="E570" s="1017"/>
      <c r="F570" s="1017"/>
      <c r="G570" s="1017"/>
      <c r="H570" s="1089"/>
      <c r="I570" s="433"/>
    </row>
    <row r="571" spans="1:9" ht="12" customHeight="1">
      <c r="A571" s="351"/>
      <c r="B571" s="364" t="s">
        <v>284</v>
      </c>
      <c r="C571" s="959">
        <v>880</v>
      </c>
      <c r="D571" s="959">
        <v>880</v>
      </c>
      <c r="E571" s="959">
        <v>880</v>
      </c>
      <c r="F571" s="959">
        <v>880</v>
      </c>
      <c r="G571" s="959">
        <v>880</v>
      </c>
      <c r="H571" s="1086">
        <f t="shared" si="8"/>
        <v>1</v>
      </c>
      <c r="I571" s="433" t="s">
        <v>1172</v>
      </c>
    </row>
    <row r="572" spans="1:9" ht="12" customHeight="1">
      <c r="A572" s="351"/>
      <c r="B572" s="296" t="s">
        <v>120</v>
      </c>
      <c r="C572" s="959"/>
      <c r="D572" s="959"/>
      <c r="E572" s="959"/>
      <c r="F572" s="959"/>
      <c r="G572" s="959"/>
      <c r="H572" s="1086"/>
      <c r="I572" s="476"/>
    </row>
    <row r="573" spans="1:9" ht="12" customHeight="1">
      <c r="A573" s="73"/>
      <c r="B573" s="296" t="s">
        <v>293</v>
      </c>
      <c r="C573" s="1017"/>
      <c r="D573" s="1017"/>
      <c r="E573" s="1017"/>
      <c r="F573" s="1017"/>
      <c r="G573" s="1017"/>
      <c r="H573" s="1086"/>
      <c r="I573" s="433"/>
    </row>
    <row r="574" spans="1:9" ht="12" customHeight="1">
      <c r="A574" s="73"/>
      <c r="B574" s="296" t="s">
        <v>120</v>
      </c>
      <c r="C574" s="1017"/>
      <c r="D574" s="1017"/>
      <c r="E574" s="1017"/>
      <c r="F574" s="1017"/>
      <c r="G574" s="1017"/>
      <c r="H574" s="1086"/>
      <c r="I574" s="434"/>
    </row>
    <row r="575" spans="1:9" ht="12" customHeight="1" thickBot="1">
      <c r="A575" s="73"/>
      <c r="B575" s="418" t="s">
        <v>88</v>
      </c>
      <c r="C575" s="975"/>
      <c r="D575" s="975"/>
      <c r="E575" s="975"/>
      <c r="F575" s="975"/>
      <c r="G575" s="975"/>
      <c r="H575" s="1091"/>
      <c r="I575" s="451"/>
    </row>
    <row r="576" spans="1:9" ht="12" customHeight="1" thickBot="1">
      <c r="A576" s="353"/>
      <c r="B576" s="421" t="s">
        <v>136</v>
      </c>
      <c r="C576" s="972">
        <f>SUM(C569:C575)</f>
        <v>880</v>
      </c>
      <c r="D576" s="972">
        <f>SUM(D569:D575)</f>
        <v>880</v>
      </c>
      <c r="E576" s="972">
        <f>SUM(E569:E575)</f>
        <v>880</v>
      </c>
      <c r="F576" s="972">
        <f>SUM(F569:F575)</f>
        <v>880</v>
      </c>
      <c r="G576" s="972">
        <f>SUM(G569:G575)</f>
        <v>880</v>
      </c>
      <c r="H576" s="1088">
        <f t="shared" si="8"/>
        <v>1</v>
      </c>
      <c r="I576" s="437"/>
    </row>
    <row r="577" spans="1:9" ht="12" customHeight="1">
      <c r="A577" s="479">
        <v>3343</v>
      </c>
      <c r="B577" s="445" t="s">
        <v>155</v>
      </c>
      <c r="C577" s="1017"/>
      <c r="D577" s="1017"/>
      <c r="E577" s="1017"/>
      <c r="F577" s="1017"/>
      <c r="G577" s="1017"/>
      <c r="H577" s="406"/>
      <c r="I577" s="433"/>
    </row>
    <row r="578" spans="1:9" ht="12" customHeight="1">
      <c r="A578" s="73"/>
      <c r="B578" s="363" t="s">
        <v>115</v>
      </c>
      <c r="C578" s="1017"/>
      <c r="D578" s="1017"/>
      <c r="E578" s="1017"/>
      <c r="F578" s="1017"/>
      <c r="G578" s="1017"/>
      <c r="H578" s="406"/>
      <c r="I578" s="433"/>
    </row>
    <row r="579" spans="1:9" ht="12" customHeight="1">
      <c r="A579" s="73"/>
      <c r="B579" s="179" t="s">
        <v>298</v>
      </c>
      <c r="C579" s="1017"/>
      <c r="D579" s="1017"/>
      <c r="E579" s="1017"/>
      <c r="F579" s="1017"/>
      <c r="G579" s="1017"/>
      <c r="H579" s="406"/>
      <c r="I579" s="550"/>
    </row>
    <row r="580" spans="1:9" ht="12" customHeight="1">
      <c r="A580" s="351"/>
      <c r="B580" s="364" t="s">
        <v>284</v>
      </c>
      <c r="C580" s="959"/>
      <c r="D580" s="959"/>
      <c r="E580" s="959"/>
      <c r="F580" s="959"/>
      <c r="G580" s="959"/>
      <c r="H580" s="406"/>
      <c r="I580" s="433"/>
    </row>
    <row r="581" spans="1:9" ht="12" customHeight="1">
      <c r="A581" s="351"/>
      <c r="B581" s="296" t="s">
        <v>120</v>
      </c>
      <c r="C581" s="959"/>
      <c r="D581" s="959"/>
      <c r="E581" s="959"/>
      <c r="F581" s="959"/>
      <c r="G581" s="959"/>
      <c r="H581" s="406"/>
      <c r="I581" s="555"/>
    </row>
    <row r="582" spans="1:9" ht="12.75" customHeight="1">
      <c r="A582" s="73"/>
      <c r="B582" s="296" t="s">
        <v>293</v>
      </c>
      <c r="C582" s="1017"/>
      <c r="D582" s="1017"/>
      <c r="E582" s="1017"/>
      <c r="F582" s="1017"/>
      <c r="G582" s="1017"/>
      <c r="H582" s="406"/>
      <c r="I582" s="549"/>
    </row>
    <row r="583" spans="1:9" ht="12" customHeight="1" thickBot="1">
      <c r="A583" s="73"/>
      <c r="B583" s="418" t="s">
        <v>88</v>
      </c>
      <c r="C583" s="975"/>
      <c r="D583" s="975"/>
      <c r="E583" s="975"/>
      <c r="F583" s="975"/>
      <c r="G583" s="975"/>
      <c r="H583" s="1087"/>
      <c r="I583" s="451"/>
    </row>
    <row r="584" spans="1:9" ht="12" customHeight="1" thickBot="1">
      <c r="A584" s="353"/>
      <c r="B584" s="421" t="s">
        <v>136</v>
      </c>
      <c r="C584" s="972">
        <f>SUM(C578:C583)</f>
        <v>0</v>
      </c>
      <c r="D584" s="972">
        <f>SUM(D578:D583)</f>
        <v>0</v>
      </c>
      <c r="E584" s="972">
        <f>SUM(E578:E583)</f>
        <v>0</v>
      </c>
      <c r="F584" s="972">
        <f>SUM(F578:F583)</f>
        <v>0</v>
      </c>
      <c r="G584" s="972">
        <f>SUM(G578:G583)</f>
        <v>0</v>
      </c>
      <c r="H584" s="1088"/>
      <c r="I584" s="437"/>
    </row>
    <row r="585" spans="1:9" ht="12" customHeight="1">
      <c r="A585" s="73">
        <v>3344</v>
      </c>
      <c r="B585" s="361" t="s">
        <v>273</v>
      </c>
      <c r="C585" s="1017"/>
      <c r="D585" s="1017"/>
      <c r="E585" s="1017"/>
      <c r="F585" s="1017"/>
      <c r="G585" s="1017"/>
      <c r="H585" s="406"/>
      <c r="I585" s="433"/>
    </row>
    <row r="586" spans="1:9" ht="12" customHeight="1">
      <c r="A586" s="73"/>
      <c r="B586" s="72" t="s">
        <v>115</v>
      </c>
      <c r="C586" s="1017"/>
      <c r="D586" s="1017"/>
      <c r="E586" s="1017"/>
      <c r="F586" s="1017"/>
      <c r="G586" s="1017"/>
      <c r="H586" s="406"/>
      <c r="I586" s="433"/>
    </row>
    <row r="587" spans="1:9" ht="12" customHeight="1">
      <c r="A587" s="73"/>
      <c r="B587" s="179" t="s">
        <v>298</v>
      </c>
      <c r="C587" s="1017"/>
      <c r="D587" s="1017"/>
      <c r="E587" s="1017"/>
      <c r="F587" s="1017"/>
      <c r="G587" s="1017"/>
      <c r="H587" s="1089"/>
      <c r="I587" s="433" t="s">
        <v>1172</v>
      </c>
    </row>
    <row r="588" spans="1:9" ht="12" customHeight="1">
      <c r="A588" s="73"/>
      <c r="B588" s="72" t="s">
        <v>284</v>
      </c>
      <c r="C588" s="959">
        <v>1540</v>
      </c>
      <c r="D588" s="959">
        <v>1540</v>
      </c>
      <c r="E588" s="959">
        <v>2053</v>
      </c>
      <c r="F588" s="959">
        <v>2053</v>
      </c>
      <c r="G588" s="959">
        <v>2053</v>
      </c>
      <c r="H588" s="1086">
        <f t="shared" si="8"/>
        <v>1</v>
      </c>
      <c r="I588" s="554"/>
    </row>
    <row r="589" spans="1:9" ht="12" customHeight="1">
      <c r="A589" s="73"/>
      <c r="B589" s="179" t="s">
        <v>120</v>
      </c>
      <c r="C589" s="959"/>
      <c r="D589" s="959"/>
      <c r="E589" s="959"/>
      <c r="F589" s="959"/>
      <c r="G589" s="959"/>
      <c r="H589" s="1086"/>
      <c r="I589" s="476"/>
    </row>
    <row r="590" spans="1:9" ht="12" customHeight="1">
      <c r="A590" s="73"/>
      <c r="B590" s="296" t="s">
        <v>293</v>
      </c>
      <c r="C590" s="1017"/>
      <c r="D590" s="1017"/>
      <c r="E590" s="1017"/>
      <c r="F590" s="1017"/>
      <c r="G590" s="1017"/>
      <c r="H590" s="1086"/>
      <c r="I590" s="433"/>
    </row>
    <row r="591" spans="1:9" ht="12" customHeight="1" thickBot="1">
      <c r="A591" s="73"/>
      <c r="B591" s="418" t="s">
        <v>88</v>
      </c>
      <c r="C591" s="975"/>
      <c r="D591" s="975"/>
      <c r="E591" s="975"/>
      <c r="F591" s="975"/>
      <c r="G591" s="975"/>
      <c r="H591" s="1091"/>
      <c r="I591" s="435"/>
    </row>
    <row r="592" spans="1:9" ht="12" customHeight="1" thickBot="1">
      <c r="A592" s="371"/>
      <c r="B592" s="421" t="s">
        <v>136</v>
      </c>
      <c r="C592" s="975">
        <f>SUM(C586:C591)</f>
        <v>1540</v>
      </c>
      <c r="D592" s="975">
        <f>SUM(D586:D591)</f>
        <v>1540</v>
      </c>
      <c r="E592" s="975">
        <f>SUM(E586:E591)</f>
        <v>2053</v>
      </c>
      <c r="F592" s="975">
        <f>SUM(F586:F591)</f>
        <v>2053</v>
      </c>
      <c r="G592" s="975">
        <f>SUM(G586:G591)</f>
        <v>2053</v>
      </c>
      <c r="H592" s="1088">
        <f t="shared" si="8"/>
        <v>1</v>
      </c>
      <c r="I592" s="451"/>
    </row>
    <row r="593" spans="1:9" ht="12" customHeight="1">
      <c r="A593" s="73">
        <v>3345</v>
      </c>
      <c r="B593" s="370" t="s">
        <v>156</v>
      </c>
      <c r="C593" s="1017"/>
      <c r="D593" s="1017"/>
      <c r="E593" s="1017"/>
      <c r="F593" s="1017"/>
      <c r="G593" s="1017"/>
      <c r="H593" s="406"/>
      <c r="I593" s="432"/>
    </row>
    <row r="594" spans="1:9" ht="12" customHeight="1">
      <c r="A594" s="73"/>
      <c r="B594" s="363" t="s">
        <v>115</v>
      </c>
      <c r="C594" s="1017"/>
      <c r="D594" s="1017"/>
      <c r="E594" s="1017"/>
      <c r="F594" s="1017"/>
      <c r="G594" s="1017"/>
      <c r="H594" s="1089"/>
      <c r="I594" s="407"/>
    </row>
    <row r="595" spans="1:9" ht="12" customHeight="1">
      <c r="A595" s="73"/>
      <c r="B595" s="179" t="s">
        <v>298</v>
      </c>
      <c r="C595" s="1017"/>
      <c r="D595" s="1017"/>
      <c r="E595" s="1017"/>
      <c r="F595" s="1017"/>
      <c r="G595" s="1017"/>
      <c r="H595" s="1086"/>
      <c r="I595" s="407"/>
    </row>
    <row r="596" spans="1:9" ht="12" customHeight="1">
      <c r="A596" s="73"/>
      <c r="B596" s="364" t="s">
        <v>284</v>
      </c>
      <c r="C596" s="959">
        <v>300</v>
      </c>
      <c r="D596" s="959">
        <v>300</v>
      </c>
      <c r="E596" s="959">
        <v>600</v>
      </c>
      <c r="F596" s="959">
        <v>600</v>
      </c>
      <c r="G596" s="959">
        <v>600</v>
      </c>
      <c r="H596" s="1086">
        <f aca="true" t="shared" si="9" ref="H596:H659">SUM(G596/F596)</f>
        <v>1</v>
      </c>
      <c r="I596" s="433" t="s">
        <v>1172</v>
      </c>
    </row>
    <row r="597" spans="1:9" ht="12" customHeight="1">
      <c r="A597" s="73"/>
      <c r="B597" s="296" t="s">
        <v>120</v>
      </c>
      <c r="C597" s="959"/>
      <c r="D597" s="959"/>
      <c r="E597" s="959"/>
      <c r="F597" s="959"/>
      <c r="G597" s="959"/>
      <c r="H597" s="1086"/>
      <c r="I597" s="472"/>
    </row>
    <row r="598" spans="1:9" ht="12" customHeight="1">
      <c r="A598" s="73"/>
      <c r="B598" s="296" t="s">
        <v>293</v>
      </c>
      <c r="C598" s="1017"/>
      <c r="D598" s="1017"/>
      <c r="E598" s="1017"/>
      <c r="F598" s="1017"/>
      <c r="G598" s="1017"/>
      <c r="H598" s="1086"/>
      <c r="I598" s="407"/>
    </row>
    <row r="599" spans="1:9" ht="12" customHeight="1" thickBot="1">
      <c r="A599" s="73"/>
      <c r="B599" s="418" t="s">
        <v>88</v>
      </c>
      <c r="C599" s="975"/>
      <c r="D599" s="975"/>
      <c r="E599" s="975"/>
      <c r="F599" s="975"/>
      <c r="G599" s="975"/>
      <c r="H599" s="1091"/>
      <c r="I599" s="451"/>
    </row>
    <row r="600" spans="1:9" ht="13.5" customHeight="1" thickBot="1">
      <c r="A600" s="371"/>
      <c r="B600" s="421" t="s">
        <v>136</v>
      </c>
      <c r="C600" s="975">
        <f>SUM(C596:C599)</f>
        <v>300</v>
      </c>
      <c r="D600" s="975">
        <f>SUM(D596:D599)</f>
        <v>300</v>
      </c>
      <c r="E600" s="975">
        <f>SUM(E596:E599)</f>
        <v>600</v>
      </c>
      <c r="F600" s="975">
        <f>SUM(F596:F599)</f>
        <v>600</v>
      </c>
      <c r="G600" s="975">
        <f>SUM(G596:G599)</f>
        <v>600</v>
      </c>
      <c r="H600" s="1088">
        <f t="shared" si="9"/>
        <v>1</v>
      </c>
      <c r="I600" s="437"/>
    </row>
    <row r="601" spans="1:9" ht="12" customHeight="1">
      <c r="A601" s="73">
        <v>3346</v>
      </c>
      <c r="B601" s="444" t="s">
        <v>117</v>
      </c>
      <c r="C601" s="1017"/>
      <c r="D601" s="1017"/>
      <c r="E601" s="1017"/>
      <c r="F601" s="1017"/>
      <c r="G601" s="1017"/>
      <c r="H601" s="406"/>
      <c r="I601" s="433"/>
    </row>
    <row r="602" spans="1:9" ht="12" customHeight="1">
      <c r="A602" s="362"/>
      <c r="B602" s="363" t="s">
        <v>115</v>
      </c>
      <c r="C602" s="1017"/>
      <c r="D602" s="1017"/>
      <c r="E602" s="1017"/>
      <c r="F602" s="1017"/>
      <c r="G602" s="1017"/>
      <c r="H602" s="406"/>
      <c r="I602" s="433"/>
    </row>
    <row r="603" spans="1:9" ht="12" customHeight="1">
      <c r="A603" s="362"/>
      <c r="B603" s="179" t="s">
        <v>298</v>
      </c>
      <c r="C603" s="1017"/>
      <c r="D603" s="1017"/>
      <c r="E603" s="1017"/>
      <c r="F603" s="1017"/>
      <c r="G603" s="1017"/>
      <c r="H603" s="1089"/>
      <c r="I603" s="433"/>
    </row>
    <row r="604" spans="1:9" ht="12" customHeight="1">
      <c r="A604" s="362"/>
      <c r="B604" s="364" t="s">
        <v>284</v>
      </c>
      <c r="C604" s="959">
        <v>3933</v>
      </c>
      <c r="D604" s="959">
        <v>3933</v>
      </c>
      <c r="E604" s="959">
        <v>4433</v>
      </c>
      <c r="F604" s="959">
        <v>4433</v>
      </c>
      <c r="G604" s="959">
        <v>4433</v>
      </c>
      <c r="H604" s="1086">
        <f t="shared" si="9"/>
        <v>1</v>
      </c>
      <c r="I604" s="433" t="s">
        <v>1172</v>
      </c>
    </row>
    <row r="605" spans="1:9" ht="12" customHeight="1">
      <c r="A605" s="362"/>
      <c r="B605" s="296" t="s">
        <v>120</v>
      </c>
      <c r="C605" s="959"/>
      <c r="D605" s="959"/>
      <c r="E605" s="959"/>
      <c r="F605" s="959"/>
      <c r="G605" s="959"/>
      <c r="H605" s="1086"/>
      <c r="I605" s="476"/>
    </row>
    <row r="606" spans="1:9" ht="12" customHeight="1">
      <c r="A606" s="362"/>
      <c r="B606" s="296" t="s">
        <v>293</v>
      </c>
      <c r="C606" s="1017"/>
      <c r="D606" s="1017"/>
      <c r="E606" s="1017"/>
      <c r="F606" s="1017"/>
      <c r="G606" s="1017"/>
      <c r="H606" s="1086"/>
      <c r="I606" s="433"/>
    </row>
    <row r="607" spans="1:9" ht="12" customHeight="1" thickBot="1">
      <c r="A607" s="362"/>
      <c r="B607" s="418" t="s">
        <v>88</v>
      </c>
      <c r="C607" s="975"/>
      <c r="D607" s="975"/>
      <c r="E607" s="975"/>
      <c r="F607" s="975"/>
      <c r="G607" s="975"/>
      <c r="H607" s="1091"/>
      <c r="I607" s="451"/>
    </row>
    <row r="608" spans="1:9" ht="12" customHeight="1" thickBot="1">
      <c r="A608" s="371"/>
      <c r="B608" s="421" t="s">
        <v>136</v>
      </c>
      <c r="C608" s="972">
        <f>SUM(C604:C607)</f>
        <v>3933</v>
      </c>
      <c r="D608" s="972">
        <f>SUM(D604:D607)</f>
        <v>3933</v>
      </c>
      <c r="E608" s="972">
        <f>SUM(E604:E607)</f>
        <v>4433</v>
      </c>
      <c r="F608" s="972">
        <f>SUM(F604:F607)</f>
        <v>4433</v>
      </c>
      <c r="G608" s="972">
        <f>SUM(G604:G607)</f>
        <v>4433</v>
      </c>
      <c r="H608" s="1088">
        <f t="shared" si="9"/>
        <v>1</v>
      </c>
      <c r="I608" s="437"/>
    </row>
    <row r="609" spans="1:9" ht="12" customHeight="1">
      <c r="A609" s="73">
        <v>3347</v>
      </c>
      <c r="B609" s="444" t="s">
        <v>118</v>
      </c>
      <c r="C609" s="1017"/>
      <c r="D609" s="1017"/>
      <c r="E609" s="1017"/>
      <c r="F609" s="1017"/>
      <c r="G609" s="1017"/>
      <c r="H609" s="406"/>
      <c r="I609" s="433"/>
    </row>
    <row r="610" spans="1:9" ht="12" customHeight="1">
      <c r="A610" s="362"/>
      <c r="B610" s="363" t="s">
        <v>115</v>
      </c>
      <c r="C610" s="1017"/>
      <c r="D610" s="1017"/>
      <c r="E610" s="1017"/>
      <c r="F610" s="1017"/>
      <c r="G610" s="1017"/>
      <c r="H610" s="406"/>
      <c r="I610" s="433"/>
    </row>
    <row r="611" spans="1:9" ht="12" customHeight="1">
      <c r="A611" s="362"/>
      <c r="B611" s="179" t="s">
        <v>298</v>
      </c>
      <c r="C611" s="1017"/>
      <c r="D611" s="1017"/>
      <c r="E611" s="1017"/>
      <c r="F611" s="1017"/>
      <c r="G611" s="1017"/>
      <c r="H611" s="1089"/>
      <c r="I611" s="433"/>
    </row>
    <row r="612" spans="1:9" ht="12" customHeight="1">
      <c r="A612" s="362"/>
      <c r="B612" s="364" t="s">
        <v>284</v>
      </c>
      <c r="C612" s="959">
        <v>2000</v>
      </c>
      <c r="D612" s="959">
        <v>2000</v>
      </c>
      <c r="E612" s="959">
        <v>2000</v>
      </c>
      <c r="F612" s="959">
        <v>2000</v>
      </c>
      <c r="G612" s="959">
        <v>2000</v>
      </c>
      <c r="H612" s="1086">
        <f t="shared" si="9"/>
        <v>1</v>
      </c>
      <c r="I612" s="433" t="s">
        <v>1172</v>
      </c>
    </row>
    <row r="613" spans="1:9" ht="12" customHeight="1">
      <c r="A613" s="362"/>
      <c r="B613" s="296" t="s">
        <v>120</v>
      </c>
      <c r="C613" s="959"/>
      <c r="D613" s="959"/>
      <c r="E613" s="959"/>
      <c r="F613" s="959"/>
      <c r="G613" s="959"/>
      <c r="H613" s="1086"/>
      <c r="I613" s="476"/>
    </row>
    <row r="614" spans="1:9" ht="12" customHeight="1">
      <c r="A614" s="362"/>
      <c r="B614" s="296" t="s">
        <v>293</v>
      </c>
      <c r="C614" s="1017"/>
      <c r="D614" s="1017"/>
      <c r="E614" s="1017"/>
      <c r="F614" s="1017"/>
      <c r="G614" s="1017"/>
      <c r="H614" s="1086"/>
      <c r="I614" s="433"/>
    </row>
    <row r="615" spans="1:9" ht="12" customHeight="1" thickBot="1">
      <c r="A615" s="362"/>
      <c r="B615" s="418" t="s">
        <v>88</v>
      </c>
      <c r="C615" s="1045"/>
      <c r="D615" s="1045"/>
      <c r="E615" s="1045"/>
      <c r="F615" s="1045"/>
      <c r="G615" s="1045"/>
      <c r="H615" s="1091"/>
      <c r="I615" s="451"/>
    </row>
    <row r="616" spans="1:9" ht="12" customHeight="1" thickBot="1">
      <c r="A616" s="371"/>
      <c r="B616" s="421" t="s">
        <v>136</v>
      </c>
      <c r="C616" s="972">
        <f>SUM(C612:C615)</f>
        <v>2000</v>
      </c>
      <c r="D616" s="972">
        <f>SUM(D612:D615)</f>
        <v>2000</v>
      </c>
      <c r="E616" s="972">
        <f>SUM(E612:E615)</f>
        <v>2000</v>
      </c>
      <c r="F616" s="972">
        <f>SUM(F612:F615)</f>
        <v>2000</v>
      </c>
      <c r="G616" s="972">
        <f>SUM(G612:G615)</f>
        <v>2000</v>
      </c>
      <c r="H616" s="1088">
        <f t="shared" si="9"/>
        <v>1</v>
      </c>
      <c r="I616" s="437"/>
    </row>
    <row r="617" spans="1:9" ht="12" customHeight="1">
      <c r="A617" s="73">
        <v>3348</v>
      </c>
      <c r="B617" s="444" t="s">
        <v>174</v>
      </c>
      <c r="C617" s="1017"/>
      <c r="D617" s="1017"/>
      <c r="E617" s="1017"/>
      <c r="F617" s="1017"/>
      <c r="G617" s="1017"/>
      <c r="H617" s="406"/>
      <c r="I617" s="433"/>
    </row>
    <row r="618" spans="1:9" ht="12" customHeight="1">
      <c r="A618" s="362"/>
      <c r="B618" s="363" t="s">
        <v>115</v>
      </c>
      <c r="C618" s="1017"/>
      <c r="D618" s="1017"/>
      <c r="E618" s="1017"/>
      <c r="F618" s="1017"/>
      <c r="G618" s="1017"/>
      <c r="H618" s="406"/>
      <c r="I618" s="433"/>
    </row>
    <row r="619" spans="1:9" ht="12" customHeight="1">
      <c r="A619" s="362"/>
      <c r="B619" s="179" t="s">
        <v>298</v>
      </c>
      <c r="C619" s="1017"/>
      <c r="D619" s="1017"/>
      <c r="E619" s="1017"/>
      <c r="F619" s="1017"/>
      <c r="G619" s="1017"/>
      <c r="H619" s="1089"/>
      <c r="I619" s="433"/>
    </row>
    <row r="620" spans="1:9" ht="12" customHeight="1">
      <c r="A620" s="362"/>
      <c r="B620" s="364" t="s">
        <v>284</v>
      </c>
      <c r="C620" s="959">
        <v>400</v>
      </c>
      <c r="D620" s="959">
        <v>400</v>
      </c>
      <c r="E620" s="959">
        <v>400</v>
      </c>
      <c r="F620" s="959">
        <v>400</v>
      </c>
      <c r="G620" s="959">
        <v>400</v>
      </c>
      <c r="H620" s="1086">
        <f t="shared" si="9"/>
        <v>1</v>
      </c>
      <c r="I620" s="433" t="s">
        <v>1172</v>
      </c>
    </row>
    <row r="621" spans="1:9" ht="12" customHeight="1">
      <c r="A621" s="362"/>
      <c r="B621" s="296" t="s">
        <v>120</v>
      </c>
      <c r="C621" s="959"/>
      <c r="D621" s="959"/>
      <c r="E621" s="959"/>
      <c r="F621" s="959"/>
      <c r="G621" s="959"/>
      <c r="H621" s="1086"/>
      <c r="I621" s="476"/>
    </row>
    <row r="622" spans="1:9" ht="12" customHeight="1">
      <c r="A622" s="362"/>
      <c r="B622" s="296" t="s">
        <v>293</v>
      </c>
      <c r="C622" s="1017"/>
      <c r="D622" s="1017"/>
      <c r="E622" s="1017"/>
      <c r="F622" s="1017"/>
      <c r="G622" s="1017"/>
      <c r="H622" s="1086"/>
      <c r="I622" s="433"/>
    </row>
    <row r="623" spans="1:9" ht="12" customHeight="1" thickBot="1">
      <c r="A623" s="362"/>
      <c r="B623" s="418" t="s">
        <v>88</v>
      </c>
      <c r="C623" s="975"/>
      <c r="D623" s="975"/>
      <c r="E623" s="975"/>
      <c r="F623" s="975"/>
      <c r="G623" s="975"/>
      <c r="H623" s="1091"/>
      <c r="I623" s="451"/>
    </row>
    <row r="624" spans="1:9" ht="12" customHeight="1" thickBot="1">
      <c r="A624" s="371"/>
      <c r="B624" s="421" t="s">
        <v>136</v>
      </c>
      <c r="C624" s="972">
        <f>SUM(C620:C623)</f>
        <v>400</v>
      </c>
      <c r="D624" s="972">
        <f>SUM(D620:D623)</f>
        <v>400</v>
      </c>
      <c r="E624" s="972">
        <f>SUM(E620:E623)</f>
        <v>400</v>
      </c>
      <c r="F624" s="972">
        <f>SUM(F620:F623)</f>
        <v>400</v>
      </c>
      <c r="G624" s="972">
        <f>SUM(G620:G623)</f>
        <v>400</v>
      </c>
      <c r="H624" s="406">
        <f t="shared" si="9"/>
        <v>1</v>
      </c>
      <c r="I624" s="437"/>
    </row>
    <row r="625" spans="1:9" ht="12" customHeight="1">
      <c r="A625" s="73">
        <v>3349</v>
      </c>
      <c r="B625" s="444" t="s">
        <v>376</v>
      </c>
      <c r="C625" s="1017"/>
      <c r="D625" s="1017"/>
      <c r="E625" s="1017"/>
      <c r="F625" s="1017"/>
      <c r="G625" s="1017"/>
      <c r="H625" s="406"/>
      <c r="I625" s="433"/>
    </row>
    <row r="626" spans="1:9" ht="12" customHeight="1">
      <c r="A626" s="362"/>
      <c r="B626" s="363" t="s">
        <v>115</v>
      </c>
      <c r="C626" s="1017"/>
      <c r="D626" s="1017"/>
      <c r="E626" s="1017"/>
      <c r="F626" s="1017"/>
      <c r="G626" s="1017"/>
      <c r="H626" s="406"/>
      <c r="I626" s="433"/>
    </row>
    <row r="627" spans="1:9" ht="12" customHeight="1">
      <c r="A627" s="362"/>
      <c r="B627" s="179" t="s">
        <v>298</v>
      </c>
      <c r="C627" s="1017"/>
      <c r="D627" s="1017"/>
      <c r="E627" s="1017"/>
      <c r="F627" s="1017"/>
      <c r="G627" s="1017"/>
      <c r="H627" s="1089"/>
      <c r="I627" s="433"/>
    </row>
    <row r="628" spans="1:9" ht="12" customHeight="1">
      <c r="A628" s="362"/>
      <c r="B628" s="364" t="s">
        <v>284</v>
      </c>
      <c r="C628" s="959">
        <v>3840</v>
      </c>
      <c r="D628" s="959">
        <v>3840</v>
      </c>
      <c r="E628" s="959">
        <v>4560</v>
      </c>
      <c r="F628" s="959">
        <v>4560</v>
      </c>
      <c r="G628" s="959">
        <v>4560</v>
      </c>
      <c r="H628" s="1086">
        <f t="shared" si="9"/>
        <v>1</v>
      </c>
      <c r="I628" s="433" t="s">
        <v>1172</v>
      </c>
    </row>
    <row r="629" spans="1:9" ht="12" customHeight="1">
      <c r="A629" s="362"/>
      <c r="B629" s="296" t="s">
        <v>120</v>
      </c>
      <c r="C629" s="959"/>
      <c r="D629" s="959"/>
      <c r="E629" s="959"/>
      <c r="F629" s="959"/>
      <c r="G629" s="959"/>
      <c r="H629" s="1086"/>
      <c r="I629" s="476"/>
    </row>
    <row r="630" spans="1:9" ht="12" customHeight="1">
      <c r="A630" s="362"/>
      <c r="B630" s="296" t="s">
        <v>293</v>
      </c>
      <c r="C630" s="1017"/>
      <c r="D630" s="1017"/>
      <c r="E630" s="1017"/>
      <c r="F630" s="1017"/>
      <c r="G630" s="1017"/>
      <c r="H630" s="1086"/>
      <c r="I630" s="433"/>
    </row>
    <row r="631" spans="1:9" ht="12" customHeight="1" thickBot="1">
      <c r="A631" s="362"/>
      <c r="B631" s="418" t="s">
        <v>88</v>
      </c>
      <c r="C631" s="975"/>
      <c r="D631" s="975"/>
      <c r="E631" s="975"/>
      <c r="F631" s="975"/>
      <c r="G631" s="975"/>
      <c r="H631" s="1091"/>
      <c r="I631" s="451"/>
    </row>
    <row r="632" spans="1:9" ht="12" customHeight="1" thickBot="1">
      <c r="A632" s="371"/>
      <c r="B632" s="421" t="s">
        <v>136</v>
      </c>
      <c r="C632" s="972">
        <f>SUM(C628:C631)</f>
        <v>3840</v>
      </c>
      <c r="D632" s="972">
        <f>SUM(D628:D631)</f>
        <v>3840</v>
      </c>
      <c r="E632" s="972">
        <f>SUM(E628:E631)</f>
        <v>4560</v>
      </c>
      <c r="F632" s="972">
        <f>SUM(F628:F631)</f>
        <v>4560</v>
      </c>
      <c r="G632" s="972">
        <f>SUM(G628:G631)</f>
        <v>4560</v>
      </c>
      <c r="H632" s="1088">
        <f t="shared" si="9"/>
        <v>1</v>
      </c>
      <c r="I632" s="437"/>
    </row>
    <row r="633" spans="1:9" ht="12" customHeight="1">
      <c r="A633" s="73">
        <v>3350</v>
      </c>
      <c r="B633" s="444" t="s">
        <v>1134</v>
      </c>
      <c r="C633" s="1017"/>
      <c r="D633" s="1017"/>
      <c r="E633" s="1017"/>
      <c r="F633" s="1017"/>
      <c r="G633" s="1017"/>
      <c r="H633" s="406"/>
      <c r="I633" s="433"/>
    </row>
    <row r="634" spans="1:9" ht="12" customHeight="1">
      <c r="A634" s="362"/>
      <c r="B634" s="363" t="s">
        <v>115</v>
      </c>
      <c r="C634" s="1017"/>
      <c r="D634" s="1017"/>
      <c r="E634" s="1017"/>
      <c r="F634" s="1017"/>
      <c r="G634" s="1017"/>
      <c r="H634" s="406"/>
      <c r="I634" s="433"/>
    </row>
    <row r="635" spans="1:9" ht="12" customHeight="1">
      <c r="A635" s="362"/>
      <c r="B635" s="179" t="s">
        <v>298</v>
      </c>
      <c r="C635" s="1017"/>
      <c r="D635" s="1017"/>
      <c r="E635" s="1017"/>
      <c r="F635" s="1017"/>
      <c r="G635" s="1017"/>
      <c r="H635" s="1089"/>
      <c r="I635" s="433"/>
    </row>
    <row r="636" spans="1:9" ht="12" customHeight="1">
      <c r="A636" s="362"/>
      <c r="B636" s="364" t="s">
        <v>284</v>
      </c>
      <c r="C636" s="959">
        <v>4770</v>
      </c>
      <c r="D636" s="959">
        <v>4770</v>
      </c>
      <c r="E636" s="959">
        <v>4770</v>
      </c>
      <c r="F636" s="959">
        <v>4770</v>
      </c>
      <c r="G636" s="959">
        <v>4770</v>
      </c>
      <c r="H636" s="1086">
        <f t="shared" si="9"/>
        <v>1</v>
      </c>
      <c r="I636" s="433" t="s">
        <v>1172</v>
      </c>
    </row>
    <row r="637" spans="1:9" ht="12" customHeight="1">
      <c r="A637" s="362"/>
      <c r="B637" s="296" t="s">
        <v>120</v>
      </c>
      <c r="C637" s="959"/>
      <c r="D637" s="959"/>
      <c r="E637" s="959"/>
      <c r="F637" s="959"/>
      <c r="G637" s="959"/>
      <c r="H637" s="1086"/>
      <c r="I637" s="476"/>
    </row>
    <row r="638" spans="1:9" ht="12" customHeight="1">
      <c r="A638" s="362"/>
      <c r="B638" s="296" t="s">
        <v>293</v>
      </c>
      <c r="C638" s="1017"/>
      <c r="D638" s="1017"/>
      <c r="E638" s="1017"/>
      <c r="F638" s="1017"/>
      <c r="G638" s="1017"/>
      <c r="H638" s="1086"/>
      <c r="I638" s="433"/>
    </row>
    <row r="639" spans="1:9" ht="12" customHeight="1" thickBot="1">
      <c r="A639" s="362"/>
      <c r="B639" s="418" t="s">
        <v>88</v>
      </c>
      <c r="C639" s="975"/>
      <c r="D639" s="975"/>
      <c r="E639" s="975"/>
      <c r="F639" s="975"/>
      <c r="G639" s="975"/>
      <c r="H639" s="1091"/>
      <c r="I639" s="451"/>
    </row>
    <row r="640" spans="1:9" ht="12" customHeight="1" thickBot="1">
      <c r="A640" s="371"/>
      <c r="B640" s="421" t="s">
        <v>136</v>
      </c>
      <c r="C640" s="972">
        <f>SUM(C636:C639)</f>
        <v>4770</v>
      </c>
      <c r="D640" s="972">
        <f>SUM(D636:D639)</f>
        <v>4770</v>
      </c>
      <c r="E640" s="972">
        <f>SUM(E636:E639)</f>
        <v>4770</v>
      </c>
      <c r="F640" s="972">
        <f>SUM(F636:F639)</f>
        <v>4770</v>
      </c>
      <c r="G640" s="972">
        <f>SUM(G636:G639)</f>
        <v>4770</v>
      </c>
      <c r="H640" s="1088">
        <f t="shared" si="9"/>
        <v>1</v>
      </c>
      <c r="I640" s="437"/>
    </row>
    <row r="641" spans="1:9" ht="12.75">
      <c r="A641" s="372">
        <v>3351</v>
      </c>
      <c r="B641" s="209" t="s">
        <v>401</v>
      </c>
      <c r="C641" s="1017"/>
      <c r="D641" s="1017"/>
      <c r="E641" s="1017"/>
      <c r="F641" s="1017"/>
      <c r="G641" s="1017"/>
      <c r="H641" s="406"/>
      <c r="I641" s="403"/>
    </row>
    <row r="642" spans="1:9" ht="12.75">
      <c r="A642" s="362"/>
      <c r="B642" s="363" t="s">
        <v>115</v>
      </c>
      <c r="C642" s="1018"/>
      <c r="D642" s="1018"/>
      <c r="E642" s="1018"/>
      <c r="F642" s="1018"/>
      <c r="G642" s="1018"/>
      <c r="H642" s="406"/>
      <c r="I642" s="407"/>
    </row>
    <row r="643" spans="1:9" ht="12.75">
      <c r="A643" s="362"/>
      <c r="B643" s="179" t="s">
        <v>298</v>
      </c>
      <c r="C643" s="1018"/>
      <c r="D643" s="1018"/>
      <c r="E643" s="1018"/>
      <c r="F643" s="1018"/>
      <c r="G643" s="1018"/>
      <c r="H643" s="1089"/>
      <c r="I643" s="407"/>
    </row>
    <row r="644" spans="1:9" ht="12.75">
      <c r="A644" s="362"/>
      <c r="B644" s="364" t="s">
        <v>284</v>
      </c>
      <c r="C644" s="959">
        <v>1300</v>
      </c>
      <c r="D644" s="959">
        <v>1300</v>
      </c>
      <c r="E644" s="959">
        <v>1300</v>
      </c>
      <c r="F644" s="959">
        <v>1300</v>
      </c>
      <c r="G644" s="959">
        <v>1300</v>
      </c>
      <c r="H644" s="1086">
        <f t="shared" si="9"/>
        <v>1</v>
      </c>
      <c r="I644" s="550"/>
    </row>
    <row r="645" spans="1:9" ht="12.75">
      <c r="A645" s="362"/>
      <c r="B645" s="296" t="s">
        <v>120</v>
      </c>
      <c r="C645" s="959">
        <v>23200</v>
      </c>
      <c r="D645" s="959">
        <v>23200</v>
      </c>
      <c r="E645" s="959">
        <v>14200</v>
      </c>
      <c r="F645" s="959">
        <v>14200</v>
      </c>
      <c r="G645" s="959">
        <v>14200</v>
      </c>
      <c r="H645" s="1086">
        <f t="shared" si="9"/>
        <v>1</v>
      </c>
      <c r="I645" s="550"/>
    </row>
    <row r="646" spans="1:9" ht="12.75">
      <c r="A646" s="362"/>
      <c r="B646" s="296" t="s">
        <v>293</v>
      </c>
      <c r="C646" s="1018"/>
      <c r="D646" s="1018"/>
      <c r="E646" s="1018"/>
      <c r="F646" s="1018"/>
      <c r="G646" s="1018"/>
      <c r="H646" s="1086"/>
      <c r="I646" s="1095"/>
    </row>
    <row r="647" spans="1:9" ht="12.75" thickBot="1">
      <c r="A647" s="362"/>
      <c r="B647" s="418" t="s">
        <v>88</v>
      </c>
      <c r="C647" s="1020"/>
      <c r="D647" s="1020"/>
      <c r="E647" s="1020"/>
      <c r="F647" s="1020"/>
      <c r="G647" s="1020"/>
      <c r="H647" s="1091"/>
      <c r="I647" s="435"/>
    </row>
    <row r="648" spans="1:9" ht="12.75" thickBot="1">
      <c r="A648" s="371"/>
      <c r="B648" s="421" t="s">
        <v>136</v>
      </c>
      <c r="C648" s="972">
        <f>SUM(C642:C647)</f>
        <v>24500</v>
      </c>
      <c r="D648" s="972">
        <f>SUM(D642:D647)</f>
        <v>24500</v>
      </c>
      <c r="E648" s="972">
        <f>SUM(E642:E647)</f>
        <v>15500</v>
      </c>
      <c r="F648" s="972">
        <f>SUM(F642:F647)</f>
        <v>15500</v>
      </c>
      <c r="G648" s="972">
        <f>SUM(G642:G647)</f>
        <v>15500</v>
      </c>
      <c r="H648" s="1088">
        <f t="shared" si="9"/>
        <v>1</v>
      </c>
      <c r="I648" s="451"/>
    </row>
    <row r="649" spans="1:9" ht="12.75">
      <c r="A649" s="73">
        <v>3352</v>
      </c>
      <c r="B649" s="444" t="s">
        <v>1098</v>
      </c>
      <c r="C649" s="1017"/>
      <c r="D649" s="1017"/>
      <c r="E649" s="1017"/>
      <c r="F649" s="1017"/>
      <c r="G649" s="1017"/>
      <c r="H649" s="406"/>
      <c r="I649" s="433"/>
    </row>
    <row r="650" spans="1:9" ht="12.75">
      <c r="A650" s="362"/>
      <c r="B650" s="363" t="s">
        <v>115</v>
      </c>
      <c r="C650" s="1018"/>
      <c r="D650" s="1018"/>
      <c r="E650" s="1018"/>
      <c r="F650" s="1018"/>
      <c r="G650" s="1018"/>
      <c r="H650" s="406"/>
      <c r="I650" s="433"/>
    </row>
    <row r="651" spans="1:9" ht="12.75">
      <c r="A651" s="362"/>
      <c r="B651" s="179" t="s">
        <v>298</v>
      </c>
      <c r="C651" s="1018"/>
      <c r="D651" s="1018"/>
      <c r="E651" s="1018"/>
      <c r="F651" s="1018"/>
      <c r="G651" s="1018"/>
      <c r="H651" s="1089"/>
      <c r="I651" s="433"/>
    </row>
    <row r="652" spans="1:9" ht="12.75">
      <c r="A652" s="362"/>
      <c r="B652" s="364" t="s">
        <v>284</v>
      </c>
      <c r="C652" s="959">
        <v>22000</v>
      </c>
      <c r="D652" s="959">
        <v>22000</v>
      </c>
      <c r="E652" s="959">
        <v>21741</v>
      </c>
      <c r="F652" s="959">
        <v>21741</v>
      </c>
      <c r="G652" s="959">
        <v>21741</v>
      </c>
      <c r="H652" s="1086">
        <f t="shared" si="9"/>
        <v>1</v>
      </c>
      <c r="I652" s="433" t="s">
        <v>1172</v>
      </c>
    </row>
    <row r="653" spans="1:9" ht="12.75">
      <c r="A653" s="362"/>
      <c r="B653" s="296" t="s">
        <v>120</v>
      </c>
      <c r="C653" s="959"/>
      <c r="D653" s="959"/>
      <c r="E653" s="959"/>
      <c r="F653" s="959"/>
      <c r="G653" s="959"/>
      <c r="H653" s="1086"/>
      <c r="I653" s="550"/>
    </row>
    <row r="654" spans="1:9" ht="12.75">
      <c r="A654" s="362"/>
      <c r="B654" s="296" t="s">
        <v>293</v>
      </c>
      <c r="C654" s="959"/>
      <c r="D654" s="959"/>
      <c r="E654" s="959"/>
      <c r="F654" s="959"/>
      <c r="G654" s="959"/>
      <c r="H654" s="1086"/>
      <c r="I654" s="433"/>
    </row>
    <row r="655" spans="1:9" ht="12.75">
      <c r="A655" s="362"/>
      <c r="B655" s="296" t="s">
        <v>120</v>
      </c>
      <c r="C655" s="1018"/>
      <c r="D655" s="1018"/>
      <c r="E655" s="1018"/>
      <c r="F655" s="1018"/>
      <c r="G655" s="1018"/>
      <c r="H655" s="1086"/>
      <c r="I655" s="434"/>
    </row>
    <row r="656" spans="1:9" ht="12.75" thickBot="1">
      <c r="A656" s="362"/>
      <c r="B656" s="418" t="s">
        <v>88</v>
      </c>
      <c r="C656" s="1020"/>
      <c r="D656" s="1020"/>
      <c r="E656" s="1020"/>
      <c r="F656" s="1020"/>
      <c r="G656" s="1020"/>
      <c r="H656" s="1091"/>
      <c r="I656" s="451"/>
    </row>
    <row r="657" spans="1:9" ht="12.75" thickBot="1">
      <c r="A657" s="371"/>
      <c r="B657" s="421" t="s">
        <v>136</v>
      </c>
      <c r="C657" s="975">
        <f>SUM(C650:C656)</f>
        <v>22000</v>
      </c>
      <c r="D657" s="975">
        <f>SUM(D650:D656)</f>
        <v>22000</v>
      </c>
      <c r="E657" s="975">
        <f>SUM(E650:E656)</f>
        <v>21741</v>
      </c>
      <c r="F657" s="975">
        <f>SUM(F650:F656)</f>
        <v>21741</v>
      </c>
      <c r="G657" s="975">
        <f>SUM(G650:G656)</f>
        <v>21741</v>
      </c>
      <c r="H657" s="1088">
        <f t="shared" si="9"/>
        <v>1</v>
      </c>
      <c r="I657" s="437"/>
    </row>
    <row r="658" spans="1:9" ht="12" customHeight="1">
      <c r="A658" s="73">
        <v>3355</v>
      </c>
      <c r="B658" s="209" t="s">
        <v>37</v>
      </c>
      <c r="C658" s="1017"/>
      <c r="D658" s="1017"/>
      <c r="E658" s="1017"/>
      <c r="F658" s="1017"/>
      <c r="G658" s="1017"/>
      <c r="H658" s="406"/>
      <c r="I658" s="433"/>
    </row>
    <row r="659" spans="1:9" ht="12" customHeight="1">
      <c r="A659" s="362"/>
      <c r="B659" s="363" t="s">
        <v>115</v>
      </c>
      <c r="C659" s="959">
        <v>2300</v>
      </c>
      <c r="D659" s="959">
        <v>2300</v>
      </c>
      <c r="E659" s="959">
        <v>2840</v>
      </c>
      <c r="F659" s="959">
        <v>2840</v>
      </c>
      <c r="G659" s="959">
        <v>2840</v>
      </c>
      <c r="H659" s="1089">
        <f t="shared" si="9"/>
        <v>1</v>
      </c>
      <c r="I659" s="433"/>
    </row>
    <row r="660" spans="1:9" ht="12" customHeight="1">
      <c r="A660" s="362"/>
      <c r="B660" s="179" t="s">
        <v>298</v>
      </c>
      <c r="C660" s="959">
        <v>900</v>
      </c>
      <c r="D660" s="959">
        <v>900</v>
      </c>
      <c r="E660" s="959">
        <v>1152</v>
      </c>
      <c r="F660" s="959">
        <v>1152</v>
      </c>
      <c r="G660" s="959">
        <v>1152</v>
      </c>
      <c r="H660" s="1086">
        <f aca="true" t="shared" si="10" ref="H660:H723">SUM(G660/F660)</f>
        <v>1</v>
      </c>
      <c r="I660" s="1180" t="s">
        <v>1174</v>
      </c>
    </row>
    <row r="661" spans="1:9" ht="12" customHeight="1">
      <c r="A661" s="362"/>
      <c r="B661" s="364" t="s">
        <v>284</v>
      </c>
      <c r="C661" s="959">
        <v>10800</v>
      </c>
      <c r="D661" s="959">
        <v>10800</v>
      </c>
      <c r="E661" s="959">
        <v>13730</v>
      </c>
      <c r="F661" s="959">
        <v>13730</v>
      </c>
      <c r="G661" s="959">
        <v>13730</v>
      </c>
      <c r="H661" s="1086">
        <f t="shared" si="10"/>
        <v>1</v>
      </c>
      <c r="I661" s="549"/>
    </row>
    <row r="662" spans="1:9" ht="12" customHeight="1">
      <c r="A662" s="362"/>
      <c r="B662" s="296" t="s">
        <v>120</v>
      </c>
      <c r="C662" s="959"/>
      <c r="D662" s="959"/>
      <c r="E662" s="959"/>
      <c r="F662" s="959"/>
      <c r="G662" s="959"/>
      <c r="H662" s="1086"/>
      <c r="I662" s="433"/>
    </row>
    <row r="663" spans="1:9" ht="12" customHeight="1">
      <c r="A663" s="362"/>
      <c r="B663" s="296" t="s">
        <v>293</v>
      </c>
      <c r="C663" s="959"/>
      <c r="D663" s="959"/>
      <c r="E663" s="959"/>
      <c r="F663" s="959"/>
      <c r="G663" s="959"/>
      <c r="H663" s="1086"/>
      <c r="I663" s="433"/>
    </row>
    <row r="664" spans="1:9" ht="12" customHeight="1" thickBot="1">
      <c r="A664" s="362"/>
      <c r="B664" s="418" t="s">
        <v>88</v>
      </c>
      <c r="C664" s="1024"/>
      <c r="D664" s="1024"/>
      <c r="E664" s="1024"/>
      <c r="F664" s="1024"/>
      <c r="G664" s="1024"/>
      <c r="H664" s="1091"/>
      <c r="I664" s="451"/>
    </row>
    <row r="665" spans="1:9" ht="12" customHeight="1" thickBot="1">
      <c r="A665" s="371"/>
      <c r="B665" s="421" t="s">
        <v>136</v>
      </c>
      <c r="C665" s="972">
        <f>SUM(C659:C664)</f>
        <v>14000</v>
      </c>
      <c r="D665" s="972">
        <f>SUM(D659:D664)</f>
        <v>14000</v>
      </c>
      <c r="E665" s="972">
        <f>SUM(E659:E664)</f>
        <v>17722</v>
      </c>
      <c r="F665" s="972">
        <f>SUM(F659:F664)</f>
        <v>17722</v>
      </c>
      <c r="G665" s="972">
        <f>SUM(G659:G664)</f>
        <v>17722</v>
      </c>
      <c r="H665" s="1088">
        <f t="shared" si="10"/>
        <v>1</v>
      </c>
      <c r="I665" s="437"/>
    </row>
    <row r="666" spans="1:9" ht="12" customHeight="1">
      <c r="A666" s="73">
        <v>3356</v>
      </c>
      <c r="B666" s="209" t="s">
        <v>22</v>
      </c>
      <c r="C666" s="1017"/>
      <c r="D666" s="1017"/>
      <c r="E666" s="1017"/>
      <c r="F666" s="1017"/>
      <c r="G666" s="1017"/>
      <c r="H666" s="406"/>
      <c r="I666" s="433"/>
    </row>
    <row r="667" spans="1:9" ht="12" customHeight="1">
      <c r="A667" s="362"/>
      <c r="B667" s="363" t="s">
        <v>115</v>
      </c>
      <c r="C667" s="959"/>
      <c r="D667" s="959"/>
      <c r="E667" s="959"/>
      <c r="F667" s="959"/>
      <c r="G667" s="959"/>
      <c r="H667" s="406"/>
      <c r="I667" s="433"/>
    </row>
    <row r="668" spans="1:9" ht="12" customHeight="1">
      <c r="A668" s="362"/>
      <c r="B668" s="179" t="s">
        <v>298</v>
      </c>
      <c r="C668" s="959"/>
      <c r="D668" s="959"/>
      <c r="E668" s="959"/>
      <c r="F668" s="959"/>
      <c r="G668" s="959"/>
      <c r="H668" s="1089"/>
      <c r="I668" s="433"/>
    </row>
    <row r="669" spans="1:9" ht="12" customHeight="1">
      <c r="A669" s="362"/>
      <c r="B669" s="364" t="s">
        <v>284</v>
      </c>
      <c r="C669" s="959"/>
      <c r="D669" s="959"/>
      <c r="E669" s="959"/>
      <c r="F669" s="959"/>
      <c r="G669" s="959"/>
      <c r="H669" s="1086"/>
      <c r="I669" s="549"/>
    </row>
    <row r="670" spans="1:9" ht="12" customHeight="1">
      <c r="A670" s="362"/>
      <c r="B670" s="296" t="s">
        <v>120</v>
      </c>
      <c r="C670" s="959"/>
      <c r="D670" s="959"/>
      <c r="E670" s="959"/>
      <c r="F670" s="959"/>
      <c r="G670" s="959"/>
      <c r="H670" s="1086"/>
      <c r="I670" s="433"/>
    </row>
    <row r="671" spans="1:9" ht="12" customHeight="1">
      <c r="A671" s="362"/>
      <c r="B671" s="296" t="s">
        <v>293</v>
      </c>
      <c r="C671" s="959">
        <v>8000</v>
      </c>
      <c r="D671" s="959">
        <v>8000</v>
      </c>
      <c r="E671" s="959">
        <v>22108</v>
      </c>
      <c r="F671" s="959">
        <v>22108</v>
      </c>
      <c r="G671" s="959">
        <v>22108</v>
      </c>
      <c r="H671" s="1086">
        <f t="shared" si="10"/>
        <v>1</v>
      </c>
      <c r="I671" s="433"/>
    </row>
    <row r="672" spans="1:9" ht="12" customHeight="1" thickBot="1">
      <c r="A672" s="362"/>
      <c r="B672" s="418" t="s">
        <v>88</v>
      </c>
      <c r="C672" s="975"/>
      <c r="D672" s="975"/>
      <c r="E672" s="975"/>
      <c r="F672" s="975"/>
      <c r="G672" s="975"/>
      <c r="H672" s="1091"/>
      <c r="I672" s="451"/>
    </row>
    <row r="673" spans="1:9" ht="12" customHeight="1" thickBot="1">
      <c r="A673" s="371"/>
      <c r="B673" s="421" t="s">
        <v>136</v>
      </c>
      <c r="C673" s="972">
        <f>SUM(C667:C672)</f>
        <v>8000</v>
      </c>
      <c r="D673" s="972">
        <f>SUM(D667:D672)</f>
        <v>8000</v>
      </c>
      <c r="E673" s="972">
        <f>SUM(E667:E672)</f>
        <v>22108</v>
      </c>
      <c r="F673" s="972">
        <f>SUM(F667:F672)</f>
        <v>22108</v>
      </c>
      <c r="G673" s="972">
        <f>SUM(G667:G672)</f>
        <v>22108</v>
      </c>
      <c r="H673" s="1088">
        <f t="shared" si="10"/>
        <v>1</v>
      </c>
      <c r="I673" s="437"/>
    </row>
    <row r="674" spans="1:9" ht="12" customHeight="1">
      <c r="A674" s="73">
        <v>3357</v>
      </c>
      <c r="B674" s="209" t="s">
        <v>38</v>
      </c>
      <c r="C674" s="1017"/>
      <c r="D674" s="1017"/>
      <c r="E674" s="1017"/>
      <c r="F674" s="1017"/>
      <c r="G674" s="1017"/>
      <c r="H674" s="1241"/>
      <c r="I674" s="433"/>
    </row>
    <row r="675" spans="1:9" ht="12" customHeight="1">
      <c r="A675" s="362"/>
      <c r="B675" s="363" t="s">
        <v>115</v>
      </c>
      <c r="C675" s="959">
        <v>1050</v>
      </c>
      <c r="D675" s="959">
        <v>1050</v>
      </c>
      <c r="E675" s="959">
        <v>1184</v>
      </c>
      <c r="F675" s="959">
        <v>1184</v>
      </c>
      <c r="G675" s="959">
        <v>1184</v>
      </c>
      <c r="H675" s="1086">
        <f t="shared" si="10"/>
        <v>1</v>
      </c>
      <c r="I675" s="433"/>
    </row>
    <row r="676" spans="1:9" ht="12" customHeight="1">
      <c r="A676" s="362"/>
      <c r="B676" s="179" t="s">
        <v>298</v>
      </c>
      <c r="C676" s="959">
        <v>600</v>
      </c>
      <c r="D676" s="959">
        <v>600</v>
      </c>
      <c r="E676" s="959">
        <v>761</v>
      </c>
      <c r="F676" s="959">
        <v>761</v>
      </c>
      <c r="G676" s="959">
        <v>761</v>
      </c>
      <c r="H676" s="1086">
        <f t="shared" si="10"/>
        <v>1</v>
      </c>
      <c r="I676" s="433"/>
    </row>
    <row r="677" spans="1:9" ht="12" customHeight="1">
      <c r="A677" s="362"/>
      <c r="B677" s="364" t="s">
        <v>284</v>
      </c>
      <c r="C677" s="959">
        <v>7350</v>
      </c>
      <c r="D677" s="959">
        <v>7350</v>
      </c>
      <c r="E677" s="959">
        <v>10263</v>
      </c>
      <c r="F677" s="959">
        <v>10263</v>
      </c>
      <c r="G677" s="959">
        <f>10263-4400</f>
        <v>5863</v>
      </c>
      <c r="H677" s="1086">
        <f t="shared" si="10"/>
        <v>0.5712754555198285</v>
      </c>
      <c r="I677" s="1180" t="s">
        <v>1174</v>
      </c>
    </row>
    <row r="678" spans="1:9" ht="12" customHeight="1">
      <c r="A678" s="362"/>
      <c r="B678" s="296" t="s">
        <v>120</v>
      </c>
      <c r="C678" s="959"/>
      <c r="D678" s="959"/>
      <c r="E678" s="959"/>
      <c r="F678" s="959"/>
      <c r="G678" s="959"/>
      <c r="H678" s="1086"/>
      <c r="I678" s="433"/>
    </row>
    <row r="679" spans="1:9" ht="12" customHeight="1">
      <c r="A679" s="362"/>
      <c r="B679" s="296" t="s">
        <v>293</v>
      </c>
      <c r="C679" s="959"/>
      <c r="D679" s="959"/>
      <c r="E679" s="959"/>
      <c r="F679" s="959"/>
      <c r="G679" s="959">
        <v>4400</v>
      </c>
      <c r="H679" s="1086"/>
      <c r="I679" s="433"/>
    </row>
    <row r="680" spans="1:9" ht="12" customHeight="1" thickBot="1">
      <c r="A680" s="362"/>
      <c r="B680" s="418" t="s">
        <v>88</v>
      </c>
      <c r="C680" s="1024"/>
      <c r="D680" s="1024"/>
      <c r="E680" s="1024"/>
      <c r="F680" s="1024"/>
      <c r="G680" s="1024"/>
      <c r="H680" s="1091"/>
      <c r="I680" s="451"/>
    </row>
    <row r="681" spans="1:9" ht="12" customHeight="1" thickBot="1">
      <c r="A681" s="371"/>
      <c r="B681" s="421" t="s">
        <v>136</v>
      </c>
      <c r="C681" s="972">
        <f>SUM(C675:C680)</f>
        <v>9000</v>
      </c>
      <c r="D681" s="972">
        <f>SUM(D675:D680)</f>
        <v>9000</v>
      </c>
      <c r="E681" s="972">
        <f>SUM(E675:E680)</f>
        <v>12208</v>
      </c>
      <c r="F681" s="972">
        <f>SUM(F675:F680)</f>
        <v>12208</v>
      </c>
      <c r="G681" s="972">
        <f>SUM(G675:G680)</f>
        <v>12208</v>
      </c>
      <c r="H681" s="1088">
        <f t="shared" si="10"/>
        <v>1</v>
      </c>
      <c r="I681" s="437"/>
    </row>
    <row r="682" spans="1:9" ht="12" customHeight="1">
      <c r="A682" s="73">
        <v>3358</v>
      </c>
      <c r="B682" s="209" t="s">
        <v>356</v>
      </c>
      <c r="C682" s="1017"/>
      <c r="D682" s="1017"/>
      <c r="E682" s="1017"/>
      <c r="F682" s="1017"/>
      <c r="G682" s="1017"/>
      <c r="H682" s="406"/>
      <c r="I682" s="433"/>
    </row>
    <row r="683" spans="1:9" ht="12" customHeight="1">
      <c r="A683" s="362"/>
      <c r="B683" s="363" t="s">
        <v>115</v>
      </c>
      <c r="C683" s="959"/>
      <c r="D683" s="959"/>
      <c r="E683" s="959"/>
      <c r="F683" s="959"/>
      <c r="G683" s="959"/>
      <c r="H683" s="406"/>
      <c r="I683" s="433"/>
    </row>
    <row r="684" spans="1:9" ht="12" customHeight="1">
      <c r="A684" s="362"/>
      <c r="B684" s="179" t="s">
        <v>298</v>
      </c>
      <c r="C684" s="959"/>
      <c r="D684" s="959"/>
      <c r="E684" s="959"/>
      <c r="F684" s="959"/>
      <c r="G684" s="959"/>
      <c r="H684" s="406"/>
      <c r="I684" s="550"/>
    </row>
    <row r="685" spans="1:9" ht="12" customHeight="1">
      <c r="A685" s="362"/>
      <c r="B685" s="364" t="s">
        <v>284</v>
      </c>
      <c r="C685" s="959"/>
      <c r="D685" s="959"/>
      <c r="E685" s="959"/>
      <c r="F685" s="959"/>
      <c r="G685" s="959"/>
      <c r="H685" s="406"/>
      <c r="I685" s="550"/>
    </row>
    <row r="686" spans="1:9" ht="12" customHeight="1">
      <c r="A686" s="362"/>
      <c r="B686" s="296" t="s">
        <v>120</v>
      </c>
      <c r="C686" s="959"/>
      <c r="D686" s="959"/>
      <c r="E686" s="959"/>
      <c r="F686" s="959"/>
      <c r="G686" s="959"/>
      <c r="H686" s="406"/>
      <c r="I686" s="433"/>
    </row>
    <row r="687" spans="1:9" ht="12" customHeight="1">
      <c r="A687" s="362"/>
      <c r="B687" s="296" t="s">
        <v>293</v>
      </c>
      <c r="C687" s="1017"/>
      <c r="D687" s="1017"/>
      <c r="E687" s="1017"/>
      <c r="F687" s="1017"/>
      <c r="G687" s="1017"/>
      <c r="H687" s="406"/>
      <c r="I687" s="433"/>
    </row>
    <row r="688" spans="1:9" ht="12" customHeight="1" thickBot="1">
      <c r="A688" s="362"/>
      <c r="B688" s="418" t="s">
        <v>88</v>
      </c>
      <c r="C688" s="975"/>
      <c r="D688" s="975"/>
      <c r="E688" s="975"/>
      <c r="F688" s="975"/>
      <c r="G688" s="975"/>
      <c r="H688" s="1087"/>
      <c r="I688" s="451"/>
    </row>
    <row r="689" spans="1:9" ht="12" customHeight="1" thickBot="1">
      <c r="A689" s="371"/>
      <c r="B689" s="421" t="s">
        <v>136</v>
      </c>
      <c r="C689" s="972">
        <f>SUM(C683:C688)</f>
        <v>0</v>
      </c>
      <c r="D689" s="972">
        <f>SUM(D683:D688)</f>
        <v>0</v>
      </c>
      <c r="E689" s="972">
        <f>SUM(E683:E688)</f>
        <v>0</v>
      </c>
      <c r="F689" s="972">
        <f>SUM(F683:F688)</f>
        <v>0</v>
      </c>
      <c r="G689" s="972">
        <f>SUM(G683:G688)</f>
        <v>0</v>
      </c>
      <c r="H689" s="1088"/>
      <c r="I689" s="437"/>
    </row>
    <row r="690" spans="1:9" ht="12" customHeight="1">
      <c r="A690" s="73">
        <v>3360</v>
      </c>
      <c r="B690" s="209" t="s">
        <v>390</v>
      </c>
      <c r="C690" s="1017"/>
      <c r="D690" s="1017"/>
      <c r="E690" s="1017"/>
      <c r="F690" s="1017"/>
      <c r="G690" s="1017"/>
      <c r="H690" s="406"/>
      <c r="I690" s="433"/>
    </row>
    <row r="691" spans="1:9" ht="12" customHeight="1">
      <c r="A691" s="362"/>
      <c r="B691" s="363" t="s">
        <v>115</v>
      </c>
      <c r="C691" s="959">
        <v>2250</v>
      </c>
      <c r="D691" s="959">
        <v>2250</v>
      </c>
      <c r="E691" s="959">
        <v>2250</v>
      </c>
      <c r="F691" s="959">
        <v>2250</v>
      </c>
      <c r="G691" s="959">
        <f>2250-806</f>
        <v>1444</v>
      </c>
      <c r="H691" s="1089">
        <f t="shared" si="10"/>
        <v>0.6417777777777778</v>
      </c>
      <c r="I691" s="433"/>
    </row>
    <row r="692" spans="1:9" ht="12" customHeight="1">
      <c r="A692" s="362"/>
      <c r="B692" s="179" t="s">
        <v>298</v>
      </c>
      <c r="C692" s="959">
        <v>1150</v>
      </c>
      <c r="D692" s="959">
        <v>1150</v>
      </c>
      <c r="E692" s="959">
        <v>1150</v>
      </c>
      <c r="F692" s="959">
        <v>1150</v>
      </c>
      <c r="G692" s="959">
        <v>1150</v>
      </c>
      <c r="H692" s="1086">
        <f t="shared" si="10"/>
        <v>1</v>
      </c>
      <c r="I692" s="550"/>
    </row>
    <row r="693" spans="1:9" ht="12" customHeight="1">
      <c r="A693" s="362"/>
      <c r="B693" s="364" t="s">
        <v>284</v>
      </c>
      <c r="C693" s="959">
        <v>600</v>
      </c>
      <c r="D693" s="959">
        <v>600</v>
      </c>
      <c r="E693" s="959">
        <v>600</v>
      </c>
      <c r="F693" s="959">
        <v>600</v>
      </c>
      <c r="G693" s="959">
        <f>600+806</f>
        <v>1406</v>
      </c>
      <c r="H693" s="1086">
        <f t="shared" si="10"/>
        <v>2.3433333333333333</v>
      </c>
      <c r="I693" s="550"/>
    </row>
    <row r="694" spans="1:9" ht="12" customHeight="1">
      <c r="A694" s="362"/>
      <c r="B694" s="296" t="s">
        <v>120</v>
      </c>
      <c r="C694" s="959"/>
      <c r="D694" s="959"/>
      <c r="E694" s="959"/>
      <c r="F694" s="959"/>
      <c r="G694" s="959"/>
      <c r="H694" s="1086"/>
      <c r="I694" s="433"/>
    </row>
    <row r="695" spans="1:9" ht="12" customHeight="1">
      <c r="A695" s="362"/>
      <c r="B695" s="296" t="s">
        <v>293</v>
      </c>
      <c r="C695" s="959"/>
      <c r="D695" s="959"/>
      <c r="E695" s="959"/>
      <c r="F695" s="959"/>
      <c r="G695" s="959"/>
      <c r="H695" s="1086"/>
      <c r="I695" s="433"/>
    </row>
    <row r="696" spans="1:9" ht="12" customHeight="1" thickBot="1">
      <c r="A696" s="362"/>
      <c r="B696" s="418" t="s">
        <v>88</v>
      </c>
      <c r="C696" s="1024"/>
      <c r="D696" s="1024"/>
      <c r="E696" s="1024"/>
      <c r="F696" s="1024"/>
      <c r="G696" s="1024"/>
      <c r="H696" s="1091"/>
      <c r="I696" s="451"/>
    </row>
    <row r="697" spans="1:9" ht="12" customHeight="1" thickBot="1">
      <c r="A697" s="371"/>
      <c r="B697" s="421" t="s">
        <v>136</v>
      </c>
      <c r="C697" s="972">
        <f>SUM(C691:C696)</f>
        <v>4000</v>
      </c>
      <c r="D697" s="972">
        <f>SUM(D691:D696)</f>
        <v>4000</v>
      </c>
      <c r="E697" s="972">
        <f>SUM(E691:E696)</f>
        <v>4000</v>
      </c>
      <c r="F697" s="972">
        <f>SUM(F691:F696)</f>
        <v>4000</v>
      </c>
      <c r="G697" s="972">
        <f>SUM(G691:G696)</f>
        <v>4000</v>
      </c>
      <c r="H697" s="1088">
        <f t="shared" si="10"/>
        <v>1</v>
      </c>
      <c r="I697" s="437"/>
    </row>
    <row r="698" spans="1:9" ht="12" customHeight="1">
      <c r="A698" s="73">
        <v>3362</v>
      </c>
      <c r="B698" s="209" t="s">
        <v>485</v>
      </c>
      <c r="C698" s="1017"/>
      <c r="D698" s="1017"/>
      <c r="E698" s="1017"/>
      <c r="F698" s="1017"/>
      <c r="G698" s="1017"/>
      <c r="H698" s="406"/>
      <c r="I698" s="433"/>
    </row>
    <row r="699" spans="1:9" ht="12" customHeight="1">
      <c r="A699" s="362"/>
      <c r="B699" s="616" t="s">
        <v>115</v>
      </c>
      <c r="C699" s="959"/>
      <c r="D699" s="959"/>
      <c r="E699" s="959"/>
      <c r="F699" s="959"/>
      <c r="G699" s="959"/>
      <c r="H699" s="406"/>
      <c r="I699" s="1170" t="s">
        <v>1092</v>
      </c>
    </row>
    <row r="700" spans="1:9" ht="12" customHeight="1">
      <c r="A700" s="362"/>
      <c r="B700" s="179" t="s">
        <v>298</v>
      </c>
      <c r="C700" s="959"/>
      <c r="D700" s="959"/>
      <c r="E700" s="959"/>
      <c r="F700" s="959"/>
      <c r="G700" s="959"/>
      <c r="H700" s="1089"/>
      <c r="I700" s="433" t="s">
        <v>1082</v>
      </c>
    </row>
    <row r="701" spans="1:9" ht="12" customHeight="1">
      <c r="A701" s="362"/>
      <c r="B701" s="364" t="s">
        <v>284</v>
      </c>
      <c r="C701" s="959">
        <v>3000</v>
      </c>
      <c r="D701" s="959">
        <v>3000</v>
      </c>
      <c r="E701" s="959">
        <v>3240</v>
      </c>
      <c r="F701" s="959">
        <v>3240</v>
      </c>
      <c r="G701" s="959">
        <v>3240</v>
      </c>
      <c r="H701" s="1086">
        <f t="shared" si="10"/>
        <v>1</v>
      </c>
      <c r="I701" s="550"/>
    </row>
    <row r="702" spans="1:9" ht="12" customHeight="1">
      <c r="A702" s="362"/>
      <c r="B702" s="296" t="s">
        <v>120</v>
      </c>
      <c r="C702" s="959"/>
      <c r="D702" s="959"/>
      <c r="E702" s="959"/>
      <c r="F702" s="959"/>
      <c r="G702" s="959"/>
      <c r="H702" s="1086"/>
      <c r="I702" s="1180" t="s">
        <v>1174</v>
      </c>
    </row>
    <row r="703" spans="1:9" ht="12" customHeight="1">
      <c r="A703" s="362"/>
      <c r="B703" s="296" t="s">
        <v>293</v>
      </c>
      <c r="C703" s="959"/>
      <c r="D703" s="959"/>
      <c r="E703" s="959"/>
      <c r="F703" s="959"/>
      <c r="G703" s="959"/>
      <c r="H703" s="1086"/>
      <c r="I703" s="433"/>
    </row>
    <row r="704" spans="1:9" ht="12" customHeight="1" thickBot="1">
      <c r="A704" s="362"/>
      <c r="B704" s="418" t="s">
        <v>272</v>
      </c>
      <c r="C704" s="1024"/>
      <c r="D704" s="1024"/>
      <c r="E704" s="1024"/>
      <c r="F704" s="1024"/>
      <c r="G704" s="1024"/>
      <c r="H704" s="1091"/>
      <c r="I704" s="451"/>
    </row>
    <row r="705" spans="1:9" ht="12" customHeight="1" thickBot="1">
      <c r="A705" s="371"/>
      <c r="B705" s="421" t="s">
        <v>136</v>
      </c>
      <c r="C705" s="972">
        <f>SUM(C699:C704)</f>
        <v>3000</v>
      </c>
      <c r="D705" s="972">
        <f>SUM(D699:D704)</f>
        <v>3000</v>
      </c>
      <c r="E705" s="972">
        <f>SUM(E699:E704)</f>
        <v>3240</v>
      </c>
      <c r="F705" s="972">
        <f>SUM(F699:F704)</f>
        <v>3240</v>
      </c>
      <c r="G705" s="972">
        <f>SUM(G699:G704)</f>
        <v>3240</v>
      </c>
      <c r="H705" s="1088">
        <f t="shared" si="10"/>
        <v>1</v>
      </c>
      <c r="I705" s="437"/>
    </row>
    <row r="706" spans="1:9" ht="12" customHeight="1" thickBot="1">
      <c r="A706" s="446">
        <v>3400</v>
      </c>
      <c r="B706" s="457" t="s">
        <v>93</v>
      </c>
      <c r="C706" s="972">
        <f>SUM(C707+C749)</f>
        <v>309500</v>
      </c>
      <c r="D706" s="972">
        <f>SUM(D707+D749)</f>
        <v>189500</v>
      </c>
      <c r="E706" s="972">
        <f>SUM(E707+E749)</f>
        <v>279682</v>
      </c>
      <c r="F706" s="972">
        <f>SUM(F707+F749)</f>
        <v>306682</v>
      </c>
      <c r="G706" s="972">
        <f>SUM(G707+G749)</f>
        <v>306682</v>
      </c>
      <c r="H706" s="1088">
        <f t="shared" si="10"/>
        <v>1</v>
      </c>
      <c r="I706" s="437"/>
    </row>
    <row r="707" spans="1:9" ht="12" customHeight="1" thickBot="1">
      <c r="A707" s="73">
        <v>3410</v>
      </c>
      <c r="B707" s="374" t="s">
        <v>94</v>
      </c>
      <c r="C707" s="972">
        <f>SUM(C715+C723+C732+C740+C748)</f>
        <v>80500</v>
      </c>
      <c r="D707" s="972">
        <f>SUM(D715+D723+D732+D740+D748)</f>
        <v>40500</v>
      </c>
      <c r="E707" s="972">
        <f>SUM(E715+E723+E732+E740+E748)</f>
        <v>47185</v>
      </c>
      <c r="F707" s="972">
        <f>SUM(F715+F723+F732+F740+F748)</f>
        <v>74185</v>
      </c>
      <c r="G707" s="972">
        <f>SUM(G715+G723+G732+G740+G748)</f>
        <v>74185</v>
      </c>
      <c r="H707" s="1088">
        <f t="shared" si="10"/>
        <v>1</v>
      </c>
      <c r="I707" s="437"/>
    </row>
    <row r="708" spans="1:9" s="401" customFormat="1" ht="12" customHeight="1">
      <c r="A708" s="73">
        <v>3412</v>
      </c>
      <c r="B708" s="209" t="s">
        <v>391</v>
      </c>
      <c r="C708" s="1017"/>
      <c r="D708" s="1017"/>
      <c r="E708" s="1017"/>
      <c r="F708" s="1017"/>
      <c r="G708" s="1017"/>
      <c r="H708" s="406"/>
      <c r="I708" s="432"/>
    </row>
    <row r="709" spans="1:9" ht="12" customHeight="1">
      <c r="A709" s="362"/>
      <c r="B709" s="363" t="s">
        <v>115</v>
      </c>
      <c r="C709" s="1018">
        <v>14600</v>
      </c>
      <c r="D709" s="1018">
        <v>7900</v>
      </c>
      <c r="E709" s="1018">
        <v>8735</v>
      </c>
      <c r="F709" s="1018">
        <v>8735</v>
      </c>
      <c r="G709" s="1018">
        <v>8735</v>
      </c>
      <c r="H709" s="1089">
        <f t="shared" si="10"/>
        <v>1</v>
      </c>
      <c r="I709" s="433"/>
    </row>
    <row r="710" spans="1:9" ht="12" customHeight="1">
      <c r="A710" s="362"/>
      <c r="B710" s="179" t="s">
        <v>298</v>
      </c>
      <c r="C710" s="1018">
        <v>3500</v>
      </c>
      <c r="D710" s="1018">
        <v>700</v>
      </c>
      <c r="E710" s="1018">
        <v>1107</v>
      </c>
      <c r="F710" s="1018">
        <v>1107</v>
      </c>
      <c r="G710" s="1018">
        <v>1107</v>
      </c>
      <c r="H710" s="1086">
        <f t="shared" si="10"/>
        <v>1</v>
      </c>
      <c r="I710" s="550"/>
    </row>
    <row r="711" spans="1:9" ht="12" customHeight="1">
      <c r="A711" s="362"/>
      <c r="B711" s="364" t="s">
        <v>284</v>
      </c>
      <c r="C711" s="959">
        <v>31400</v>
      </c>
      <c r="D711" s="959">
        <v>900</v>
      </c>
      <c r="E711" s="959">
        <v>2733</v>
      </c>
      <c r="F711" s="959">
        <v>29733</v>
      </c>
      <c r="G711" s="959">
        <f>29733-153</f>
        <v>29580</v>
      </c>
      <c r="H711" s="1086">
        <f t="shared" si="10"/>
        <v>0.9948542024013722</v>
      </c>
      <c r="I711" s="1180" t="s">
        <v>1174</v>
      </c>
    </row>
    <row r="712" spans="1:9" ht="12" customHeight="1">
      <c r="A712" s="362"/>
      <c r="B712" s="296" t="s">
        <v>120</v>
      </c>
      <c r="C712" s="959"/>
      <c r="D712" s="959"/>
      <c r="E712" s="959"/>
      <c r="F712" s="959"/>
      <c r="G712" s="959"/>
      <c r="H712" s="1086"/>
      <c r="I712" s="433"/>
    </row>
    <row r="713" spans="1:9" ht="12.75">
      <c r="A713" s="362"/>
      <c r="B713" s="296" t="s">
        <v>293</v>
      </c>
      <c r="C713" s="1018"/>
      <c r="D713" s="1018"/>
      <c r="E713" s="1018"/>
      <c r="F713" s="1018"/>
      <c r="G713" s="1018"/>
      <c r="H713" s="1086"/>
      <c r="I713" s="434"/>
    </row>
    <row r="714" spans="1:9" ht="12.75" thickBot="1">
      <c r="A714" s="362"/>
      <c r="B714" s="418" t="s">
        <v>253</v>
      </c>
      <c r="C714" s="1020"/>
      <c r="D714" s="1020"/>
      <c r="E714" s="1020"/>
      <c r="F714" s="1020"/>
      <c r="G714" s="1020">
        <v>153</v>
      </c>
      <c r="H714" s="1091"/>
      <c r="I714" s="435"/>
    </row>
    <row r="715" spans="1:9" ht="12" customHeight="1" thickBot="1">
      <c r="A715" s="371"/>
      <c r="B715" s="421" t="s">
        <v>136</v>
      </c>
      <c r="C715" s="975">
        <f>SUM(C709:C714)</f>
        <v>49500</v>
      </c>
      <c r="D715" s="975">
        <f>SUM(D709:D714)</f>
        <v>9500</v>
      </c>
      <c r="E715" s="975">
        <f>SUM(E709:E714)</f>
        <v>12575</v>
      </c>
      <c r="F715" s="975">
        <f>SUM(F709:F714)</f>
        <v>39575</v>
      </c>
      <c r="G715" s="975">
        <f>SUM(G709:G714)</f>
        <v>39575</v>
      </c>
      <c r="H715" s="1088">
        <f t="shared" si="10"/>
        <v>1</v>
      </c>
      <c r="I715" s="473"/>
    </row>
    <row r="716" spans="1:9" ht="12" customHeight="1">
      <c r="A716" s="73">
        <v>3413</v>
      </c>
      <c r="B716" s="444" t="s">
        <v>140</v>
      </c>
      <c r="C716" s="1017"/>
      <c r="D716" s="1017"/>
      <c r="E716" s="1017"/>
      <c r="F716" s="1017"/>
      <c r="G716" s="1017"/>
      <c r="H716" s="406"/>
      <c r="I716" s="403"/>
    </row>
    <row r="717" spans="1:9" ht="12" customHeight="1">
      <c r="A717" s="362"/>
      <c r="B717" s="363" t="s">
        <v>115</v>
      </c>
      <c r="C717" s="1018">
        <v>600</v>
      </c>
      <c r="D717" s="1018">
        <v>600</v>
      </c>
      <c r="E717" s="1018">
        <v>786</v>
      </c>
      <c r="F717" s="1018">
        <v>786</v>
      </c>
      <c r="G717" s="1018">
        <v>786</v>
      </c>
      <c r="H717" s="1089">
        <f t="shared" si="10"/>
        <v>1</v>
      </c>
      <c r="I717" s="433"/>
    </row>
    <row r="718" spans="1:9" ht="12" customHeight="1">
      <c r="A718" s="362"/>
      <c r="B718" s="179" t="s">
        <v>298</v>
      </c>
      <c r="C718" s="1018">
        <v>400</v>
      </c>
      <c r="D718" s="1018">
        <v>400</v>
      </c>
      <c r="E718" s="1018">
        <v>435</v>
      </c>
      <c r="F718" s="1018">
        <v>435</v>
      </c>
      <c r="G718" s="1018">
        <v>435</v>
      </c>
      <c r="H718" s="1086">
        <f t="shared" si="10"/>
        <v>1</v>
      </c>
      <c r="I718" s="1180" t="s">
        <v>1174</v>
      </c>
    </row>
    <row r="719" spans="1:9" ht="12" customHeight="1">
      <c r="A719" s="362"/>
      <c r="B719" s="364" t="s">
        <v>284</v>
      </c>
      <c r="C719" s="959">
        <v>3000</v>
      </c>
      <c r="D719" s="959">
        <v>3000</v>
      </c>
      <c r="E719" s="959">
        <v>3289</v>
      </c>
      <c r="F719" s="959">
        <v>3289</v>
      </c>
      <c r="G719" s="959">
        <v>3289</v>
      </c>
      <c r="H719" s="1086">
        <f t="shared" si="10"/>
        <v>1</v>
      </c>
      <c r="I719" s="550"/>
    </row>
    <row r="720" spans="1:9" ht="12" customHeight="1">
      <c r="A720" s="362"/>
      <c r="B720" s="296" t="s">
        <v>120</v>
      </c>
      <c r="C720" s="959"/>
      <c r="D720" s="959"/>
      <c r="E720" s="959"/>
      <c r="F720" s="959"/>
      <c r="G720" s="959"/>
      <c r="H720" s="1086"/>
      <c r="I720" s="433"/>
    </row>
    <row r="721" spans="1:9" ht="12" customHeight="1">
      <c r="A721" s="362"/>
      <c r="B721" s="296" t="s">
        <v>293</v>
      </c>
      <c r="C721" s="1018"/>
      <c r="D721" s="1018"/>
      <c r="E721" s="1018">
        <v>600</v>
      </c>
      <c r="F721" s="1018">
        <v>600</v>
      </c>
      <c r="G721" s="1018">
        <v>600</v>
      </c>
      <c r="H721" s="1086">
        <f t="shared" si="10"/>
        <v>1</v>
      </c>
      <c r="I721" s="433"/>
    </row>
    <row r="722" spans="1:9" ht="12" customHeight="1" thickBot="1">
      <c r="A722" s="362"/>
      <c r="B722" s="418" t="s">
        <v>88</v>
      </c>
      <c r="C722" s="1020"/>
      <c r="D722" s="1020"/>
      <c r="E722" s="1020"/>
      <c r="F722" s="1020"/>
      <c r="G722" s="1020"/>
      <c r="H722" s="1091"/>
      <c r="I722" s="451"/>
    </row>
    <row r="723" spans="1:9" ht="12" customHeight="1" thickBot="1">
      <c r="A723" s="371"/>
      <c r="B723" s="421" t="s">
        <v>136</v>
      </c>
      <c r="C723" s="975">
        <f>SUM(C717:C722)</f>
        <v>4000</v>
      </c>
      <c r="D723" s="975">
        <f>SUM(D717:D722)</f>
        <v>4000</v>
      </c>
      <c r="E723" s="975">
        <f>SUM(E717:E722)</f>
        <v>5110</v>
      </c>
      <c r="F723" s="975">
        <f>SUM(F717:F722)</f>
        <v>5110</v>
      </c>
      <c r="G723" s="975">
        <f>SUM(G717:G722)</f>
        <v>5110</v>
      </c>
      <c r="H723" s="1088">
        <f t="shared" si="10"/>
        <v>1</v>
      </c>
      <c r="I723" s="473"/>
    </row>
    <row r="724" spans="1:9" ht="12" customHeight="1">
      <c r="A724" s="73">
        <v>3414</v>
      </c>
      <c r="B724" s="444" t="s">
        <v>83</v>
      </c>
      <c r="C724" s="1017"/>
      <c r="D724" s="1017"/>
      <c r="E724" s="1017"/>
      <c r="F724" s="1017"/>
      <c r="G724" s="1017"/>
      <c r="H724" s="406"/>
      <c r="I724" s="403"/>
    </row>
    <row r="725" spans="1:9" ht="12" customHeight="1">
      <c r="A725" s="362"/>
      <c r="B725" s="363" t="s">
        <v>115</v>
      </c>
      <c r="C725" s="1018"/>
      <c r="D725" s="1018"/>
      <c r="E725" s="1018"/>
      <c r="F725" s="1018"/>
      <c r="G725" s="1018"/>
      <c r="H725" s="406"/>
      <c r="I725" s="432" t="s">
        <v>1091</v>
      </c>
    </row>
    <row r="726" spans="1:9" ht="12" customHeight="1">
      <c r="A726" s="362"/>
      <c r="B726" s="179" t="s">
        <v>298</v>
      </c>
      <c r="C726" s="1018"/>
      <c r="D726" s="1018"/>
      <c r="E726" s="1018"/>
      <c r="F726" s="1018"/>
      <c r="G726" s="1018"/>
      <c r="H726" s="406"/>
      <c r="I726" s="1105" t="s">
        <v>1090</v>
      </c>
    </row>
    <row r="727" spans="1:9" ht="12" customHeight="1">
      <c r="A727" s="362"/>
      <c r="B727" s="364" t="s">
        <v>284</v>
      </c>
      <c r="C727" s="959"/>
      <c r="D727" s="959"/>
      <c r="E727" s="959"/>
      <c r="F727" s="959"/>
      <c r="G727" s="959"/>
      <c r="H727" s="406"/>
      <c r="I727" s="550"/>
    </row>
    <row r="728" spans="1:9" ht="12" customHeight="1">
      <c r="A728" s="362"/>
      <c r="B728" s="296" t="s">
        <v>120</v>
      </c>
      <c r="C728" s="959"/>
      <c r="D728" s="959"/>
      <c r="E728" s="959"/>
      <c r="F728" s="959"/>
      <c r="G728" s="959"/>
      <c r="H728" s="1089"/>
      <c r="I728" s="433"/>
    </row>
    <row r="729" spans="1:9" ht="12" customHeight="1">
      <c r="A729" s="362"/>
      <c r="B729" s="296" t="s">
        <v>293</v>
      </c>
      <c r="C729" s="1018">
        <v>2500</v>
      </c>
      <c r="D729" s="1018">
        <v>2500</v>
      </c>
      <c r="E729" s="1018">
        <v>2500</v>
      </c>
      <c r="F729" s="1018">
        <v>2500</v>
      </c>
      <c r="G729" s="1018">
        <v>2500</v>
      </c>
      <c r="H729" s="1086">
        <f aca="true" t="shared" si="11" ref="H729:H785">SUM(G729/F729)</f>
        <v>1</v>
      </c>
      <c r="I729" s="433"/>
    </row>
    <row r="730" spans="1:9" ht="12" customHeight="1">
      <c r="A730" s="362"/>
      <c r="B730" s="296" t="s">
        <v>251</v>
      </c>
      <c r="C730" s="1018"/>
      <c r="D730" s="1018"/>
      <c r="E730" s="1018"/>
      <c r="F730" s="1018"/>
      <c r="G730" s="1018"/>
      <c r="H730" s="1086"/>
      <c r="I730" s="434"/>
    </row>
    <row r="731" spans="1:9" ht="12" customHeight="1" thickBot="1">
      <c r="A731" s="362"/>
      <c r="B731" s="418" t="s">
        <v>272</v>
      </c>
      <c r="C731" s="954">
        <v>2000</v>
      </c>
      <c r="D731" s="954">
        <v>2000</v>
      </c>
      <c r="E731" s="954">
        <v>2000</v>
      </c>
      <c r="F731" s="954">
        <v>2000</v>
      </c>
      <c r="G731" s="954">
        <v>2000</v>
      </c>
      <c r="H731" s="1091">
        <f t="shared" si="11"/>
        <v>1</v>
      </c>
      <c r="I731" s="451"/>
    </row>
    <row r="732" spans="1:9" ht="12" customHeight="1" thickBot="1">
      <c r="A732" s="371"/>
      <c r="B732" s="421" t="s">
        <v>136</v>
      </c>
      <c r="C732" s="972">
        <f>SUM(C725:C731)</f>
        <v>4500</v>
      </c>
      <c r="D732" s="972">
        <f>SUM(D725:D731)</f>
        <v>4500</v>
      </c>
      <c r="E732" s="972">
        <f>SUM(E725:E731)</f>
        <v>4500</v>
      </c>
      <c r="F732" s="972">
        <f>SUM(F725:F731)</f>
        <v>4500</v>
      </c>
      <c r="G732" s="972">
        <f>SUM(G725:G731)</f>
        <v>4500</v>
      </c>
      <c r="H732" s="1088">
        <f t="shared" si="11"/>
        <v>1</v>
      </c>
      <c r="I732" s="473"/>
    </row>
    <row r="733" spans="1:9" ht="12" customHeight="1">
      <c r="A733" s="73">
        <v>3415</v>
      </c>
      <c r="B733" s="444" t="s">
        <v>58</v>
      </c>
      <c r="C733" s="1017"/>
      <c r="D733" s="1017"/>
      <c r="E733" s="1017"/>
      <c r="F733" s="1017"/>
      <c r="G733" s="1017"/>
      <c r="H733" s="406"/>
      <c r="I733" s="403" t="s">
        <v>1091</v>
      </c>
    </row>
    <row r="734" spans="1:9" ht="12" customHeight="1">
      <c r="A734" s="362"/>
      <c r="B734" s="363" t="s">
        <v>115</v>
      </c>
      <c r="C734" s="1018"/>
      <c r="D734" s="1018"/>
      <c r="E734" s="1018"/>
      <c r="F734" s="1018"/>
      <c r="G734" s="1018"/>
      <c r="H734" s="406"/>
      <c r="I734" s="1105" t="s">
        <v>1090</v>
      </c>
    </row>
    <row r="735" spans="1:9" ht="12" customHeight="1">
      <c r="A735" s="362"/>
      <c r="B735" s="179" t="s">
        <v>298</v>
      </c>
      <c r="C735" s="1018"/>
      <c r="D735" s="1018"/>
      <c r="E735" s="1018"/>
      <c r="F735" s="1018"/>
      <c r="G735" s="1018"/>
      <c r="H735" s="406"/>
      <c r="I735" s="433"/>
    </row>
    <row r="736" spans="1:9" ht="12" customHeight="1">
      <c r="A736" s="362"/>
      <c r="B736" s="364" t="s">
        <v>284</v>
      </c>
      <c r="C736" s="1018"/>
      <c r="D736" s="1018"/>
      <c r="E736" s="1018"/>
      <c r="F736" s="1018"/>
      <c r="G736" s="1018"/>
      <c r="H736" s="406"/>
      <c r="I736" s="550"/>
    </row>
    <row r="737" spans="1:9" ht="12" customHeight="1">
      <c r="A737" s="362"/>
      <c r="B737" s="296" t="s">
        <v>120</v>
      </c>
      <c r="C737" s="1018"/>
      <c r="D737" s="1018"/>
      <c r="E737" s="1018"/>
      <c r="F737" s="1018"/>
      <c r="G737" s="1018"/>
      <c r="H737" s="1089"/>
      <c r="I737" s="550"/>
    </row>
    <row r="738" spans="1:9" ht="12" customHeight="1">
      <c r="A738" s="362"/>
      <c r="B738" s="296" t="s">
        <v>293</v>
      </c>
      <c r="C738" s="1018">
        <v>2500</v>
      </c>
      <c r="D738" s="1018">
        <v>2500</v>
      </c>
      <c r="E738" s="1018">
        <v>2500</v>
      </c>
      <c r="F738" s="1018">
        <v>2500</v>
      </c>
      <c r="G738" s="1018">
        <v>2500</v>
      </c>
      <c r="H738" s="1086">
        <f t="shared" si="11"/>
        <v>1</v>
      </c>
      <c r="I738" s="433"/>
    </row>
    <row r="739" spans="1:9" ht="12" customHeight="1" thickBot="1">
      <c r="A739" s="362"/>
      <c r="B739" s="418" t="s">
        <v>88</v>
      </c>
      <c r="C739" s="1020"/>
      <c r="D739" s="1020"/>
      <c r="E739" s="1020"/>
      <c r="F739" s="1020"/>
      <c r="G739" s="1020"/>
      <c r="H739" s="1091"/>
      <c r="I739" s="451"/>
    </row>
    <row r="740" spans="1:9" ht="12" customHeight="1" thickBot="1">
      <c r="A740" s="371"/>
      <c r="B740" s="421" t="s">
        <v>136</v>
      </c>
      <c r="C740" s="972">
        <f>SUM(C734:C739)</f>
        <v>2500</v>
      </c>
      <c r="D740" s="972">
        <f>SUM(D734:D739)</f>
        <v>2500</v>
      </c>
      <c r="E740" s="972">
        <f>SUM(E734:E739)</f>
        <v>2500</v>
      </c>
      <c r="F740" s="972">
        <f>SUM(F734:F739)</f>
        <v>2500</v>
      </c>
      <c r="G740" s="972">
        <f>SUM(G734:G739)</f>
        <v>2500</v>
      </c>
      <c r="H740" s="1088">
        <f t="shared" si="11"/>
        <v>1</v>
      </c>
      <c r="I740" s="473"/>
    </row>
    <row r="741" spans="1:9" ht="12" customHeight="1">
      <c r="A741" s="73">
        <v>3416</v>
      </c>
      <c r="B741" s="444" t="s">
        <v>173</v>
      </c>
      <c r="C741" s="1017"/>
      <c r="D741" s="1017"/>
      <c r="E741" s="1017"/>
      <c r="F741" s="1017"/>
      <c r="G741" s="1017"/>
      <c r="H741" s="406"/>
      <c r="I741" s="403" t="s">
        <v>1091</v>
      </c>
    </row>
    <row r="742" spans="1:9" ht="12" customHeight="1">
      <c r="A742" s="362"/>
      <c r="B742" s="363" t="s">
        <v>115</v>
      </c>
      <c r="C742" s="1018"/>
      <c r="D742" s="1018"/>
      <c r="E742" s="1018"/>
      <c r="F742" s="1018"/>
      <c r="G742" s="1018"/>
      <c r="H742" s="406"/>
      <c r="I742" s="1105" t="s">
        <v>1090</v>
      </c>
    </row>
    <row r="743" spans="1:9" ht="12" customHeight="1">
      <c r="A743" s="362"/>
      <c r="B743" s="179" t="s">
        <v>298</v>
      </c>
      <c r="C743" s="1018"/>
      <c r="D743" s="1018"/>
      <c r="E743" s="1018"/>
      <c r="F743" s="1018"/>
      <c r="G743" s="1018"/>
      <c r="H743" s="406"/>
      <c r="I743" s="433"/>
    </row>
    <row r="744" spans="1:9" ht="12" customHeight="1">
      <c r="A744" s="362"/>
      <c r="B744" s="364" t="s">
        <v>284</v>
      </c>
      <c r="C744" s="1018"/>
      <c r="D744" s="1018"/>
      <c r="E744" s="1018"/>
      <c r="F744" s="1018"/>
      <c r="G744" s="1018"/>
      <c r="H744" s="1089"/>
      <c r="I744" s="550"/>
    </row>
    <row r="745" spans="1:9" ht="12" customHeight="1">
      <c r="A745" s="362"/>
      <c r="B745" s="296" t="s">
        <v>120</v>
      </c>
      <c r="C745" s="1018"/>
      <c r="D745" s="1018"/>
      <c r="E745" s="1018"/>
      <c r="F745" s="1018"/>
      <c r="G745" s="1018"/>
      <c r="H745" s="1086"/>
      <c r="I745" s="550"/>
    </row>
    <row r="746" spans="1:9" ht="12" customHeight="1">
      <c r="A746" s="362"/>
      <c r="B746" s="296" t="s">
        <v>293</v>
      </c>
      <c r="C746" s="1018">
        <v>20000</v>
      </c>
      <c r="D746" s="1018">
        <v>20000</v>
      </c>
      <c r="E746" s="1018">
        <v>22500</v>
      </c>
      <c r="F746" s="1018">
        <v>22500</v>
      </c>
      <c r="G746" s="1018">
        <v>22500</v>
      </c>
      <c r="H746" s="1086">
        <f t="shared" si="11"/>
        <v>1</v>
      </c>
      <c r="I746" s="549"/>
    </row>
    <row r="747" spans="1:9" ht="12" customHeight="1" thickBot="1">
      <c r="A747" s="362"/>
      <c r="B747" s="418" t="s">
        <v>88</v>
      </c>
      <c r="C747" s="954"/>
      <c r="D747" s="954"/>
      <c r="E747" s="954"/>
      <c r="F747" s="954"/>
      <c r="G747" s="954"/>
      <c r="H747" s="1091"/>
      <c r="I747" s="551"/>
    </row>
    <row r="748" spans="1:9" ht="12" customHeight="1" thickBot="1">
      <c r="A748" s="371"/>
      <c r="B748" s="421" t="s">
        <v>136</v>
      </c>
      <c r="C748" s="972">
        <f>SUM(C742:C747)</f>
        <v>20000</v>
      </c>
      <c r="D748" s="972">
        <f>SUM(D742:D747)</f>
        <v>20000</v>
      </c>
      <c r="E748" s="972">
        <f>SUM(E742:E747)</f>
        <v>22500</v>
      </c>
      <c r="F748" s="972">
        <f>SUM(F742:F747)</f>
        <v>22500</v>
      </c>
      <c r="G748" s="972">
        <f>SUM(G742:G747)</f>
        <v>22500</v>
      </c>
      <c r="H748" s="1088">
        <f t="shared" si="11"/>
        <v>1</v>
      </c>
      <c r="I748" s="473"/>
    </row>
    <row r="749" spans="1:9" ht="12" customHeight="1">
      <c r="A749" s="73">
        <v>3420</v>
      </c>
      <c r="B749" s="374" t="s">
        <v>154</v>
      </c>
      <c r="C749" s="1017">
        <f>SUM(C765+C773+C781+C805+C789+C797+C813+C821+C829+C757)</f>
        <v>229000</v>
      </c>
      <c r="D749" s="1017">
        <f>SUM(D765+D773+D781+D805+D789+D797+D813+D821+D829+D757)</f>
        <v>149000</v>
      </c>
      <c r="E749" s="1017">
        <f>SUM(E765+E773+E781+E805+E789+E797+E813+E821+E829+E757)</f>
        <v>232497</v>
      </c>
      <c r="F749" s="1017">
        <f>SUM(F765+F773+F781+F805+F789+F797+F813+F821+F829+F757)</f>
        <v>232497</v>
      </c>
      <c r="G749" s="1017">
        <f>SUM(G765+G773+G781+G805+G789+G797+G813+G821+G829+G757)</f>
        <v>232497</v>
      </c>
      <c r="H749" s="406">
        <f t="shared" si="11"/>
        <v>1</v>
      </c>
      <c r="I749" s="403"/>
    </row>
    <row r="750" spans="1:9" ht="12" customHeight="1">
      <c r="A750" s="73">
        <v>3421</v>
      </c>
      <c r="B750" s="444" t="s">
        <v>405</v>
      </c>
      <c r="C750" s="1017"/>
      <c r="D750" s="1017"/>
      <c r="E750" s="1017"/>
      <c r="F750" s="1017"/>
      <c r="G750" s="1017"/>
      <c r="H750" s="406"/>
      <c r="I750" s="432"/>
    </row>
    <row r="751" spans="1:9" ht="12" customHeight="1">
      <c r="A751" s="362"/>
      <c r="B751" s="363" t="s">
        <v>115</v>
      </c>
      <c r="C751" s="1018">
        <v>1700</v>
      </c>
      <c r="D751" s="1018">
        <v>1700</v>
      </c>
      <c r="E751" s="1018">
        <v>1700</v>
      </c>
      <c r="F751" s="1018">
        <v>1700</v>
      </c>
      <c r="G751" s="1018">
        <v>1700</v>
      </c>
      <c r="H751" s="1089">
        <f t="shared" si="11"/>
        <v>1</v>
      </c>
      <c r="I751" s="549"/>
    </row>
    <row r="752" spans="1:9" ht="12" customHeight="1">
      <c r="A752" s="362"/>
      <c r="B752" s="179" t="s">
        <v>298</v>
      </c>
      <c r="C752" s="1018">
        <v>800</v>
      </c>
      <c r="D752" s="1018">
        <v>800</v>
      </c>
      <c r="E752" s="1018">
        <v>800</v>
      </c>
      <c r="F752" s="1018">
        <v>800</v>
      </c>
      <c r="G752" s="1018">
        <v>800</v>
      </c>
      <c r="H752" s="1086">
        <f t="shared" si="11"/>
        <v>1</v>
      </c>
      <c r="I752" s="1105" t="s">
        <v>1177</v>
      </c>
    </row>
    <row r="753" spans="1:9" ht="12" customHeight="1">
      <c r="A753" s="362"/>
      <c r="B753" s="364" t="s">
        <v>284</v>
      </c>
      <c r="C753" s="1018">
        <v>3500</v>
      </c>
      <c r="D753" s="1018">
        <v>3500</v>
      </c>
      <c r="E753" s="1018">
        <v>4134</v>
      </c>
      <c r="F753" s="1018">
        <v>4134</v>
      </c>
      <c r="G753" s="1018">
        <v>4134</v>
      </c>
      <c r="H753" s="1086">
        <f t="shared" si="11"/>
        <v>1</v>
      </c>
      <c r="I753" s="550"/>
    </row>
    <row r="754" spans="1:9" ht="12" customHeight="1">
      <c r="A754" s="362"/>
      <c r="B754" s="296" t="s">
        <v>120</v>
      </c>
      <c r="C754" s="1018"/>
      <c r="D754" s="1018"/>
      <c r="E754" s="1018"/>
      <c r="F754" s="1018"/>
      <c r="G754" s="1018"/>
      <c r="H754" s="1086"/>
      <c r="I754" s="439"/>
    </row>
    <row r="755" spans="1:9" ht="12" customHeight="1">
      <c r="A755" s="362"/>
      <c r="B755" s="296" t="s">
        <v>293</v>
      </c>
      <c r="C755" s="1018"/>
      <c r="D755" s="1018"/>
      <c r="E755" s="1018"/>
      <c r="F755" s="1018"/>
      <c r="G755" s="1018"/>
      <c r="H755" s="1086"/>
      <c r="I755" s="407"/>
    </row>
    <row r="756" spans="1:9" ht="12" customHeight="1" thickBot="1">
      <c r="A756" s="362"/>
      <c r="B756" s="418" t="s">
        <v>253</v>
      </c>
      <c r="C756" s="1020">
        <v>50000</v>
      </c>
      <c r="D756" s="1020">
        <v>10000</v>
      </c>
      <c r="E756" s="1020">
        <v>30000</v>
      </c>
      <c r="F756" s="1020">
        <v>30000</v>
      </c>
      <c r="G756" s="1020">
        <v>30000</v>
      </c>
      <c r="H756" s="1091">
        <f t="shared" si="11"/>
        <v>1</v>
      </c>
      <c r="I756" s="451"/>
    </row>
    <row r="757" spans="1:9" ht="12" customHeight="1" thickBot="1">
      <c r="A757" s="371"/>
      <c r="B757" s="421" t="s">
        <v>136</v>
      </c>
      <c r="C757" s="972">
        <f>SUM(C751:C756)</f>
        <v>56000</v>
      </c>
      <c r="D757" s="972">
        <f>SUM(D751:D756)</f>
        <v>16000</v>
      </c>
      <c r="E757" s="972">
        <f>SUM(E751:E756)</f>
        <v>36634</v>
      </c>
      <c r="F757" s="972">
        <f>SUM(F751:F756)</f>
        <v>36634</v>
      </c>
      <c r="G757" s="972">
        <f>SUM(G751:G756)</f>
        <v>36634</v>
      </c>
      <c r="H757" s="1088">
        <f t="shared" si="11"/>
        <v>1</v>
      </c>
      <c r="I757" s="437"/>
    </row>
    <row r="758" spans="1:9" ht="12" customHeight="1">
      <c r="A758" s="73">
        <v>3422</v>
      </c>
      <c r="B758" s="444" t="s">
        <v>142</v>
      </c>
      <c r="C758" s="1017"/>
      <c r="D758" s="1017"/>
      <c r="E758" s="1017"/>
      <c r="F758" s="1017"/>
      <c r="G758" s="1017"/>
      <c r="H758" s="406"/>
      <c r="I758" s="432"/>
    </row>
    <row r="759" spans="1:9" ht="12" customHeight="1">
      <c r="A759" s="362"/>
      <c r="B759" s="363" t="s">
        <v>115</v>
      </c>
      <c r="C759" s="1018">
        <v>22000</v>
      </c>
      <c r="D759" s="1018">
        <v>2000</v>
      </c>
      <c r="E759" s="1018">
        <v>14925</v>
      </c>
      <c r="F759" s="1018">
        <v>14925</v>
      </c>
      <c r="G759" s="1018">
        <v>14925</v>
      </c>
      <c r="H759" s="1089">
        <f t="shared" si="11"/>
        <v>1</v>
      </c>
      <c r="I759" s="549"/>
    </row>
    <row r="760" spans="1:9" ht="12" customHeight="1">
      <c r="A760" s="362"/>
      <c r="B760" s="179" t="s">
        <v>298</v>
      </c>
      <c r="C760" s="1018">
        <v>7000</v>
      </c>
      <c r="D760" s="1018">
        <v>1000</v>
      </c>
      <c r="E760" s="1018">
        <v>3753</v>
      </c>
      <c r="F760" s="1018">
        <v>3753</v>
      </c>
      <c r="G760" s="1018">
        <v>3753</v>
      </c>
      <c r="H760" s="1086">
        <f t="shared" si="11"/>
        <v>1</v>
      </c>
      <c r="I760" s="547" t="s">
        <v>1176</v>
      </c>
    </row>
    <row r="761" spans="1:9" ht="12" customHeight="1">
      <c r="A761" s="362"/>
      <c r="B761" s="364" t="s">
        <v>284</v>
      </c>
      <c r="C761" s="1018">
        <v>17000</v>
      </c>
      <c r="D761" s="1018">
        <v>3000</v>
      </c>
      <c r="E761" s="1018">
        <v>29279</v>
      </c>
      <c r="F761" s="1018">
        <v>29279</v>
      </c>
      <c r="G761" s="1018">
        <v>29279</v>
      </c>
      <c r="H761" s="1086">
        <f t="shared" si="11"/>
        <v>1</v>
      </c>
      <c r="I761" s="1105" t="s">
        <v>1178</v>
      </c>
    </row>
    <row r="762" spans="1:9" ht="12" customHeight="1">
      <c r="A762" s="362"/>
      <c r="B762" s="296" t="s">
        <v>120</v>
      </c>
      <c r="C762" s="1018"/>
      <c r="D762" s="1018"/>
      <c r="E762" s="1018"/>
      <c r="F762" s="1018"/>
      <c r="G762" s="1018"/>
      <c r="H762" s="1086"/>
      <c r="I762" s="439"/>
    </row>
    <row r="763" spans="1:9" ht="12" customHeight="1">
      <c r="A763" s="362"/>
      <c r="B763" s="296" t="s">
        <v>293</v>
      </c>
      <c r="C763" s="1018"/>
      <c r="D763" s="1018"/>
      <c r="E763" s="1018"/>
      <c r="F763" s="1018"/>
      <c r="G763" s="1018"/>
      <c r="H763" s="1086"/>
      <c r="I763" s="407"/>
    </row>
    <row r="764" spans="1:9" ht="12" customHeight="1" thickBot="1">
      <c r="A764" s="362"/>
      <c r="B764" s="418" t="s">
        <v>21</v>
      </c>
      <c r="C764" s="1020"/>
      <c r="D764" s="1020"/>
      <c r="E764" s="1020"/>
      <c r="F764" s="1020"/>
      <c r="G764" s="1020"/>
      <c r="H764" s="1091"/>
      <c r="I764" s="451"/>
    </row>
    <row r="765" spans="1:9" ht="12" customHeight="1" thickBot="1">
      <c r="A765" s="371"/>
      <c r="B765" s="421" t="s">
        <v>136</v>
      </c>
      <c r="C765" s="972">
        <f>SUM(C759:C764)</f>
        <v>46000</v>
      </c>
      <c r="D765" s="972">
        <f>SUM(D759:D764)</f>
        <v>6000</v>
      </c>
      <c r="E765" s="972">
        <f>SUM(E759:E764)</f>
        <v>47957</v>
      </c>
      <c r="F765" s="972">
        <f>SUM(F759:F764)</f>
        <v>47957</v>
      </c>
      <c r="G765" s="972">
        <f>SUM(G759:G764)</f>
        <v>47957</v>
      </c>
      <c r="H765" s="1088">
        <f t="shared" si="11"/>
        <v>1</v>
      </c>
      <c r="I765" s="437"/>
    </row>
    <row r="766" spans="1:9" ht="12" customHeight="1">
      <c r="A766" s="73">
        <v>3423</v>
      </c>
      <c r="B766" s="444" t="s">
        <v>141</v>
      </c>
      <c r="C766" s="1017"/>
      <c r="D766" s="1017"/>
      <c r="E766" s="1017"/>
      <c r="F766" s="1017"/>
      <c r="G766" s="1017"/>
      <c r="H766" s="406"/>
      <c r="I766" s="433"/>
    </row>
    <row r="767" spans="1:9" ht="12" customHeight="1">
      <c r="A767" s="362"/>
      <c r="B767" s="363" t="s">
        <v>115</v>
      </c>
      <c r="C767" s="1018">
        <v>2700</v>
      </c>
      <c r="D767" s="1018">
        <v>2700</v>
      </c>
      <c r="E767" s="1018">
        <v>1749</v>
      </c>
      <c r="F767" s="1018">
        <v>1749</v>
      </c>
      <c r="G767" s="1018">
        <v>1749</v>
      </c>
      <c r="H767" s="1089">
        <f t="shared" si="11"/>
        <v>1</v>
      </c>
      <c r="I767" s="433"/>
    </row>
    <row r="768" spans="1:9" ht="12" customHeight="1">
      <c r="A768" s="362"/>
      <c r="B768" s="179" t="s">
        <v>298</v>
      </c>
      <c r="C768" s="1018">
        <v>2100</v>
      </c>
      <c r="D768" s="1018">
        <v>2100</v>
      </c>
      <c r="E768" s="1018">
        <v>1760</v>
      </c>
      <c r="F768" s="1018">
        <v>1760</v>
      </c>
      <c r="G768" s="1018">
        <v>1760</v>
      </c>
      <c r="H768" s="1086">
        <f t="shared" si="11"/>
        <v>1</v>
      </c>
      <c r="I768" s="549"/>
    </row>
    <row r="769" spans="1:9" ht="12" customHeight="1">
      <c r="A769" s="362"/>
      <c r="B769" s="364" t="s">
        <v>284</v>
      </c>
      <c r="C769" s="1018">
        <v>5200</v>
      </c>
      <c r="D769" s="1018">
        <v>5200</v>
      </c>
      <c r="E769" s="1018">
        <v>2603</v>
      </c>
      <c r="F769" s="1018">
        <v>2603</v>
      </c>
      <c r="G769" s="1018">
        <v>2603</v>
      </c>
      <c r="H769" s="1086">
        <f t="shared" si="11"/>
        <v>1</v>
      </c>
      <c r="I769" s="448"/>
    </row>
    <row r="770" spans="1:9" ht="12" customHeight="1">
      <c r="A770" s="362"/>
      <c r="B770" s="296" t="s">
        <v>120</v>
      </c>
      <c r="C770" s="1018"/>
      <c r="D770" s="1018"/>
      <c r="E770" s="1018"/>
      <c r="F770" s="1018"/>
      <c r="G770" s="1018"/>
      <c r="H770" s="1086"/>
      <c r="I770" s="433"/>
    </row>
    <row r="771" spans="1:9" ht="12" customHeight="1">
      <c r="A771" s="362"/>
      <c r="B771" s="296" t="s">
        <v>293</v>
      </c>
      <c r="C771" s="1018">
        <v>5000</v>
      </c>
      <c r="D771" s="1018">
        <v>5000</v>
      </c>
      <c r="E771" s="1018">
        <v>5000</v>
      </c>
      <c r="F771" s="1018">
        <v>5000</v>
      </c>
      <c r="G771" s="1018">
        <v>5000</v>
      </c>
      <c r="H771" s="1086">
        <f t="shared" si="11"/>
        <v>1</v>
      </c>
      <c r="I771" s="433"/>
    </row>
    <row r="772" spans="1:9" ht="12" customHeight="1" thickBot="1">
      <c r="A772" s="362"/>
      <c r="B772" s="418" t="s">
        <v>272</v>
      </c>
      <c r="C772" s="1020"/>
      <c r="D772" s="1020"/>
      <c r="E772" s="1020"/>
      <c r="F772" s="1020"/>
      <c r="G772" s="1020"/>
      <c r="H772" s="1091"/>
      <c r="I772" s="451"/>
    </row>
    <row r="773" spans="1:9" ht="12.75" customHeight="1" thickBot="1">
      <c r="A773" s="371"/>
      <c r="B773" s="421" t="s">
        <v>136</v>
      </c>
      <c r="C773" s="972">
        <f>SUM(C767:C772)</f>
        <v>15000</v>
      </c>
      <c r="D773" s="972">
        <f>SUM(D767:D772)</f>
        <v>15000</v>
      </c>
      <c r="E773" s="972">
        <f>SUM(E767:E772)</f>
        <v>11112</v>
      </c>
      <c r="F773" s="972">
        <f>SUM(F767:F772)</f>
        <v>11112</v>
      </c>
      <c r="G773" s="972">
        <f>SUM(G767:G772)</f>
        <v>11112</v>
      </c>
      <c r="H773" s="1088">
        <f t="shared" si="11"/>
        <v>1</v>
      </c>
      <c r="I773" s="437"/>
    </row>
    <row r="774" spans="1:9" ht="12.75" customHeight="1">
      <c r="A774" s="73">
        <v>3424</v>
      </c>
      <c r="B774" s="444" t="s">
        <v>296</v>
      </c>
      <c r="C774" s="1017"/>
      <c r="D774" s="1017"/>
      <c r="E774" s="1017"/>
      <c r="F774" s="1017"/>
      <c r="G774" s="1017"/>
      <c r="H774" s="406"/>
      <c r="I774" s="433"/>
    </row>
    <row r="775" spans="1:9" ht="12.75" customHeight="1">
      <c r="A775" s="362"/>
      <c r="B775" s="363" t="s">
        <v>115</v>
      </c>
      <c r="C775" s="1018">
        <v>7000</v>
      </c>
      <c r="D775" s="1018">
        <v>7000</v>
      </c>
      <c r="E775" s="1018">
        <v>7950</v>
      </c>
      <c r="F775" s="1018">
        <v>7950</v>
      </c>
      <c r="G775" s="1018">
        <v>7950</v>
      </c>
      <c r="H775" s="1089">
        <f t="shared" si="11"/>
        <v>1</v>
      </c>
      <c r="I775" s="433"/>
    </row>
    <row r="776" spans="1:9" ht="12.75" customHeight="1">
      <c r="A776" s="362"/>
      <c r="B776" s="179" t="s">
        <v>298</v>
      </c>
      <c r="C776" s="1018">
        <v>3400</v>
      </c>
      <c r="D776" s="1018">
        <v>3400</v>
      </c>
      <c r="E776" s="1018">
        <v>3549</v>
      </c>
      <c r="F776" s="1018">
        <v>3549</v>
      </c>
      <c r="G776" s="1018">
        <v>3549</v>
      </c>
      <c r="H776" s="1086">
        <f t="shared" si="11"/>
        <v>1</v>
      </c>
      <c r="I776" s="549"/>
    </row>
    <row r="777" spans="1:9" ht="12.75" customHeight="1">
      <c r="A777" s="362"/>
      <c r="B777" s="364" t="s">
        <v>284</v>
      </c>
      <c r="C777" s="1018">
        <v>4600</v>
      </c>
      <c r="D777" s="1018">
        <v>4600</v>
      </c>
      <c r="E777" s="1018">
        <v>7174</v>
      </c>
      <c r="F777" s="1018">
        <v>7174</v>
      </c>
      <c r="G777" s="1018">
        <v>7174</v>
      </c>
      <c r="H777" s="1086">
        <f t="shared" si="11"/>
        <v>1</v>
      </c>
      <c r="I777" s="1180" t="s">
        <v>1171</v>
      </c>
    </row>
    <row r="778" spans="1:9" ht="12.75" customHeight="1">
      <c r="A778" s="362"/>
      <c r="B778" s="296" t="s">
        <v>120</v>
      </c>
      <c r="C778" s="1018"/>
      <c r="D778" s="1018"/>
      <c r="E778" s="1018"/>
      <c r="F778" s="1018"/>
      <c r="G778" s="1018"/>
      <c r="H778" s="1086"/>
      <c r="I778" s="433"/>
    </row>
    <row r="779" spans="1:9" ht="12.75" customHeight="1">
      <c r="A779" s="362"/>
      <c r="B779" s="296" t="s">
        <v>293</v>
      </c>
      <c r="C779" s="1018"/>
      <c r="D779" s="1018"/>
      <c r="E779" s="1018"/>
      <c r="F779" s="1018"/>
      <c r="G779" s="1018"/>
      <c r="H779" s="1086"/>
      <c r="I779" s="433"/>
    </row>
    <row r="780" spans="1:9" ht="12.75" customHeight="1" thickBot="1">
      <c r="A780" s="362"/>
      <c r="B780" s="418" t="s">
        <v>253</v>
      </c>
      <c r="C780" s="954"/>
      <c r="D780" s="954"/>
      <c r="E780" s="954"/>
      <c r="F780" s="954"/>
      <c r="G780" s="954"/>
      <c r="H780" s="1091"/>
      <c r="I780" s="451"/>
    </row>
    <row r="781" spans="1:9" ht="12.75" customHeight="1" thickBot="1">
      <c r="A781" s="371"/>
      <c r="B781" s="421" t="s">
        <v>136</v>
      </c>
      <c r="C781" s="972">
        <f>SUM(C775:C780)</f>
        <v>15000</v>
      </c>
      <c r="D781" s="972">
        <f>SUM(D775:D780)</f>
        <v>15000</v>
      </c>
      <c r="E781" s="972">
        <f>SUM(E775:E780)</f>
        <v>18673</v>
      </c>
      <c r="F781" s="972">
        <f>SUM(F775:F780)</f>
        <v>18673</v>
      </c>
      <c r="G781" s="972">
        <f>SUM(G775:G780)</f>
        <v>18673</v>
      </c>
      <c r="H781" s="1088">
        <f t="shared" si="11"/>
        <v>1</v>
      </c>
      <c r="I781" s="437"/>
    </row>
    <row r="782" spans="1:9" ht="12.75" customHeight="1">
      <c r="A782" s="431">
        <v>3425</v>
      </c>
      <c r="B782" s="409" t="s">
        <v>40</v>
      </c>
      <c r="C782" s="1009"/>
      <c r="D782" s="1009"/>
      <c r="E782" s="1009"/>
      <c r="F782" s="1009"/>
      <c r="G782" s="1009"/>
      <c r="H782" s="406"/>
      <c r="I782" s="454"/>
    </row>
    <row r="783" spans="1:9" ht="12.75" customHeight="1">
      <c r="A783" s="427"/>
      <c r="B783" s="413" t="s">
        <v>115</v>
      </c>
      <c r="C783" s="1008"/>
      <c r="D783" s="1008"/>
      <c r="E783" s="1008"/>
      <c r="F783" s="1008"/>
      <c r="G783" s="1008"/>
      <c r="H783" s="406"/>
      <c r="I783" s="454"/>
    </row>
    <row r="784" spans="1:9" ht="12.75" customHeight="1">
      <c r="A784" s="427"/>
      <c r="B784" s="415" t="s">
        <v>298</v>
      </c>
      <c r="C784" s="1008"/>
      <c r="D784" s="1008"/>
      <c r="E784" s="1008"/>
      <c r="F784" s="1008"/>
      <c r="G784" s="1008"/>
      <c r="H784" s="1089"/>
      <c r="I784" s="549"/>
    </row>
    <row r="785" spans="1:9" ht="12.75" customHeight="1">
      <c r="A785" s="427"/>
      <c r="B785" s="416" t="s">
        <v>284</v>
      </c>
      <c r="C785" s="1008">
        <v>6000</v>
      </c>
      <c r="D785" s="1008">
        <v>6000</v>
      </c>
      <c r="E785" s="1008">
        <v>10619</v>
      </c>
      <c r="F785" s="1008">
        <v>10619</v>
      </c>
      <c r="G785" s="1008">
        <v>10619</v>
      </c>
      <c r="H785" s="1086">
        <f t="shared" si="11"/>
        <v>1</v>
      </c>
      <c r="I785" s="448"/>
    </row>
    <row r="786" spans="1:9" ht="12.75" customHeight="1">
      <c r="A786" s="427"/>
      <c r="B786" s="417" t="s">
        <v>120</v>
      </c>
      <c r="C786" s="1008"/>
      <c r="D786" s="1008"/>
      <c r="E786" s="1008"/>
      <c r="F786" s="1008"/>
      <c r="G786" s="1008"/>
      <c r="H786" s="1086"/>
      <c r="I786" s="549"/>
    </row>
    <row r="787" spans="1:9" ht="12.75" customHeight="1">
      <c r="A787" s="427"/>
      <c r="B787" s="417" t="s">
        <v>293</v>
      </c>
      <c r="C787" s="1008"/>
      <c r="D787" s="1008"/>
      <c r="E787" s="1008"/>
      <c r="F787" s="1008"/>
      <c r="G787" s="1008"/>
      <c r="H787" s="1086"/>
      <c r="I787" s="454"/>
    </row>
    <row r="788" spans="1:9" ht="12.75" customHeight="1" thickBot="1">
      <c r="A788" s="427"/>
      <c r="B788" s="418" t="s">
        <v>88</v>
      </c>
      <c r="C788" s="1027"/>
      <c r="D788" s="1027"/>
      <c r="E788" s="1027"/>
      <c r="F788" s="1027"/>
      <c r="G788" s="1027"/>
      <c r="H788" s="1091"/>
      <c r="I788" s="480"/>
    </row>
    <row r="789" spans="1:9" ht="12.75" customHeight="1" thickBot="1">
      <c r="A789" s="429"/>
      <c r="B789" s="421" t="s">
        <v>136</v>
      </c>
      <c r="C789" s="973">
        <f>SUM(C783:C788)</f>
        <v>6000</v>
      </c>
      <c r="D789" s="973">
        <f>SUM(D783:D788)</f>
        <v>6000</v>
      </c>
      <c r="E789" s="973">
        <f>SUM(E783:E788)</f>
        <v>10619</v>
      </c>
      <c r="F789" s="973">
        <f>SUM(F783:F788)</f>
        <v>10619</v>
      </c>
      <c r="G789" s="973">
        <f>SUM(G783:G788)</f>
        <v>10619</v>
      </c>
      <c r="H789" s="1088">
        <f aca="true" t="shared" si="12" ref="H789:H851">SUM(G789/F789)</f>
        <v>1</v>
      </c>
      <c r="I789" s="481"/>
    </row>
    <row r="790" spans="1:9" ht="12.75" customHeight="1">
      <c r="A790" s="431">
        <v>3426</v>
      </c>
      <c r="B790" s="409" t="s">
        <v>362</v>
      </c>
      <c r="C790" s="1009"/>
      <c r="D790" s="1009"/>
      <c r="E790" s="1009"/>
      <c r="F790" s="1009"/>
      <c r="G790" s="1009"/>
      <c r="H790" s="406"/>
      <c r="I790" s="454"/>
    </row>
    <row r="791" spans="1:9" ht="12.75" customHeight="1">
      <c r="A791" s="427"/>
      <c r="B791" s="413" t="s">
        <v>115</v>
      </c>
      <c r="C791" s="1008">
        <v>10500</v>
      </c>
      <c r="D791" s="1008">
        <v>10500</v>
      </c>
      <c r="E791" s="1008">
        <v>11463</v>
      </c>
      <c r="F791" s="1008">
        <v>11463</v>
      </c>
      <c r="G791" s="1008">
        <v>11463</v>
      </c>
      <c r="H791" s="1089">
        <f t="shared" si="12"/>
        <v>1</v>
      </c>
      <c r="I791" s="549"/>
    </row>
    <row r="792" spans="1:9" ht="12.75" customHeight="1">
      <c r="A792" s="427"/>
      <c r="B792" s="415" t="s">
        <v>298</v>
      </c>
      <c r="C792" s="1008">
        <v>2000</v>
      </c>
      <c r="D792" s="1008">
        <v>2000</v>
      </c>
      <c r="E792" s="1008">
        <v>2244</v>
      </c>
      <c r="F792" s="1008">
        <v>2244</v>
      </c>
      <c r="G792" s="1008">
        <v>2244</v>
      </c>
      <c r="H792" s="1086">
        <f t="shared" si="12"/>
        <v>1</v>
      </c>
      <c r="I792" s="549"/>
    </row>
    <row r="793" spans="1:9" ht="12.75" customHeight="1">
      <c r="A793" s="427"/>
      <c r="B793" s="416" t="s">
        <v>284</v>
      </c>
      <c r="C793" s="1008">
        <v>63000</v>
      </c>
      <c r="D793" s="1008">
        <v>63000</v>
      </c>
      <c r="E793" s="1008">
        <v>78295</v>
      </c>
      <c r="F793" s="1008">
        <v>78295</v>
      </c>
      <c r="G793" s="1008">
        <v>78295</v>
      </c>
      <c r="H793" s="1086">
        <f t="shared" si="12"/>
        <v>1</v>
      </c>
      <c r="I793" s="1180" t="s">
        <v>1175</v>
      </c>
    </row>
    <row r="794" spans="1:9" ht="12.75" customHeight="1">
      <c r="A794" s="427"/>
      <c r="B794" s="417" t="s">
        <v>120</v>
      </c>
      <c r="C794" s="1008"/>
      <c r="D794" s="1008"/>
      <c r="E794" s="1008"/>
      <c r="F794" s="1008"/>
      <c r="G794" s="1008"/>
      <c r="H794" s="1086"/>
      <c r="I794" s="433"/>
    </row>
    <row r="795" spans="1:9" ht="12.75" customHeight="1">
      <c r="A795" s="427"/>
      <c r="B795" s="417" t="s">
        <v>293</v>
      </c>
      <c r="C795" s="1008"/>
      <c r="D795" s="1008"/>
      <c r="E795" s="1008"/>
      <c r="F795" s="1008"/>
      <c r="G795" s="1008"/>
      <c r="H795" s="1086"/>
      <c r="I795" s="454"/>
    </row>
    <row r="796" spans="1:9" ht="12.75" customHeight="1" thickBot="1">
      <c r="A796" s="427"/>
      <c r="B796" s="418" t="s">
        <v>88</v>
      </c>
      <c r="C796" s="1027"/>
      <c r="D796" s="1027"/>
      <c r="E796" s="1027"/>
      <c r="F796" s="1027"/>
      <c r="G796" s="1027"/>
      <c r="H796" s="1091"/>
      <c r="I796" s="482"/>
    </row>
    <row r="797" spans="1:9" ht="12.75" customHeight="1" thickBot="1">
      <c r="A797" s="429"/>
      <c r="B797" s="421" t="s">
        <v>136</v>
      </c>
      <c r="C797" s="973">
        <f>SUM(C791:C796)</f>
        <v>75500</v>
      </c>
      <c r="D797" s="973">
        <f>SUM(D791:D796)</f>
        <v>75500</v>
      </c>
      <c r="E797" s="973">
        <f>SUM(E791:E796)</f>
        <v>92002</v>
      </c>
      <c r="F797" s="973">
        <f>SUM(F791:F796)</f>
        <v>92002</v>
      </c>
      <c r="G797" s="973">
        <f>SUM(G791:G796)</f>
        <v>92002</v>
      </c>
      <c r="H797" s="1088">
        <f t="shared" si="12"/>
        <v>1</v>
      </c>
      <c r="I797" s="481"/>
    </row>
    <row r="798" spans="1:9" ht="12.75" customHeight="1">
      <c r="A798" s="73">
        <v>3428</v>
      </c>
      <c r="B798" s="444" t="s">
        <v>7</v>
      </c>
      <c r="C798" s="1017"/>
      <c r="D798" s="1017"/>
      <c r="E798" s="1017"/>
      <c r="F798" s="1017"/>
      <c r="G798" s="1017"/>
      <c r="H798" s="406"/>
      <c r="I798" s="433"/>
    </row>
    <row r="799" spans="1:9" ht="12.75" customHeight="1">
      <c r="A799" s="362"/>
      <c r="B799" s="363" t="s">
        <v>115</v>
      </c>
      <c r="C799" s="1018"/>
      <c r="D799" s="1018"/>
      <c r="E799" s="1018"/>
      <c r="F799" s="1018"/>
      <c r="G799" s="1018"/>
      <c r="H799" s="406"/>
      <c r="I799" s="433"/>
    </row>
    <row r="800" spans="1:9" ht="12.75" customHeight="1">
      <c r="A800" s="362"/>
      <c r="B800" s="179" t="s">
        <v>298</v>
      </c>
      <c r="C800" s="1018"/>
      <c r="D800" s="1018"/>
      <c r="E800" s="1018"/>
      <c r="F800" s="1018"/>
      <c r="G800" s="1018"/>
      <c r="H800" s="1089"/>
      <c r="I800" s="433"/>
    </row>
    <row r="801" spans="1:9" ht="12.75" customHeight="1">
      <c r="A801" s="362"/>
      <c r="B801" s="364" t="s">
        <v>284</v>
      </c>
      <c r="C801" s="1018">
        <v>3000</v>
      </c>
      <c r="D801" s="1018">
        <v>3000</v>
      </c>
      <c r="E801" s="1018">
        <v>3000</v>
      </c>
      <c r="F801" s="1018">
        <v>3000</v>
      </c>
      <c r="G801" s="1018">
        <v>3000</v>
      </c>
      <c r="H801" s="1086">
        <f t="shared" si="12"/>
        <v>1</v>
      </c>
      <c r="I801" s="1180" t="s">
        <v>1175</v>
      </c>
    </row>
    <row r="802" spans="1:9" ht="12.75" customHeight="1">
      <c r="A802" s="362"/>
      <c r="B802" s="296" t="s">
        <v>120</v>
      </c>
      <c r="C802" s="1018"/>
      <c r="D802" s="1018"/>
      <c r="E802" s="1018"/>
      <c r="F802" s="1018"/>
      <c r="G802" s="1018"/>
      <c r="H802" s="1086"/>
      <c r="I802" s="549"/>
    </row>
    <row r="803" spans="1:9" ht="12.75" customHeight="1">
      <c r="A803" s="362"/>
      <c r="B803" s="296" t="s">
        <v>293</v>
      </c>
      <c r="C803" s="1018"/>
      <c r="D803" s="1018"/>
      <c r="E803" s="1018"/>
      <c r="F803" s="1018"/>
      <c r="G803" s="1018"/>
      <c r="H803" s="1086"/>
      <c r="I803" s="433"/>
    </row>
    <row r="804" spans="1:9" ht="12.75" customHeight="1" thickBot="1">
      <c r="A804" s="362"/>
      <c r="B804" s="418" t="s">
        <v>88</v>
      </c>
      <c r="C804" s="954"/>
      <c r="D804" s="954"/>
      <c r="E804" s="954"/>
      <c r="F804" s="954"/>
      <c r="G804" s="954"/>
      <c r="H804" s="1091"/>
      <c r="I804" s="451"/>
    </row>
    <row r="805" spans="1:9" ht="12.75" customHeight="1" thickBot="1">
      <c r="A805" s="371"/>
      <c r="B805" s="421" t="s">
        <v>136</v>
      </c>
      <c r="C805" s="972">
        <f>SUM(C799:C804)</f>
        <v>3000</v>
      </c>
      <c r="D805" s="972">
        <f>SUM(D799:D804)</f>
        <v>3000</v>
      </c>
      <c r="E805" s="972">
        <f>SUM(E799:E804)</f>
        <v>3000</v>
      </c>
      <c r="F805" s="972">
        <f>SUM(F799:F804)</f>
        <v>3000</v>
      </c>
      <c r="G805" s="972">
        <f>SUM(G799:G804)</f>
        <v>3000</v>
      </c>
      <c r="H805" s="1088">
        <f t="shared" si="12"/>
        <v>1</v>
      </c>
      <c r="I805" s="437"/>
    </row>
    <row r="806" spans="1:9" ht="12.75" customHeight="1">
      <c r="A806" s="431">
        <v>3429</v>
      </c>
      <c r="B806" s="409" t="s">
        <v>29</v>
      </c>
      <c r="C806" s="1009"/>
      <c r="D806" s="1009"/>
      <c r="E806" s="1009"/>
      <c r="F806" s="1009"/>
      <c r="G806" s="1009"/>
      <c r="H806" s="406"/>
      <c r="I806" s="454"/>
    </row>
    <row r="807" spans="1:9" ht="12.75" customHeight="1">
      <c r="A807" s="427"/>
      <c r="B807" s="413" t="s">
        <v>115</v>
      </c>
      <c r="C807" s="1008"/>
      <c r="D807" s="1008"/>
      <c r="E807" s="1008"/>
      <c r="F807" s="1008"/>
      <c r="G807" s="1008"/>
      <c r="H807" s="1089"/>
      <c r="I807" s="454"/>
    </row>
    <row r="808" spans="1:9" ht="12.75" customHeight="1">
      <c r="A808" s="427"/>
      <c r="B808" s="415" t="s">
        <v>298</v>
      </c>
      <c r="C808" s="1008"/>
      <c r="D808" s="1008"/>
      <c r="E808" s="1008"/>
      <c r="F808" s="1008"/>
      <c r="G808" s="1008"/>
      <c r="H808" s="1086"/>
      <c r="I808" s="454"/>
    </row>
    <row r="809" spans="1:9" ht="12.75" customHeight="1">
      <c r="A809" s="427"/>
      <c r="B809" s="416" t="s">
        <v>284</v>
      </c>
      <c r="C809" s="1008">
        <v>2500</v>
      </c>
      <c r="D809" s="1008">
        <v>2500</v>
      </c>
      <c r="E809" s="1008">
        <v>2500</v>
      </c>
      <c r="F809" s="1008">
        <v>2500</v>
      </c>
      <c r="G809" s="1008">
        <v>2500</v>
      </c>
      <c r="H809" s="1086">
        <f t="shared" si="12"/>
        <v>1</v>
      </c>
      <c r="I809" s="1180" t="s">
        <v>1175</v>
      </c>
    </row>
    <row r="810" spans="1:9" ht="12.75" customHeight="1">
      <c r="A810" s="427"/>
      <c r="B810" s="417" t="s">
        <v>120</v>
      </c>
      <c r="C810" s="1008"/>
      <c r="D810" s="1008"/>
      <c r="E810" s="1008"/>
      <c r="F810" s="1008"/>
      <c r="G810" s="1008"/>
      <c r="H810" s="1086"/>
      <c r="I810" s="433"/>
    </row>
    <row r="811" spans="1:9" ht="12.75" customHeight="1">
      <c r="A811" s="427"/>
      <c r="B811" s="417" t="s">
        <v>293</v>
      </c>
      <c r="C811" s="1008"/>
      <c r="D811" s="1008"/>
      <c r="E811" s="1008"/>
      <c r="F811" s="1008"/>
      <c r="G811" s="1008"/>
      <c r="H811" s="1086"/>
      <c r="I811" s="454"/>
    </row>
    <row r="812" spans="1:9" ht="12.75" customHeight="1" thickBot="1">
      <c r="A812" s="427"/>
      <c r="B812" s="418" t="s">
        <v>88</v>
      </c>
      <c r="C812" s="1027"/>
      <c r="D812" s="1027"/>
      <c r="E812" s="1027"/>
      <c r="F812" s="1027"/>
      <c r="G812" s="1027"/>
      <c r="H812" s="1091"/>
      <c r="I812" s="480"/>
    </row>
    <row r="813" spans="1:9" ht="12.75" customHeight="1" thickBot="1">
      <c r="A813" s="429"/>
      <c r="B813" s="421" t="s">
        <v>136</v>
      </c>
      <c r="C813" s="973">
        <f>SUM(C807:C812)</f>
        <v>2500</v>
      </c>
      <c r="D813" s="973">
        <f>SUM(D807:D812)</f>
        <v>2500</v>
      </c>
      <c r="E813" s="973">
        <f>SUM(E807:E812)</f>
        <v>2500</v>
      </c>
      <c r="F813" s="973">
        <f>SUM(F807:F812)</f>
        <v>2500</v>
      </c>
      <c r="G813" s="973">
        <f>SUM(G807:G812)</f>
        <v>2500</v>
      </c>
      <c r="H813" s="1088">
        <f t="shared" si="12"/>
        <v>1</v>
      </c>
      <c r="I813" s="481"/>
    </row>
    <row r="814" spans="1:9" ht="12.75" customHeight="1">
      <c r="A814" s="431">
        <v>3431</v>
      </c>
      <c r="B814" s="409" t="s">
        <v>171</v>
      </c>
      <c r="C814" s="1009"/>
      <c r="D814" s="1009"/>
      <c r="E814" s="1009"/>
      <c r="F814" s="1009"/>
      <c r="G814" s="1009"/>
      <c r="H814" s="406"/>
      <c r="I814" s="454"/>
    </row>
    <row r="815" spans="1:9" ht="12.75" customHeight="1">
      <c r="A815" s="427"/>
      <c r="B815" s="413" t="s">
        <v>115</v>
      </c>
      <c r="C815" s="1008"/>
      <c r="D815" s="1008"/>
      <c r="E815" s="1008"/>
      <c r="F815" s="1008"/>
      <c r="G815" s="1008"/>
      <c r="H815" s="1089"/>
      <c r="I815" s="454"/>
    </row>
    <row r="816" spans="1:9" ht="12.75" customHeight="1">
      <c r="A816" s="427"/>
      <c r="B816" s="415" t="s">
        <v>298</v>
      </c>
      <c r="C816" s="1008"/>
      <c r="D816" s="1008"/>
      <c r="E816" s="1008"/>
      <c r="F816" s="1008"/>
      <c r="G816" s="1008"/>
      <c r="H816" s="1086"/>
      <c r="I816" s="454"/>
    </row>
    <row r="817" spans="1:9" ht="12.75" customHeight="1">
      <c r="A817" s="427"/>
      <c r="B817" s="416" t="s">
        <v>284</v>
      </c>
      <c r="C817" s="1008">
        <v>5000</v>
      </c>
      <c r="D817" s="1008">
        <v>5000</v>
      </c>
      <c r="E817" s="1008">
        <v>5000</v>
      </c>
      <c r="F817" s="1008">
        <v>5000</v>
      </c>
      <c r="G817" s="1008">
        <v>5000</v>
      </c>
      <c r="H817" s="1086">
        <f t="shared" si="12"/>
        <v>1</v>
      </c>
      <c r="I817" s="1180" t="s">
        <v>1175</v>
      </c>
    </row>
    <row r="818" spans="1:9" ht="12.75" customHeight="1">
      <c r="A818" s="427"/>
      <c r="B818" s="417" t="s">
        <v>120</v>
      </c>
      <c r="C818" s="1008"/>
      <c r="D818" s="1008"/>
      <c r="E818" s="1008"/>
      <c r="F818" s="1008"/>
      <c r="G818" s="1008"/>
      <c r="H818" s="1086"/>
      <c r="I818" s="454"/>
    </row>
    <row r="819" spans="1:9" ht="12.75" customHeight="1">
      <c r="A819" s="427"/>
      <c r="B819" s="417" t="s">
        <v>293</v>
      </c>
      <c r="C819" s="1008"/>
      <c r="D819" s="1008"/>
      <c r="E819" s="1008"/>
      <c r="F819" s="1008"/>
      <c r="G819" s="1008"/>
      <c r="H819" s="1086"/>
      <c r="I819" s="454"/>
    </row>
    <row r="820" spans="1:9" ht="12.75" customHeight="1" thickBot="1">
      <c r="A820" s="427"/>
      <c r="B820" s="418" t="s">
        <v>88</v>
      </c>
      <c r="C820" s="1027"/>
      <c r="D820" s="1027"/>
      <c r="E820" s="1027"/>
      <c r="F820" s="1027"/>
      <c r="G820" s="1027"/>
      <c r="H820" s="1091"/>
      <c r="I820" s="480"/>
    </row>
    <row r="821" spans="1:9" ht="12.75" customHeight="1" thickBot="1">
      <c r="A821" s="429"/>
      <c r="B821" s="421" t="s">
        <v>136</v>
      </c>
      <c r="C821" s="973">
        <f>SUM(C815:C820)</f>
        <v>5000</v>
      </c>
      <c r="D821" s="973">
        <f>SUM(D815:D820)</f>
        <v>5000</v>
      </c>
      <c r="E821" s="973">
        <f>SUM(E815:E820)</f>
        <v>5000</v>
      </c>
      <c r="F821" s="973">
        <f>SUM(F815:F820)</f>
        <v>5000</v>
      </c>
      <c r="G821" s="973">
        <f>SUM(G815:G820)</f>
        <v>5000</v>
      </c>
      <c r="H821" s="1088">
        <f t="shared" si="12"/>
        <v>1</v>
      </c>
      <c r="I821" s="481"/>
    </row>
    <row r="822" spans="1:9" ht="12.75" customHeight="1">
      <c r="A822" s="431">
        <v>3432</v>
      </c>
      <c r="B822" s="409" t="s">
        <v>381</v>
      </c>
      <c r="C822" s="1009"/>
      <c r="D822" s="1009"/>
      <c r="E822" s="1009"/>
      <c r="F822" s="1009"/>
      <c r="G822" s="1009"/>
      <c r="H822" s="406"/>
      <c r="I822" s="454"/>
    </row>
    <row r="823" spans="1:9" ht="12.75" customHeight="1">
      <c r="A823" s="427"/>
      <c r="B823" s="413" t="s">
        <v>115</v>
      </c>
      <c r="C823" s="1008"/>
      <c r="D823" s="1008"/>
      <c r="E823" s="1008"/>
      <c r="F823" s="1008"/>
      <c r="G823" s="1008"/>
      <c r="H823" s="406"/>
      <c r="I823" s="454"/>
    </row>
    <row r="824" spans="1:9" ht="12.75" customHeight="1">
      <c r="A824" s="427"/>
      <c r="B824" s="415" t="s">
        <v>298</v>
      </c>
      <c r="C824" s="1008"/>
      <c r="D824" s="1008"/>
      <c r="E824" s="1008"/>
      <c r="F824" s="1008"/>
      <c r="G824" s="1008"/>
      <c r="H824" s="1089"/>
      <c r="I824" s="550"/>
    </row>
    <row r="825" spans="1:9" ht="12.75" customHeight="1">
      <c r="A825" s="427"/>
      <c r="B825" s="416" t="s">
        <v>284</v>
      </c>
      <c r="C825" s="1008">
        <v>5000</v>
      </c>
      <c r="D825" s="1008">
        <v>5000</v>
      </c>
      <c r="E825" s="1008">
        <v>5000</v>
      </c>
      <c r="F825" s="1008">
        <v>5000</v>
      </c>
      <c r="G825" s="1008">
        <v>5000</v>
      </c>
      <c r="H825" s="1086">
        <f t="shared" si="12"/>
        <v>1</v>
      </c>
      <c r="I825" s="1180" t="s">
        <v>1175</v>
      </c>
    </row>
    <row r="826" spans="1:9" ht="12.75" customHeight="1">
      <c r="A826" s="427"/>
      <c r="B826" s="417" t="s">
        <v>120</v>
      </c>
      <c r="C826" s="1008"/>
      <c r="D826" s="1008"/>
      <c r="E826" s="1008"/>
      <c r="F826" s="1008"/>
      <c r="G826" s="1008"/>
      <c r="H826" s="1086"/>
      <c r="I826" s="433"/>
    </row>
    <row r="827" spans="1:9" ht="12.75" customHeight="1">
      <c r="A827" s="427"/>
      <c r="B827" s="417" t="s">
        <v>293</v>
      </c>
      <c r="C827" s="1008"/>
      <c r="D827" s="1008"/>
      <c r="E827" s="1008"/>
      <c r="F827" s="1008"/>
      <c r="G827" s="1008"/>
      <c r="H827" s="1086"/>
      <c r="I827" s="454"/>
    </row>
    <row r="828" spans="1:9" ht="12.75" customHeight="1" thickBot="1">
      <c r="A828" s="427"/>
      <c r="B828" s="418" t="s">
        <v>88</v>
      </c>
      <c r="C828" s="1027"/>
      <c r="D828" s="1027"/>
      <c r="E828" s="1027"/>
      <c r="F828" s="1027"/>
      <c r="G828" s="1027"/>
      <c r="H828" s="1091"/>
      <c r="I828" s="480"/>
    </row>
    <row r="829" spans="1:9" ht="12.75" customHeight="1" thickBot="1">
      <c r="A829" s="429"/>
      <c r="B829" s="421" t="s">
        <v>136</v>
      </c>
      <c r="C829" s="973">
        <f>SUM(C823:C828)</f>
        <v>5000</v>
      </c>
      <c r="D829" s="973">
        <f>SUM(D823:D828)</f>
        <v>5000</v>
      </c>
      <c r="E829" s="973">
        <f>SUM(E823:E828)</f>
        <v>5000</v>
      </c>
      <c r="F829" s="973">
        <f>SUM(F823:F828)</f>
        <v>5000</v>
      </c>
      <c r="G829" s="973">
        <f>SUM(G823:G828)</f>
        <v>5000</v>
      </c>
      <c r="H829" s="406">
        <f t="shared" si="12"/>
        <v>1</v>
      </c>
      <c r="I829" s="481"/>
    </row>
    <row r="830" spans="1:9" ht="12.75" customHeight="1">
      <c r="A830" s="431">
        <v>3451</v>
      </c>
      <c r="B830" s="409" t="s">
        <v>134</v>
      </c>
      <c r="C830" s="1009"/>
      <c r="D830" s="1009"/>
      <c r="E830" s="1009"/>
      <c r="F830" s="1009"/>
      <c r="G830" s="1009"/>
      <c r="H830" s="406"/>
      <c r="I830" s="464"/>
    </row>
    <row r="831" spans="1:9" ht="12.75" customHeight="1">
      <c r="A831" s="427"/>
      <c r="B831" s="413" t="s">
        <v>115</v>
      </c>
      <c r="C831" s="1008"/>
      <c r="D831" s="1008"/>
      <c r="E831" s="1008"/>
      <c r="F831" s="1008"/>
      <c r="G831" s="1008"/>
      <c r="H831" s="1089"/>
      <c r="I831" s="454"/>
    </row>
    <row r="832" spans="1:9" ht="12.75" customHeight="1">
      <c r="A832" s="427"/>
      <c r="B832" s="415" t="s">
        <v>298</v>
      </c>
      <c r="C832" s="1008"/>
      <c r="D832" s="1008"/>
      <c r="E832" s="1008"/>
      <c r="F832" s="1008"/>
      <c r="G832" s="1008"/>
      <c r="H832" s="1086"/>
      <c r="I832" s="453"/>
    </row>
    <row r="833" spans="1:9" ht="12.75" customHeight="1">
      <c r="A833" s="427"/>
      <c r="B833" s="416" t="s">
        <v>284</v>
      </c>
      <c r="C833" s="1008">
        <v>1500</v>
      </c>
      <c r="D833" s="1008">
        <v>1500</v>
      </c>
      <c r="E833" s="1008">
        <v>1626</v>
      </c>
      <c r="F833" s="1008">
        <v>1626</v>
      </c>
      <c r="G833" s="1008">
        <v>1626</v>
      </c>
      <c r="H833" s="1086">
        <f t="shared" si="12"/>
        <v>1</v>
      </c>
      <c r="I833" s="556"/>
    </row>
    <row r="834" spans="1:9" ht="12.75" customHeight="1">
      <c r="A834" s="427"/>
      <c r="B834" s="417" t="s">
        <v>120</v>
      </c>
      <c r="C834" s="1008"/>
      <c r="D834" s="1008"/>
      <c r="E834" s="1008"/>
      <c r="F834" s="1008"/>
      <c r="G834" s="1008"/>
      <c r="H834" s="1086"/>
      <c r="I834" s="556"/>
    </row>
    <row r="835" spans="1:9" ht="12.75" customHeight="1">
      <c r="A835" s="427"/>
      <c r="B835" s="417" t="s">
        <v>293</v>
      </c>
      <c r="C835" s="1008"/>
      <c r="D835" s="1008"/>
      <c r="E835" s="1008"/>
      <c r="F835" s="1008"/>
      <c r="G835" s="1008"/>
      <c r="H835" s="1086"/>
      <c r="I835" s="454"/>
    </row>
    <row r="836" spans="1:9" ht="12.75" customHeight="1" thickBot="1">
      <c r="A836" s="427"/>
      <c r="B836" s="418" t="s">
        <v>88</v>
      </c>
      <c r="C836" s="1027"/>
      <c r="D836" s="1027"/>
      <c r="E836" s="1027"/>
      <c r="F836" s="1027"/>
      <c r="G836" s="1027"/>
      <c r="H836" s="1091"/>
      <c r="I836" s="480"/>
    </row>
    <row r="837" spans="1:9" ht="12.75" customHeight="1" thickBot="1">
      <c r="A837" s="429"/>
      <c r="B837" s="421" t="s">
        <v>136</v>
      </c>
      <c r="C837" s="973">
        <f>SUM(C831:C836)</f>
        <v>1500</v>
      </c>
      <c r="D837" s="973">
        <f>SUM(D831:D836)</f>
        <v>1500</v>
      </c>
      <c r="E837" s="973">
        <f>SUM(E831:E836)</f>
        <v>1626</v>
      </c>
      <c r="F837" s="973">
        <f>SUM(F831:F836)</f>
        <v>1626</v>
      </c>
      <c r="G837" s="973">
        <f>SUM(G831:G836)</f>
        <v>1626</v>
      </c>
      <c r="H837" s="1088">
        <f t="shared" si="12"/>
        <v>1</v>
      </c>
      <c r="I837" s="481"/>
    </row>
    <row r="838" spans="1:9" ht="12.75" customHeight="1">
      <c r="A838" s="431">
        <v>3452</v>
      </c>
      <c r="B838" s="409" t="s">
        <v>1071</v>
      </c>
      <c r="C838" s="1009"/>
      <c r="D838" s="1009"/>
      <c r="E838" s="1009"/>
      <c r="F838" s="1009"/>
      <c r="G838" s="1009"/>
      <c r="H838" s="406"/>
      <c r="I838" s="454"/>
    </row>
    <row r="839" spans="1:9" ht="12.75" customHeight="1">
      <c r="A839" s="427"/>
      <c r="B839" s="413" t="s">
        <v>115</v>
      </c>
      <c r="C839" s="1008"/>
      <c r="D839" s="1008"/>
      <c r="E839" s="1008"/>
      <c r="F839" s="1008"/>
      <c r="G839" s="1008"/>
      <c r="H839" s="406"/>
      <c r="I839" s="454"/>
    </row>
    <row r="840" spans="1:9" ht="12.75" customHeight="1">
      <c r="A840" s="427"/>
      <c r="B840" s="415" t="s">
        <v>298</v>
      </c>
      <c r="C840" s="1008"/>
      <c r="D840" s="1008"/>
      <c r="E840" s="1008"/>
      <c r="F840" s="1008"/>
      <c r="G840" s="1008"/>
      <c r="H840" s="1089"/>
      <c r="I840" s="453"/>
    </row>
    <row r="841" spans="1:9" ht="11.1" customHeight="1">
      <c r="A841" s="427"/>
      <c r="B841" s="416" t="s">
        <v>284</v>
      </c>
      <c r="C841" s="1008">
        <v>1000</v>
      </c>
      <c r="D841" s="1008">
        <v>1000</v>
      </c>
      <c r="E841" s="1008">
        <v>1000</v>
      </c>
      <c r="F841" s="1008">
        <v>1000</v>
      </c>
      <c r="G841" s="1008">
        <v>1000</v>
      </c>
      <c r="H841" s="1086">
        <f t="shared" si="12"/>
        <v>1</v>
      </c>
      <c r="I841" s="453"/>
    </row>
    <row r="842" spans="1:9" ht="10.5" customHeight="1">
      <c r="A842" s="427"/>
      <c r="B842" s="417" t="s">
        <v>120</v>
      </c>
      <c r="C842" s="1008"/>
      <c r="D842" s="1008"/>
      <c r="E842" s="1008"/>
      <c r="F842" s="1008"/>
      <c r="G842" s="1008"/>
      <c r="H842" s="1086"/>
      <c r="I842" s="454"/>
    </row>
    <row r="843" spans="1:9" ht="10.5" customHeight="1">
      <c r="A843" s="427"/>
      <c r="B843" s="417" t="s">
        <v>293</v>
      </c>
      <c r="C843" s="1008"/>
      <c r="D843" s="1008"/>
      <c r="E843" s="1008"/>
      <c r="F843" s="1008"/>
      <c r="G843" s="1008"/>
      <c r="H843" s="1086"/>
      <c r="I843" s="483"/>
    </row>
    <row r="844" spans="1:9" ht="12.75" customHeight="1" thickBot="1">
      <c r="A844" s="427"/>
      <c r="B844" s="418" t="s">
        <v>253</v>
      </c>
      <c r="C844" s="1023"/>
      <c r="D844" s="1023"/>
      <c r="E844" s="1023"/>
      <c r="F844" s="1023"/>
      <c r="G844" s="1023"/>
      <c r="H844" s="1091"/>
      <c r="I844" s="480"/>
    </row>
    <row r="845" spans="1:9" ht="12.75" customHeight="1" thickBot="1">
      <c r="A845" s="429"/>
      <c r="B845" s="421" t="s">
        <v>136</v>
      </c>
      <c r="C845" s="973">
        <f>SUM(C839:C844)</f>
        <v>1000</v>
      </c>
      <c r="D845" s="973">
        <f>SUM(D839:D844)</f>
        <v>1000</v>
      </c>
      <c r="E845" s="973">
        <f>SUM(E839:E844)</f>
        <v>1000</v>
      </c>
      <c r="F845" s="973">
        <f>SUM(F839:F844)</f>
        <v>1000</v>
      </c>
      <c r="G845" s="973">
        <f>SUM(G839:G844)</f>
        <v>1000</v>
      </c>
      <c r="H845" s="1088">
        <f t="shared" si="12"/>
        <v>1</v>
      </c>
      <c r="I845" s="481"/>
    </row>
    <row r="846" spans="1:9" ht="12" customHeight="1">
      <c r="A846" s="351">
        <v>3600</v>
      </c>
      <c r="B846" s="444" t="s">
        <v>54</v>
      </c>
      <c r="C846" s="1017"/>
      <c r="D846" s="1017"/>
      <c r="E846" s="1017"/>
      <c r="F846" s="1017"/>
      <c r="G846" s="1017"/>
      <c r="H846" s="406"/>
      <c r="I846" s="432"/>
    </row>
    <row r="847" spans="1:9" ht="12" customHeight="1">
      <c r="A847" s="351"/>
      <c r="B847" s="375" t="s">
        <v>70</v>
      </c>
      <c r="C847" s="1017"/>
      <c r="D847" s="1017"/>
      <c r="E847" s="1017"/>
      <c r="F847" s="1017"/>
      <c r="G847" s="1017"/>
      <c r="H847" s="1089"/>
      <c r="I847" s="432"/>
    </row>
    <row r="848" spans="1:9" ht="12" customHeight="1">
      <c r="A848" s="289"/>
      <c r="B848" s="363" t="s">
        <v>115</v>
      </c>
      <c r="C848" s="1018">
        <f aca="true" t="shared" si="13" ref="C848:F849">SUM(C11+C37+C45+C62+C72+C88+C115+C123+C131+C139+C148+C156+C165+C173+C181+C208+C216+C224+C232+C241+C249+C269+C277+C285+C304+C312+C320+C328+C336+C345+C362+C370+C423+C431+C439+C488+C497+C505+C553+C561+C569+C578+C586+C594+C602+C610+C618+C642+C650+C659+C667+C675+C683+C709+C717+C725+C734+C742+C759+C767+C775+C783+C791+C799+C807+C815+C823+C831+C839+C189+C699+C751+C691)</f>
        <v>227339</v>
      </c>
      <c r="D848" s="1018">
        <f t="shared" si="13"/>
        <v>200639</v>
      </c>
      <c r="E848" s="1018">
        <f t="shared" si="13"/>
        <v>227231</v>
      </c>
      <c r="F848" s="1018">
        <f t="shared" si="13"/>
        <v>227231</v>
      </c>
      <c r="G848" s="295">
        <f>SUM(G11+G37+G45+G62+G72+G88+G115+G123+G131+G139+G148+G156+G165+G173+G181+G208+G216+G224+G232+G241+G249+G269+G277+G285+G304+G312+G320+G328+G336+G345+G362+G370+G378+G423+G431+G439+G488+G497+G505+G553+G561+G569+G578+G586+G594+G602+G610+G618+G642+G650+G659+G667+G675+G683+G709+G717+G725+G734+G742+G759+G767+G775+G783+G791+G799+G807+G815+G823+G831+G839+G189+G699+G751+G691)</f>
        <v>242055</v>
      </c>
      <c r="H848" s="1086">
        <f t="shared" si="12"/>
        <v>1.0652375776192509</v>
      </c>
      <c r="I848" s="407"/>
    </row>
    <row r="849" spans="1:9" ht="12" customHeight="1">
      <c r="A849" s="289"/>
      <c r="B849" s="296" t="s">
        <v>110</v>
      </c>
      <c r="C849" s="1018">
        <f t="shared" si="13"/>
        <v>54461</v>
      </c>
      <c r="D849" s="1018">
        <f t="shared" si="13"/>
        <v>45661</v>
      </c>
      <c r="E849" s="1018">
        <f t="shared" si="13"/>
        <v>53285</v>
      </c>
      <c r="F849" s="1018">
        <f t="shared" si="13"/>
        <v>53285</v>
      </c>
      <c r="G849" s="295">
        <f>SUM(G12+G38+G46+G63+G73+G89+G116+G124+G132+G140+G149+G157+G166+G174+G182+G209+G217+G225+G233+G242+G250+G270+G278+G286+G305+G313+G321+G329+G337+G346+G363+G371+G379+G424+G432+G440+G489+G498+G506+G554+G562+G570+G579+G587+G595+G603+G611+G619+G643+G651+G660+G668+G676+G684+G710+G718+G726+G735+G743+G760+G768+G776+G784+G792+G800+G808+G816+G824+G832+G840+G190+G700+G752+G692)</f>
        <v>55718</v>
      </c>
      <c r="H849" s="1086">
        <f t="shared" si="12"/>
        <v>1.0456601294923524</v>
      </c>
      <c r="I849" s="407"/>
    </row>
    <row r="850" spans="1:9" ht="12" customHeight="1">
      <c r="A850" s="289"/>
      <c r="B850" s="296" t="s">
        <v>295</v>
      </c>
      <c r="C850" s="1018">
        <f>SUM(C13+C39+C47+C64+C74+C90+C117+C125+C133+C141+C150+C158+C167+C175+C183+C210+C218+C226+C234+C243+C251+C271+C279+C287+C306+C314+C322+C330+C338+C347+C364+C372+C425+C433+C441+C490+C499+C507+C555+C563+C571+C580+C588+C596+C604+C612+C620+C644+C652+C661+C669+C677+C685+C711+C719+C727+C736+C744+C761+C769+C777+C785+C793+C801+C809+C817+C825+C833+C841+C628+C693+C701+C457+C449+C473+C191+C407+C481+C100+C753+C82+C515+C355+C21+C108+C200+C29+C523+C636)</f>
        <v>3316224</v>
      </c>
      <c r="D850" s="1018">
        <f>SUM(D13+D39+D47+D64+D74+D90+D117+D125+D133+D141+D150+D158+D167+D175+D183+D210+D218+D226+D234+D243+D251+D271+D279+D287+D306+D314+D322+D330+D338+D347+D364+D372+D425+D433+D441+D490+D499+D507+D555+D563+D571+D580+D588+D596+D604+D612+D620+D644+D652+D661+D669+D677+D685+D711+D719+D727+D736+D744+D761+D769+D777+D785+D793+D801+D809+D817+D825+D833+D841+D628+D693+D701+D457+D449+D473+D191+D407+D481+D100+D753+D82+D515+D355+D21+D108+D200+D29+D523+D636+D380)</f>
        <v>3191724</v>
      </c>
      <c r="E850" s="1018">
        <f>SUM(E13+E39+E47+E64+E74+E90+E117+E125+E133+E141+E150+E158+E167+E175+E183+E210+E218+E226+E234+E243+E251+E271+E279+E287+E306+E314+E322+E330+E338+E347+E364+E372+E425+E433+E441+E490+E499+E507+E555+E563+E571+E580+E588+E596+E604+E612+E620+E644+E652+E661+E669+E677+E685+E711+E719+E727+E736+E744+E761+E769+E777+E785+E793+E801+E809+E817+E825+E833+E841+E628+E693+E701+E457+E449+E473+E191+E407+E481+E100+E753+E82+E515+E355+E21+E108+E200+E29+E523+E636+E380+E55)</f>
        <v>3785622</v>
      </c>
      <c r="F850" s="1018">
        <f>SUM(F13+F39+F47+F64+F74+F90+F117+F125+F133+F141+F150+F158+F167+F175+F183+F210+F218+F226+F234+F243+F251+F271+F279+F287+F306+F314+F322+F330+F338+F347+F364+F372+F425+F433+F441+F490+F499+F507+F555+F563+F571+F580+F588+F596+F604+F612+F620+F644+F652+F661+F669+F677+F685+F711+F719+F727+F736+F744+F761+F769+F777+F785+F793+F801+F809+F817+F825+F833+F841+F628+F693+F701+F457+F449+F473+F191+F407+F481+F100+F753+F82+F515+F355+F21+F108+F200+F29+F523+F636+F380+F55)</f>
        <v>3822622</v>
      </c>
      <c r="G850" s="295">
        <f>SUM(G13+G39+G47+G64+G74+G90+G117+G125+G133+G141+G150+G158+G167+G175+G183+G210+G218+G226+G234+G243+G251+G271+G279+G287+G306+G314+G322+G330+G338+G347+G364+G372+G389+G425+G433+G441+G490+G499+G507+G555+G563+G571+G580+G588+G596+G604+G612+G620+G644+G652+G661+G669+G677+G685+G711+G719+G727+G736+G744+G761+G769+G777+G785+G793+G801+G809+G817+G825+G833+G841+G628+G693+G701+G457+G449+G473+G191+G407+G481+G100+G753+G82+G515+G355+G21+G108+G200+G29+G523+G636+G380+G55+G261)</f>
        <v>3807102</v>
      </c>
      <c r="H850" s="1086">
        <f t="shared" si="12"/>
        <v>0.9959399595356276</v>
      </c>
      <c r="I850" s="407"/>
    </row>
    <row r="851" spans="1:9" ht="12" customHeight="1">
      <c r="A851" s="289"/>
      <c r="B851" s="179" t="s">
        <v>120</v>
      </c>
      <c r="C851" s="1018">
        <f>SUM(C14+C40+C48+C65+C75+C91+C118+C126+C134+C142+C151+C159+C168+C176+C184+C211+C219+C227+C235+C244+C252+C272+C280+C288+C307+C315+C323+C331+C339+C348+C365+C373+C426+C434+C442+C491+C500+C508+C556+C564+C572+C581+C589+C597+C605+C613+C621+C645+C653+C662+C670+C678+C686+C712+C720+C728+C737+C745+C762+C770+C778+C786+C794+C802+C810+C818+C826+C834+C842+C399+C408+C417+C458+C450+C466+C474+C482+C524+C532+C540)</f>
        <v>268400</v>
      </c>
      <c r="D851" s="1018">
        <f>SUM(D14+D40+D48+D65+D75+D91+D118+D126+D134+D142+D151+D159+D168+D176+D184+D211+D219+D227+D235+D244+D252+D272+D280+D288+D307+D315+D323+D331+D339+D348+D365+D373+D426+D434+D442+D491+D500+D508+D556+D564+D572+D581+D589+D597+D605+D613+D621+D645+D653+D662+D670+D678+D686+D712+D720+D728+D737+D745+D762+D770+D778+D786+D794+D802+D810+D818+D826+D834+D842+D399+D408+D417+D458+D450+D466+D474+D482+D524+D532+D540+D548)</f>
        <v>567900</v>
      </c>
      <c r="E851" s="1018">
        <f>SUM(E14+E40+E48+E65+E75+E91+E118+E126+E134+E142+E151+E159+E168+E176+E184+E211+E219+E227+E235+E244+E252+E272+E280+E288+E307+E315+E323+E331+E339+E348+E365+E373+E426+E434+E442+E491+E500+E508+E556+E564+E572+E581+E589+E597+E605+E613+E621+E645+E653+E662+E670+E678+E686+E712+E720+E728+E737+E745+E762+E770+E778+E786+E794+E802+E810+E818+E826+E834+E842+E399+E408+E417+E458+E450+E466+E474+E482+E524+E532+E540+E548+E390)</f>
        <v>583422</v>
      </c>
      <c r="F851" s="1018">
        <f>SUM(F14+F40+F48+F65+F75+F91+F118+F126+F134+F142+F151+F159+F168+F176+F184+F211+F219+F227+F235+F244+F252+F272+F280+F288+F307+F315+F323+F331+F339+F348+F365+F373+F426+F434+F442+F491+F500+F508+F556+F564+F572+F581+F589+F597+F605+F613+F621+F645+F653+F662+F670+F678+F686+F712+F720+F728+F737+F745+F762+F770+F778+F786+F794+F802+F810+F818+F826+F834+F842+F399+F408+F417+F458+F450+F466+F474+F482+F524+F532+F540+F548+F390)</f>
        <v>537422</v>
      </c>
      <c r="G851" s="295">
        <f>SUM(G14+G40+G48+G65+G75+G91+G118+G126+G134+G142+G151+G159+G168+G176+G184+G211+G219+G227+G235+G244+G252+G272+G280+G288+G307+G315+G323+G331+G339+G348+G365+G373+G426+G434+G442+G491+G500+G508+G556+G564+G572+G581+G589+G597+G605+G613+G621+G645+G653+G662+G670+G678+G686+G712+G720+G728+G737+G745+G762+G770+G778+G786+G794+G802+G810+G818+G826+G834+G842+G399+G408+G417+G458+G450+G466+G474+G482+G524+G532+G540+G548+G390)</f>
        <v>411793</v>
      </c>
      <c r="H851" s="1086">
        <f t="shared" si="12"/>
        <v>0.7662377051925675</v>
      </c>
      <c r="I851" s="407"/>
    </row>
    <row r="852" spans="1:9" ht="12" customHeight="1" thickBot="1">
      <c r="A852" s="289"/>
      <c r="B852" s="484" t="s">
        <v>293</v>
      </c>
      <c r="C852" s="1022">
        <f>SUM(C15+C41+C49+C66+C76+C92+C119+C127+C135+C143+C152+C160+C169+C177+C185+C212+C220+C228+C236+C245+C253+C273+C281+C289+C308+C316+C324+C349+C366+C374+C418+C427+C435+C443+C492+C501+C509+C557+C565+C573+C582+C590+C598+C606+C614+C622+C646+C654+C663+C671+C679+C687+C713+C721+C729+C738+C746+C763+C771+C779+C787+C795+C803+C811+C819+C827+C835+C843+C193+C695+C703+C357+C755+C298)</f>
        <v>89200</v>
      </c>
      <c r="D852" s="1022">
        <f>SUM(D15+D41+D49+D66+D76+D92+D119+D127+D135+D143+D152+D160+D169+D177+D185+D212+D220+D228+D236+D245+D253+D273+D281+D289+D308+D316+D324+D349+D366+D374+D418+D427+D435+D443+D492+D501+D509+D557+D565+D573+D582+D590+D598+D606+D614+D622+D646+D654+D663+D671+D679+D687+D713+D721+D729+D738+D746+D763+D771+D779+D787+D795+D803+D811+D819+D827+D835+D843+D193+D695+D703+D357+D755+D298)</f>
        <v>89200</v>
      </c>
      <c r="E852" s="1022">
        <f>SUM(E15+E41+E49+E66+E76+E92+E119+E127+E135+E143+E152+E160+E169+E177+E185+E212+E220+E228+E236+E245+E253+E273+E281+E289+E308+E316+E324+E349+E366+E374+E418+E427+E435+E443+E492+E501+E509+E557+E565+E573+E582+E590+E598+E606+E614+E622+E646+E654+E663+E671+E679+E687+E713+E721+E729+E738+E746+E763+E771+E779+E787+E795+E803+E811+E819+E827+E835+E843+E193+E695+E703+E357+E755+E298)</f>
        <v>112667</v>
      </c>
      <c r="F852" s="1022">
        <f>SUM(F15+F41+F49+F66+F76+F92+F119+F127+F135+F143+F152+F160+F169+F177+F185+F212+F220+F228+F236+F245+F253+F273+F281+F289+F308+F316+F324+F349+F366+F374+F418+F427+F435+F443+F492+F501+F509+F557+F565+F573+F582+F590+F598+F606+F614+F622+F646+F654+F663+F671+F679+F687+F713+F721+F729+F738+F746+F763+F771+F779+F787+F795+F803+F811+F819+F827+F835+F843+F193+F695+F703+F357+F755+F298)</f>
        <v>115958</v>
      </c>
      <c r="G852" s="1022">
        <f>SUM(G15+G41+G49+G66+G76+G92+G119+G127+G135+G143+G152+G160+G169+G177+G185+G212+G220+G228+G236+G245+G253+G273+G281+G289+G308+G316+G324+G349+G366+G374+G382+G418+G427+G435+G443+G492+G501+G509+G557+G565+G573+G582+G590+G598+G606+G614+G622+G646+G654+G663+G671+G679+G687+G713+G721+G729+G738+G746+G763+G771+G779+G787+G795+G803+G811+G819+G827+G835+G843+G193+G695+G703+G357+G755+G298)</f>
        <v>135680</v>
      </c>
      <c r="H852" s="1091">
        <f aca="true" t="shared" si="14" ref="H852:H859">SUM(G852/F852)</f>
        <v>1.1700788216423188</v>
      </c>
      <c r="I852" s="435"/>
    </row>
    <row r="853" spans="1:9" ht="12" customHeight="1" thickBot="1">
      <c r="A853" s="289"/>
      <c r="B853" s="485" t="s">
        <v>60</v>
      </c>
      <c r="C853" s="1028">
        <f>SUM(C848:C852)</f>
        <v>3955624</v>
      </c>
      <c r="D853" s="1028">
        <f>SUM(D848:D852)</f>
        <v>4095124</v>
      </c>
      <c r="E853" s="1028">
        <f>SUM(E848:E852)</f>
        <v>4762227</v>
      </c>
      <c r="F853" s="1028">
        <f>SUM(F848:F852)</f>
        <v>4756518</v>
      </c>
      <c r="G853" s="1028">
        <f>SUM(G848:G852)</f>
        <v>4652348</v>
      </c>
      <c r="H853" s="1088">
        <f t="shared" si="14"/>
        <v>0.9780995257455138</v>
      </c>
      <c r="I853" s="437"/>
    </row>
    <row r="854" spans="1:9" ht="12" customHeight="1">
      <c r="A854" s="289"/>
      <c r="B854" s="486" t="s">
        <v>71</v>
      </c>
      <c r="C854" s="1018"/>
      <c r="D854" s="1018"/>
      <c r="E854" s="1018"/>
      <c r="F854" s="1018"/>
      <c r="G854" s="1018"/>
      <c r="H854" s="406"/>
      <c r="I854" s="432"/>
    </row>
    <row r="855" spans="1:9" ht="12" customHeight="1">
      <c r="A855" s="289"/>
      <c r="B855" s="296" t="s">
        <v>248</v>
      </c>
      <c r="C855" s="1018">
        <f>SUM(C237+C332+C844+C42+C221+C714+C341+C764+C103+C194+C664+C161+C680+C93+C290+C730+C756+C33+C780)</f>
        <v>91100</v>
      </c>
      <c r="D855" s="1018">
        <f>SUM(D237+D332+D844+D42+D221+D714+D341+D764+D103+D194+D664+D161+D680+D93+D290+D730+D756+D33+D780)</f>
        <v>51100</v>
      </c>
      <c r="E855" s="1018">
        <f>SUM(E237+E332+E844+E42+E221+E714+E341+E764+E103+E194+E664+E161+E680+E93+E290+E730+E756+E33+E780+E95+E255)</f>
        <v>111918</v>
      </c>
      <c r="F855" s="1018">
        <f>SUM(F237+F332+F844+F42+F221+F714+F341+F764+F103+F194+F664+F161+F680+F93+F290+F730+F756+F33+F780+F95+F255)</f>
        <v>111918</v>
      </c>
      <c r="G855" s="1018">
        <f>SUM(G237+G332+G844+G42+G221+G714+G341+G764+G103+G194+G664+G161+G680+G93+G290+G730+G756+G33+G780+G95+G255)+G384</f>
        <v>126605</v>
      </c>
      <c r="H855" s="1089">
        <f t="shared" si="14"/>
        <v>1.1312300076841975</v>
      </c>
      <c r="I855" s="407"/>
    </row>
    <row r="856" spans="1:9" ht="12" customHeight="1">
      <c r="A856" s="289"/>
      <c r="B856" s="296" t="s">
        <v>249</v>
      </c>
      <c r="C856" s="1018">
        <f>SUM(C333+C94)</f>
        <v>139700</v>
      </c>
      <c r="D856" s="1018">
        <f>SUM(D333+D94)</f>
        <v>139700</v>
      </c>
      <c r="E856" s="1018">
        <f>SUM(E333+E94+E32)</f>
        <v>160223</v>
      </c>
      <c r="F856" s="1018">
        <f>SUM(F333+F94+F32)</f>
        <v>160223</v>
      </c>
      <c r="G856" s="1018">
        <f>SUM(G333+G94+G32)</f>
        <v>147988</v>
      </c>
      <c r="H856" s="1086">
        <f t="shared" si="14"/>
        <v>0.923637679983523</v>
      </c>
      <c r="I856" s="407"/>
    </row>
    <row r="857" spans="1:9" ht="12" customHeight="1" thickBot="1">
      <c r="A857" s="289"/>
      <c r="B857" s="484" t="s">
        <v>326</v>
      </c>
      <c r="C857" s="1022">
        <f>SUM(C77+C229+C238+C170+C367+C696+C704+C256+C772+C162+C350+C731+C195+C291+C95)</f>
        <v>236500</v>
      </c>
      <c r="D857" s="1022">
        <f>SUM(D77+D229+D238+D170+D367+D696+D704+D256+D772+D162+D350+D731+D195+D291+D95)</f>
        <v>231500</v>
      </c>
      <c r="E857" s="1022">
        <f>SUM(E77+E229+E238+E170+E367+E696+E704+E256+E772+E162+E350+E731+E195+E291)</f>
        <v>330196</v>
      </c>
      <c r="F857" s="1022">
        <f>SUM(F77+F229+F238+F170+F367+F696+F704+F256+F772+F162+F350+F731+F195+F291)</f>
        <v>341200</v>
      </c>
      <c r="G857" s="1022">
        <f>SUM(G77+G229+G238+G170+G367+G696+G704+G256+G772+G162+G350+G731+G195+G291)</f>
        <v>460740</v>
      </c>
      <c r="H857" s="1091">
        <f t="shared" si="14"/>
        <v>1.3503516998827667</v>
      </c>
      <c r="I857" s="435"/>
    </row>
    <row r="858" spans="1:9" ht="12" customHeight="1" thickBot="1">
      <c r="A858" s="289"/>
      <c r="B858" s="485" t="s">
        <v>66</v>
      </c>
      <c r="C858" s="1028">
        <f>SUM(C855:C857)</f>
        <v>467300</v>
      </c>
      <c r="D858" s="1028">
        <f>SUM(D855:D857)</f>
        <v>422300</v>
      </c>
      <c r="E858" s="1028">
        <f>SUM(E855:E857)</f>
        <v>602337</v>
      </c>
      <c r="F858" s="1028">
        <f>SUM(F855:F857)</f>
        <v>613341</v>
      </c>
      <c r="G858" s="1028">
        <f>SUM(G855:G857)</f>
        <v>735333</v>
      </c>
      <c r="H858" s="1240">
        <f t="shared" si="14"/>
        <v>1.1988975137810778</v>
      </c>
      <c r="I858" s="437"/>
    </row>
    <row r="859" spans="1:9" ht="11.1" customHeight="1" thickBot="1">
      <c r="A859" s="353"/>
      <c r="B859" s="367" t="s">
        <v>256</v>
      </c>
      <c r="C859" s="1029">
        <f>SUM(C858+C853)</f>
        <v>4422924</v>
      </c>
      <c r="D859" s="1029">
        <f>SUM(D858+D853)</f>
        <v>4517424</v>
      </c>
      <c r="E859" s="1029">
        <f>SUM(E858+E853)</f>
        <v>5364564</v>
      </c>
      <c r="F859" s="1029">
        <f>SUM(F858+F853)</f>
        <v>5369859</v>
      </c>
      <c r="G859" s="1029">
        <f>SUM(G858+G853)</f>
        <v>5387681</v>
      </c>
      <c r="H859" s="1088">
        <f t="shared" si="14"/>
        <v>1.0033188953378478</v>
      </c>
      <c r="I859" s="437"/>
    </row>
  </sheetData>
  <mergeCells count="8">
    <mergeCell ref="A1:I1"/>
    <mergeCell ref="A2:I2"/>
    <mergeCell ref="H5:H7"/>
    <mergeCell ref="C5:C7"/>
    <mergeCell ref="D5:D7"/>
    <mergeCell ref="E5:E7"/>
    <mergeCell ref="F5:F7"/>
    <mergeCell ref="G5:G7"/>
  </mergeCells>
  <printOptions horizontalCentered="1"/>
  <pageMargins left="0.5905511811023623" right="0" top="0.1968503937007874" bottom="0" header="0.1968503937007874" footer="0"/>
  <pageSetup firstPageNumber="24" useFirstPageNumber="1" horizontalDpi="600" verticalDpi="600" orientation="landscape" paperSize="9" scale="80" r:id="rId1"/>
  <headerFooter alignWithMargins="0">
    <oddFooter>&amp;C&amp;P. oldal</oddFooter>
  </headerFooter>
  <rowBreaks count="18" manualBreakCount="18">
    <brk id="51" max="16383" man="1"/>
    <brk id="96" max="16383" man="1"/>
    <brk id="145" max="16383" man="1"/>
    <brk id="146" max="16383" man="1"/>
    <brk id="196" max="16383" man="1"/>
    <brk id="247" max="16383" man="1"/>
    <brk id="292" max="16383" man="1"/>
    <brk id="342" max="16383" man="1"/>
    <brk id="385" max="16383" man="1"/>
    <brk id="429" max="16383" man="1"/>
    <brk id="477" max="16383" man="1"/>
    <brk id="527" max="16383" man="1"/>
    <brk id="576" max="16383" man="1"/>
    <brk id="624" max="16383" man="1"/>
    <brk id="673" max="16383" man="1"/>
    <brk id="723" max="16383" man="1"/>
    <brk id="773" max="16383" man="1"/>
    <brk id="8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Zeros="0" zoomScale="95" zoomScaleNormal="95" workbookViewId="0" topLeftCell="A25">
      <selection activeCell="G70" sqref="G70"/>
    </sheetView>
  </sheetViews>
  <sheetFormatPr defaultColWidth="9.125" defaultRowHeight="12.75" customHeight="1"/>
  <cols>
    <col min="1" max="1" width="6.875" style="8" customWidth="1"/>
    <col min="2" max="2" width="51.00390625" style="8" customWidth="1"/>
    <col min="3" max="7" width="13.125" style="9" customWidth="1"/>
    <col min="8" max="8" width="8.625" style="9" customWidth="1"/>
    <col min="9" max="9" width="50.875" style="8" customWidth="1"/>
    <col min="10" max="16384" width="9.125" style="8" customWidth="1"/>
  </cols>
  <sheetData>
    <row r="1" spans="1:9" ht="12.95" customHeight="1">
      <c r="A1" s="1356" t="s">
        <v>297</v>
      </c>
      <c r="B1" s="1355"/>
      <c r="C1" s="1355"/>
      <c r="D1" s="1355"/>
      <c r="E1" s="1355"/>
      <c r="F1" s="1355"/>
      <c r="G1" s="1355"/>
      <c r="H1" s="1355"/>
      <c r="I1" s="1355"/>
    </row>
    <row r="2" spans="1:9" ht="12.95" customHeight="1">
      <c r="A2" s="1354" t="s">
        <v>1066</v>
      </c>
      <c r="B2" s="1355"/>
      <c r="C2" s="1355"/>
      <c r="D2" s="1355"/>
      <c r="E2" s="1355"/>
      <c r="F2" s="1355"/>
      <c r="G2" s="1355"/>
      <c r="H2" s="1355"/>
      <c r="I2" s="1355"/>
    </row>
    <row r="3" spans="3:9" ht="12.6" customHeight="1">
      <c r="C3" s="67"/>
      <c r="D3" s="67"/>
      <c r="E3" s="67"/>
      <c r="F3" s="67"/>
      <c r="G3" s="67"/>
      <c r="H3" s="67"/>
      <c r="I3" s="76" t="s">
        <v>181</v>
      </c>
    </row>
    <row r="4" spans="1:9" ht="12.95" customHeight="1">
      <c r="A4" s="47"/>
      <c r="B4" s="48"/>
      <c r="C4" s="1331" t="s">
        <v>1193</v>
      </c>
      <c r="D4" s="1331" t="s">
        <v>1226</v>
      </c>
      <c r="E4" s="1331" t="s">
        <v>1264</v>
      </c>
      <c r="F4" s="1331" t="s">
        <v>1273</v>
      </c>
      <c r="G4" s="1331" t="s">
        <v>1277</v>
      </c>
      <c r="H4" s="1300" t="s">
        <v>1284</v>
      </c>
      <c r="I4" s="85" t="s">
        <v>1164</v>
      </c>
    </row>
    <row r="5" spans="1:9" ht="12.75">
      <c r="A5" s="49" t="s">
        <v>279</v>
      </c>
      <c r="B5" s="84" t="s">
        <v>144</v>
      </c>
      <c r="C5" s="1344"/>
      <c r="D5" s="1344"/>
      <c r="E5" s="1344"/>
      <c r="F5" s="1344"/>
      <c r="G5" s="1344"/>
      <c r="H5" s="1352"/>
      <c r="I5" s="50" t="s">
        <v>145</v>
      </c>
    </row>
    <row r="6" spans="1:9" ht="13.5" thickBot="1">
      <c r="A6" s="51"/>
      <c r="B6" s="52"/>
      <c r="C6" s="1345"/>
      <c r="D6" s="1345"/>
      <c r="E6" s="1345"/>
      <c r="F6" s="1345"/>
      <c r="G6" s="1345"/>
      <c r="H6" s="1353"/>
      <c r="I6" s="53"/>
    </row>
    <row r="7" spans="1:9" ht="15" customHeight="1">
      <c r="A7" s="194" t="s">
        <v>163</v>
      </c>
      <c r="B7" s="195" t="s">
        <v>164</v>
      </c>
      <c r="C7" s="196" t="s">
        <v>165</v>
      </c>
      <c r="D7" s="196" t="s">
        <v>166</v>
      </c>
      <c r="E7" s="196" t="s">
        <v>167</v>
      </c>
      <c r="F7" s="196" t="s">
        <v>43</v>
      </c>
      <c r="G7" s="196" t="s">
        <v>369</v>
      </c>
      <c r="H7" s="196" t="s">
        <v>570</v>
      </c>
      <c r="I7" s="196" t="s">
        <v>572</v>
      </c>
    </row>
    <row r="8" spans="1:9" ht="12.75" customHeight="1">
      <c r="A8" s="100"/>
      <c r="B8" s="82" t="s">
        <v>263</v>
      </c>
      <c r="C8" s="569"/>
      <c r="D8" s="569"/>
      <c r="E8" s="569"/>
      <c r="F8" s="569"/>
      <c r="G8" s="569"/>
      <c r="H8" s="597"/>
      <c r="I8" s="598"/>
    </row>
    <row r="9" spans="1:9" ht="12.75" customHeight="1" thickBot="1">
      <c r="A9" s="41">
        <v>3911</v>
      </c>
      <c r="B9" s="34" t="s">
        <v>186</v>
      </c>
      <c r="C9" s="977">
        <v>18400</v>
      </c>
      <c r="D9" s="977">
        <v>18400</v>
      </c>
      <c r="E9" s="977">
        <v>19173</v>
      </c>
      <c r="F9" s="977">
        <v>19173</v>
      </c>
      <c r="G9" s="977">
        <v>19173</v>
      </c>
      <c r="H9" s="1078">
        <f>SUM(G9/F9)</f>
        <v>1</v>
      </c>
      <c r="I9" s="570"/>
    </row>
    <row r="10" spans="1:9" ht="12.75" customHeight="1" thickBot="1">
      <c r="A10" s="62">
        <v>3910</v>
      </c>
      <c r="B10" s="35" t="s">
        <v>177</v>
      </c>
      <c r="C10" s="1030">
        <f>SUM(C9:C9)</f>
        <v>18400</v>
      </c>
      <c r="D10" s="1030">
        <f>SUM(D9:D9)</f>
        <v>18400</v>
      </c>
      <c r="E10" s="1030">
        <f>SUM(E9:E9)</f>
        <v>19173</v>
      </c>
      <c r="F10" s="1030">
        <f>SUM(F9:F9)</f>
        <v>19173</v>
      </c>
      <c r="G10" s="1030">
        <f>SUM(G9:G9)</f>
        <v>19173</v>
      </c>
      <c r="H10" s="1092">
        <f aca="true" t="shared" si="0" ref="H10">SUM(F10/E10)</f>
        <v>1</v>
      </c>
      <c r="I10" s="570"/>
    </row>
    <row r="11" spans="1:9" s="12" customFormat="1" ht="12.75" customHeight="1">
      <c r="A11" s="10"/>
      <c r="B11" s="37" t="s">
        <v>262</v>
      </c>
      <c r="C11" s="1031"/>
      <c r="D11" s="1031"/>
      <c r="E11" s="1031"/>
      <c r="F11" s="1031"/>
      <c r="G11" s="1031"/>
      <c r="H11" s="1208"/>
      <c r="I11" s="571"/>
    </row>
    <row r="12" spans="1:9" s="12" customFormat="1" ht="12.75" customHeight="1">
      <c r="A12" s="41">
        <v>3921</v>
      </c>
      <c r="B12" s="34" t="s">
        <v>488</v>
      </c>
      <c r="C12" s="1032">
        <v>6000</v>
      </c>
      <c r="D12" s="1032"/>
      <c r="E12" s="1032">
        <v>6400</v>
      </c>
      <c r="F12" s="1032">
        <v>6400</v>
      </c>
      <c r="G12" s="1032">
        <v>6400</v>
      </c>
      <c r="H12" s="1208">
        <f aca="true" t="shared" si="1" ref="H12:H69">SUM(G12/F12)</f>
        <v>1</v>
      </c>
      <c r="I12" s="572" t="s">
        <v>1092</v>
      </c>
    </row>
    <row r="13" spans="1:9" s="12" customFormat="1" ht="12.75" customHeight="1">
      <c r="A13" s="41">
        <v>3922</v>
      </c>
      <c r="B13" s="34" t="s">
        <v>487</v>
      </c>
      <c r="C13" s="1032">
        <v>8000</v>
      </c>
      <c r="D13" s="1032"/>
      <c r="E13" s="1032">
        <v>8200</v>
      </c>
      <c r="F13" s="1032">
        <v>8200</v>
      </c>
      <c r="G13" s="1032">
        <v>8200</v>
      </c>
      <c r="H13" s="1208">
        <f t="shared" si="1"/>
        <v>1</v>
      </c>
      <c r="I13" s="573" t="s">
        <v>1093</v>
      </c>
    </row>
    <row r="14" spans="1:9" s="12" customFormat="1" ht="12.75" customHeight="1">
      <c r="A14" s="41">
        <v>3924</v>
      </c>
      <c r="B14" s="34" t="s">
        <v>1144</v>
      </c>
      <c r="C14" s="1032">
        <v>3000</v>
      </c>
      <c r="D14" s="1032"/>
      <c r="E14" s="1032">
        <v>6000</v>
      </c>
      <c r="F14" s="1032">
        <v>9000</v>
      </c>
      <c r="G14" s="1032">
        <v>9000</v>
      </c>
      <c r="H14" s="1208">
        <f t="shared" si="1"/>
        <v>1</v>
      </c>
      <c r="I14" s="573"/>
    </row>
    <row r="15" spans="1:9" s="12" customFormat="1" ht="12.75" customHeight="1">
      <c r="A15" s="41">
        <v>3925</v>
      </c>
      <c r="B15" s="34" t="s">
        <v>26</v>
      </c>
      <c r="C15" s="1032">
        <v>808270</v>
      </c>
      <c r="D15" s="1032">
        <v>808270</v>
      </c>
      <c r="E15" s="1032">
        <v>778270</v>
      </c>
      <c r="F15" s="1032">
        <v>778270</v>
      </c>
      <c r="G15" s="1032">
        <v>778270</v>
      </c>
      <c r="H15" s="1208">
        <f t="shared" si="1"/>
        <v>1</v>
      </c>
      <c r="I15" s="1179" t="s">
        <v>1181</v>
      </c>
    </row>
    <row r="16" spans="1:9" s="12" customFormat="1" ht="12.75" customHeight="1">
      <c r="A16" s="41">
        <v>3927</v>
      </c>
      <c r="B16" s="34" t="s">
        <v>1150</v>
      </c>
      <c r="C16" s="1032">
        <v>3000</v>
      </c>
      <c r="D16" s="1032">
        <v>3000</v>
      </c>
      <c r="E16" s="1032">
        <v>3000</v>
      </c>
      <c r="F16" s="1032">
        <v>3000</v>
      </c>
      <c r="G16" s="1032">
        <v>3000</v>
      </c>
      <c r="H16" s="1208">
        <f t="shared" si="1"/>
        <v>1</v>
      </c>
      <c r="I16" s="577" t="s">
        <v>1094</v>
      </c>
    </row>
    <row r="17" spans="1:9" s="12" customFormat="1" ht="12.75" customHeight="1">
      <c r="A17" s="41">
        <v>3928</v>
      </c>
      <c r="B17" s="34" t="s">
        <v>153</v>
      </c>
      <c r="C17" s="1032">
        <f>SUM(C22+C18)</f>
        <v>257000</v>
      </c>
      <c r="D17" s="1032">
        <f>SUM(D22+D18)</f>
        <v>17000</v>
      </c>
      <c r="E17" s="1032">
        <f>SUM(E22+E18)</f>
        <v>329104</v>
      </c>
      <c r="F17" s="1032">
        <f>SUM(F22+F18)</f>
        <v>449104</v>
      </c>
      <c r="G17" s="1032">
        <f>SUM(G22+G18)</f>
        <v>449104</v>
      </c>
      <c r="H17" s="1208">
        <f t="shared" si="1"/>
        <v>1</v>
      </c>
      <c r="I17" s="713" t="s">
        <v>1094</v>
      </c>
    </row>
    <row r="18" spans="1:9" s="12" customFormat="1" ht="12.75" customHeight="1">
      <c r="A18" s="41"/>
      <c r="B18" s="188" t="s">
        <v>80</v>
      </c>
      <c r="C18" s="1033">
        <f>SUM(C19:C21)</f>
        <v>17000</v>
      </c>
      <c r="D18" s="1033">
        <f>SUM(D19:D21)</f>
        <v>17000</v>
      </c>
      <c r="E18" s="1033">
        <f>SUM(E19:E21)</f>
        <v>18306</v>
      </c>
      <c r="F18" s="1033">
        <f>SUM(F19:F21)</f>
        <v>18306</v>
      </c>
      <c r="G18" s="1033">
        <f>SUM(G19:G21)</f>
        <v>18306</v>
      </c>
      <c r="H18" s="1208">
        <f t="shared" si="1"/>
        <v>1</v>
      </c>
      <c r="I18" s="402"/>
    </row>
    <row r="19" spans="1:9" s="12" customFormat="1" ht="12.75" customHeight="1">
      <c r="A19" s="41"/>
      <c r="B19" s="188" t="s">
        <v>479</v>
      </c>
      <c r="C19" s="1033">
        <v>7000</v>
      </c>
      <c r="D19" s="1033">
        <v>7000</v>
      </c>
      <c r="E19" s="1033">
        <v>8306</v>
      </c>
      <c r="F19" s="1033">
        <v>8306</v>
      </c>
      <c r="G19" s="1033">
        <v>8306</v>
      </c>
      <c r="H19" s="1208">
        <f t="shared" si="1"/>
        <v>1</v>
      </c>
      <c r="I19" s="714"/>
    </row>
    <row r="20" spans="1:9" s="12" customFormat="1" ht="12.75" customHeight="1">
      <c r="A20" s="41"/>
      <c r="B20" s="188" t="s">
        <v>480</v>
      </c>
      <c r="C20" s="1033"/>
      <c r="D20" s="1033"/>
      <c r="E20" s="1033"/>
      <c r="F20" s="1033"/>
      <c r="G20" s="1033"/>
      <c r="H20" s="1208"/>
      <c r="I20" s="574"/>
    </row>
    <row r="21" spans="1:9" s="12" customFormat="1" ht="12.75" customHeight="1">
      <c r="A21" s="41"/>
      <c r="B21" s="188" t="s">
        <v>481</v>
      </c>
      <c r="C21" s="1033">
        <v>10000</v>
      </c>
      <c r="D21" s="1033">
        <v>10000</v>
      </c>
      <c r="E21" s="1033">
        <v>10000</v>
      </c>
      <c r="F21" s="1033">
        <v>10000</v>
      </c>
      <c r="G21" s="1033">
        <v>10000</v>
      </c>
      <c r="H21" s="1208">
        <f t="shared" si="1"/>
        <v>1</v>
      </c>
      <c r="I21" s="574"/>
    </row>
    <row r="22" spans="1:9" s="12" customFormat="1" ht="12.75" customHeight="1">
      <c r="A22" s="41"/>
      <c r="B22" s="188" t="s">
        <v>394</v>
      </c>
      <c r="C22" s="1033">
        <v>240000</v>
      </c>
      <c r="D22" s="1033"/>
      <c r="E22" s="1033">
        <v>310798</v>
      </c>
      <c r="F22" s="1033">
        <v>430798</v>
      </c>
      <c r="G22" s="1033">
        <v>430798</v>
      </c>
      <c r="H22" s="1208">
        <f t="shared" si="1"/>
        <v>1</v>
      </c>
      <c r="I22" s="574"/>
    </row>
    <row r="23" spans="1:9" s="12" customFormat="1" ht="12.75" customHeight="1" thickBot="1">
      <c r="A23" s="41">
        <v>3929</v>
      </c>
      <c r="B23" s="55" t="s">
        <v>287</v>
      </c>
      <c r="C23" s="1034">
        <v>10000</v>
      </c>
      <c r="D23" s="1034"/>
      <c r="E23" s="1034">
        <v>7200</v>
      </c>
      <c r="F23" s="1034">
        <v>7200</v>
      </c>
      <c r="G23" s="1034">
        <v>7200</v>
      </c>
      <c r="H23" s="1078">
        <f t="shared" si="1"/>
        <v>1</v>
      </c>
      <c r="I23" s="478" t="s">
        <v>1179</v>
      </c>
    </row>
    <row r="24" spans="1:9" s="12" customFormat="1" ht="12.75" customHeight="1" thickBot="1">
      <c r="A24" s="62">
        <v>3920</v>
      </c>
      <c r="B24" s="35" t="s">
        <v>177</v>
      </c>
      <c r="C24" s="1030">
        <f>SUM(C12:C17)+C23</f>
        <v>1095270</v>
      </c>
      <c r="D24" s="1030">
        <f>SUM(D12:D17)+D23</f>
        <v>828270</v>
      </c>
      <c r="E24" s="1030">
        <f>SUM(E12:E17)+E23</f>
        <v>1138174</v>
      </c>
      <c r="F24" s="1030">
        <f>SUM(F12:F17)+F23</f>
        <v>1261174</v>
      </c>
      <c r="G24" s="1030">
        <f>SUM(G12:G17)+G23</f>
        <v>1261174</v>
      </c>
      <c r="H24" s="1092">
        <f t="shared" si="1"/>
        <v>1</v>
      </c>
      <c r="I24" s="575"/>
    </row>
    <row r="25" spans="1:9" s="12" customFormat="1" ht="12.75" customHeight="1">
      <c r="A25" s="10"/>
      <c r="B25" s="37" t="s">
        <v>126</v>
      </c>
      <c r="C25" s="1031"/>
      <c r="D25" s="1031"/>
      <c r="E25" s="1031"/>
      <c r="F25" s="1031"/>
      <c r="G25" s="1031"/>
      <c r="H25" s="1208"/>
      <c r="I25" s="1182"/>
    </row>
    <row r="26" spans="1:9" s="12" customFormat="1" ht="12.75" customHeight="1">
      <c r="A26" s="65">
        <v>3931</v>
      </c>
      <c r="B26" s="83" t="s">
        <v>157</v>
      </c>
      <c r="C26" s="957">
        <v>5000</v>
      </c>
      <c r="D26" s="957">
        <v>5000</v>
      </c>
      <c r="E26" s="957">
        <v>2000</v>
      </c>
      <c r="F26" s="957">
        <v>2000</v>
      </c>
      <c r="G26" s="957">
        <v>2000</v>
      </c>
      <c r="H26" s="1208">
        <f t="shared" si="1"/>
        <v>1</v>
      </c>
      <c r="I26" s="713" t="s">
        <v>1175</v>
      </c>
    </row>
    <row r="27" spans="1:9" s="12" customFormat="1" ht="12.75" customHeight="1">
      <c r="A27" s="65">
        <v>3932</v>
      </c>
      <c r="B27" s="83" t="s">
        <v>1133</v>
      </c>
      <c r="C27" s="957">
        <v>12500</v>
      </c>
      <c r="D27" s="957">
        <v>12500</v>
      </c>
      <c r="E27" s="957">
        <v>12500</v>
      </c>
      <c r="F27" s="957">
        <v>12500</v>
      </c>
      <c r="G27" s="957">
        <v>12500</v>
      </c>
      <c r="H27" s="1208">
        <f t="shared" si="1"/>
        <v>1</v>
      </c>
      <c r="I27" s="713" t="s">
        <v>1175</v>
      </c>
    </row>
    <row r="28" spans="1:9" s="12" customFormat="1" ht="12.75" customHeight="1" thickBot="1">
      <c r="A28" s="65">
        <v>3934</v>
      </c>
      <c r="B28" s="83" t="s">
        <v>419</v>
      </c>
      <c r="C28" s="957">
        <v>5000</v>
      </c>
      <c r="D28" s="957">
        <v>5000</v>
      </c>
      <c r="E28" s="957">
        <v>5000</v>
      </c>
      <c r="F28" s="957">
        <v>5000</v>
      </c>
      <c r="G28" s="957">
        <v>5000</v>
      </c>
      <c r="H28" s="1078">
        <f t="shared" si="1"/>
        <v>1</v>
      </c>
      <c r="I28" s="478" t="s">
        <v>1175</v>
      </c>
    </row>
    <row r="29" spans="1:9" s="12" customFormat="1" ht="12.75" customHeight="1" thickBot="1">
      <c r="A29" s="62">
        <v>3930</v>
      </c>
      <c r="B29" s="35" t="s">
        <v>177</v>
      </c>
      <c r="C29" s="1030">
        <f>SUM(C26:C28)</f>
        <v>22500</v>
      </c>
      <c r="D29" s="1030">
        <f>SUM(D26:D28)</f>
        <v>22500</v>
      </c>
      <c r="E29" s="1030">
        <f>SUM(E26:E28)</f>
        <v>19500</v>
      </c>
      <c r="F29" s="1030">
        <f>SUM(F26:F28)</f>
        <v>19500</v>
      </c>
      <c r="G29" s="1030">
        <f>SUM(G26:G28)</f>
        <v>19500</v>
      </c>
      <c r="H29" s="1092">
        <f t="shared" si="1"/>
        <v>1</v>
      </c>
      <c r="I29" s="578"/>
    </row>
    <row r="30" spans="1:9" ht="12.75" customHeight="1">
      <c r="A30" s="10"/>
      <c r="B30" s="37" t="s">
        <v>56</v>
      </c>
      <c r="C30" s="1035"/>
      <c r="D30" s="1035"/>
      <c r="E30" s="1035"/>
      <c r="F30" s="1035"/>
      <c r="G30" s="1035"/>
      <c r="H30" s="1208"/>
      <c r="I30" s="579"/>
    </row>
    <row r="31" spans="1:9" ht="12.75" customHeight="1">
      <c r="A31" s="41">
        <v>3941</v>
      </c>
      <c r="B31" s="34" t="s">
        <v>473</v>
      </c>
      <c r="C31" s="1032">
        <v>350160</v>
      </c>
      <c r="D31" s="1032">
        <v>350160</v>
      </c>
      <c r="E31" s="1032">
        <v>350160</v>
      </c>
      <c r="F31" s="1032">
        <v>350160</v>
      </c>
      <c r="G31" s="1032">
        <v>350160</v>
      </c>
      <c r="H31" s="1208">
        <f t="shared" si="1"/>
        <v>1</v>
      </c>
      <c r="I31" s="1179" t="s">
        <v>1182</v>
      </c>
    </row>
    <row r="32" spans="1:9" ht="12.75" customHeight="1">
      <c r="A32" s="41">
        <v>3942</v>
      </c>
      <c r="B32" s="34" t="s">
        <v>422</v>
      </c>
      <c r="C32" s="1032">
        <v>8000</v>
      </c>
      <c r="D32" s="1032"/>
      <c r="E32" s="1032"/>
      <c r="F32" s="1032">
        <v>8000</v>
      </c>
      <c r="G32" s="1032">
        <v>8000</v>
      </c>
      <c r="H32" s="1208">
        <f t="shared" si="1"/>
        <v>1</v>
      </c>
      <c r="I32" s="573" t="s">
        <v>1095</v>
      </c>
    </row>
    <row r="33" spans="1:9" ht="12.75" customHeight="1">
      <c r="A33" s="41">
        <v>3943</v>
      </c>
      <c r="B33" s="34" t="s">
        <v>6</v>
      </c>
      <c r="C33" s="1032">
        <f>SUM(C34:C37)</f>
        <v>1000</v>
      </c>
      <c r="D33" s="1032">
        <f>SUM(D34:D37)</f>
        <v>1000</v>
      </c>
      <c r="E33" s="1032">
        <f>SUM(E34:E37)</f>
        <v>1000</v>
      </c>
      <c r="F33" s="1032">
        <f>SUM(F34:F37)</f>
        <v>1000</v>
      </c>
      <c r="G33" s="1032">
        <f>SUM(G34:G37)</f>
        <v>1000</v>
      </c>
      <c r="H33" s="1208">
        <f t="shared" si="1"/>
        <v>1</v>
      </c>
      <c r="I33" s="573" t="s">
        <v>1095</v>
      </c>
    </row>
    <row r="34" spans="1:9" ht="12.75" customHeight="1">
      <c r="A34" s="41"/>
      <c r="B34" s="188" t="s">
        <v>395</v>
      </c>
      <c r="C34" s="1033">
        <v>350</v>
      </c>
      <c r="D34" s="1033">
        <v>350</v>
      </c>
      <c r="E34" s="1033">
        <v>350</v>
      </c>
      <c r="F34" s="1033">
        <v>350</v>
      </c>
      <c r="G34" s="1033">
        <v>350</v>
      </c>
      <c r="H34" s="1208">
        <f t="shared" si="1"/>
        <v>1</v>
      </c>
      <c r="I34" s="573"/>
    </row>
    <row r="35" spans="1:9" ht="12.75" customHeight="1">
      <c r="A35" s="41"/>
      <c r="B35" s="188" t="s">
        <v>396</v>
      </c>
      <c r="C35" s="1033">
        <v>150</v>
      </c>
      <c r="D35" s="1033">
        <v>150</v>
      </c>
      <c r="E35" s="1033">
        <v>150</v>
      </c>
      <c r="F35" s="1033">
        <v>150</v>
      </c>
      <c r="G35" s="1033">
        <v>150</v>
      </c>
      <c r="H35" s="1208">
        <f t="shared" si="1"/>
        <v>1</v>
      </c>
      <c r="I35" s="573"/>
    </row>
    <row r="36" spans="1:9" ht="12.75" customHeight="1">
      <c r="A36" s="41"/>
      <c r="B36" s="683" t="s">
        <v>101</v>
      </c>
      <c r="C36" s="1033"/>
      <c r="D36" s="1033"/>
      <c r="E36" s="1033"/>
      <c r="F36" s="1033"/>
      <c r="G36" s="1033">
        <v>175</v>
      </c>
      <c r="H36" s="1208"/>
      <c r="I36" s="573"/>
    </row>
    <row r="37" spans="1:9" ht="12.75" customHeight="1">
      <c r="A37" s="41"/>
      <c r="B37" s="683" t="s">
        <v>394</v>
      </c>
      <c r="C37" s="1033">
        <v>500</v>
      </c>
      <c r="D37" s="1033">
        <v>500</v>
      </c>
      <c r="E37" s="1033">
        <v>500</v>
      </c>
      <c r="F37" s="1033">
        <v>500</v>
      </c>
      <c r="G37" s="1033">
        <f>500-175</f>
        <v>325</v>
      </c>
      <c r="H37" s="1208">
        <f t="shared" si="1"/>
        <v>0.65</v>
      </c>
      <c r="I37" s="713"/>
    </row>
    <row r="38" spans="1:9" ht="12.75" customHeight="1">
      <c r="A38" s="41">
        <v>3944</v>
      </c>
      <c r="B38" s="83" t="s">
        <v>420</v>
      </c>
      <c r="C38" s="957">
        <v>20000</v>
      </c>
      <c r="D38" s="957">
        <v>20000</v>
      </c>
      <c r="E38" s="957">
        <v>20000</v>
      </c>
      <c r="F38" s="957">
        <v>20000</v>
      </c>
      <c r="G38" s="957">
        <v>20000</v>
      </c>
      <c r="H38" s="1208">
        <f t="shared" si="1"/>
        <v>1</v>
      </c>
      <c r="I38" s="713" t="s">
        <v>1174</v>
      </c>
    </row>
    <row r="39" spans="1:9" ht="12.75" customHeight="1" thickBot="1">
      <c r="A39" s="41">
        <v>3945</v>
      </c>
      <c r="B39" s="83" t="s">
        <v>1072</v>
      </c>
      <c r="C39" s="1034">
        <v>15000</v>
      </c>
      <c r="D39" s="1034">
        <v>15000</v>
      </c>
      <c r="E39" s="1034">
        <v>21000</v>
      </c>
      <c r="F39" s="1034">
        <v>21000</v>
      </c>
      <c r="G39" s="1034">
        <v>21000</v>
      </c>
      <c r="H39" s="1078">
        <f t="shared" si="1"/>
        <v>1</v>
      </c>
      <c r="I39" s="478" t="s">
        <v>1095</v>
      </c>
    </row>
    <row r="40" spans="1:9" s="12" customFormat="1" ht="12.75" customHeight="1" thickBot="1">
      <c r="A40" s="62">
        <v>3940</v>
      </c>
      <c r="B40" s="35" t="s">
        <v>175</v>
      </c>
      <c r="C40" s="1030">
        <f>SUM(C31:C33)+C38+C39</f>
        <v>394160</v>
      </c>
      <c r="D40" s="1030">
        <f>SUM(D31:D33)+D38+D39</f>
        <v>386160</v>
      </c>
      <c r="E40" s="1030">
        <f>SUM(E31:E33)+E38+E39</f>
        <v>392160</v>
      </c>
      <c r="F40" s="1030">
        <f>SUM(F31:F33)+F38+F39</f>
        <v>400160</v>
      </c>
      <c r="G40" s="1030">
        <f>SUM(G31:G33)+G38+G39</f>
        <v>400160</v>
      </c>
      <c r="H40" s="1092">
        <f t="shared" si="1"/>
        <v>1</v>
      </c>
      <c r="I40" s="580"/>
    </row>
    <row r="41" spans="1:9" s="12" customFormat="1" ht="12.75" customHeight="1">
      <c r="A41" s="199"/>
      <c r="B41" s="200" t="s">
        <v>55</v>
      </c>
      <c r="C41" s="1036"/>
      <c r="D41" s="1036"/>
      <c r="E41" s="1036"/>
      <c r="F41" s="1036"/>
      <c r="G41" s="1036"/>
      <c r="H41" s="1208"/>
      <c r="I41" s="581"/>
    </row>
    <row r="42" spans="1:9" s="12" customFormat="1" ht="12.75" customHeight="1">
      <c r="A42" s="64">
        <v>3961</v>
      </c>
      <c r="B42" s="80" t="s">
        <v>398</v>
      </c>
      <c r="C42" s="976">
        <v>217170</v>
      </c>
      <c r="D42" s="976">
        <v>217170</v>
      </c>
      <c r="E42" s="976">
        <v>233970</v>
      </c>
      <c r="F42" s="976">
        <v>233970</v>
      </c>
      <c r="G42" s="976">
        <v>233970</v>
      </c>
      <c r="H42" s="1208">
        <f t="shared" si="1"/>
        <v>1</v>
      </c>
      <c r="I42" s="682"/>
    </row>
    <row r="43" spans="1:9" s="12" customFormat="1" ht="12.75" customHeight="1">
      <c r="A43" s="64">
        <v>3962</v>
      </c>
      <c r="B43" s="287" t="s">
        <v>1014</v>
      </c>
      <c r="C43" s="976"/>
      <c r="D43" s="976"/>
      <c r="E43" s="976"/>
      <c r="F43" s="976"/>
      <c r="G43" s="976"/>
      <c r="H43" s="1208"/>
      <c r="I43" s="731"/>
    </row>
    <row r="44" spans="1:9" s="12" customFormat="1" ht="12.75" customHeight="1">
      <c r="A44" s="64">
        <v>3963</v>
      </c>
      <c r="B44" s="287" t="s">
        <v>498</v>
      </c>
      <c r="C44" s="976"/>
      <c r="D44" s="976"/>
      <c r="E44" s="976">
        <v>3352</v>
      </c>
      <c r="F44" s="976">
        <v>3352</v>
      </c>
      <c r="G44" s="976">
        <v>3352</v>
      </c>
      <c r="H44" s="1208">
        <f t="shared" si="1"/>
        <v>1</v>
      </c>
      <c r="I44" s="682"/>
    </row>
    <row r="45" spans="1:9" s="12" customFormat="1" ht="12.75" customHeight="1" thickBot="1">
      <c r="A45" s="64">
        <v>3972</v>
      </c>
      <c r="B45" s="204" t="s">
        <v>423</v>
      </c>
      <c r="C45" s="976">
        <v>27500</v>
      </c>
      <c r="D45" s="976"/>
      <c r="E45" s="976">
        <v>19850</v>
      </c>
      <c r="F45" s="976">
        <v>19850</v>
      </c>
      <c r="G45" s="976">
        <v>19850</v>
      </c>
      <c r="H45" s="1078">
        <f t="shared" si="1"/>
        <v>1</v>
      </c>
      <c r="I45" s="572" t="s">
        <v>1096</v>
      </c>
    </row>
    <row r="46" spans="1:9" s="12" customFormat="1" ht="12.75" customHeight="1" thickBot="1">
      <c r="A46" s="201">
        <v>3970</v>
      </c>
      <c r="B46" s="202" t="s">
        <v>152</v>
      </c>
      <c r="C46" s="1037">
        <f>SUM(C42:C45)</f>
        <v>244670</v>
      </c>
      <c r="D46" s="1037">
        <f>SUM(D42:D45)</f>
        <v>217170</v>
      </c>
      <c r="E46" s="1037">
        <f>SUM(E42:E45)</f>
        <v>257172</v>
      </c>
      <c r="F46" s="1037">
        <f>SUM(F42:F45)</f>
        <v>257172</v>
      </c>
      <c r="G46" s="1037">
        <f>SUM(G42:G45)</f>
        <v>257172</v>
      </c>
      <c r="H46" s="1092">
        <f t="shared" si="1"/>
        <v>1</v>
      </c>
      <c r="I46" s="580"/>
    </row>
    <row r="47" spans="1:9" s="12" customFormat="1" ht="12.75" customHeight="1">
      <c r="A47" s="203"/>
      <c r="B47" s="205" t="s">
        <v>261</v>
      </c>
      <c r="C47" s="1036"/>
      <c r="D47" s="1036"/>
      <c r="E47" s="1036"/>
      <c r="F47" s="1036"/>
      <c r="G47" s="1036"/>
      <c r="H47" s="1208"/>
      <c r="I47" s="571"/>
    </row>
    <row r="48" spans="1:9" s="12" customFormat="1" ht="12.75" customHeight="1">
      <c r="A48" s="64">
        <v>3988</v>
      </c>
      <c r="B48" s="80" t="s">
        <v>16</v>
      </c>
      <c r="C48" s="976">
        <v>800</v>
      </c>
      <c r="D48" s="976">
        <v>800</v>
      </c>
      <c r="E48" s="976">
        <v>800</v>
      </c>
      <c r="F48" s="976">
        <v>800</v>
      </c>
      <c r="G48" s="976">
        <f>800+385</f>
        <v>1185</v>
      </c>
      <c r="H48" s="1208">
        <f t="shared" si="1"/>
        <v>1.48125</v>
      </c>
      <c r="I48" s="582"/>
    </row>
    <row r="49" spans="1:9" s="12" customFormat="1" ht="12.75" customHeight="1">
      <c r="A49" s="64">
        <v>3989</v>
      </c>
      <c r="B49" s="80" t="s">
        <v>360</v>
      </c>
      <c r="C49" s="976">
        <v>6000</v>
      </c>
      <c r="D49" s="976">
        <v>6000</v>
      </c>
      <c r="E49" s="976">
        <v>6000</v>
      </c>
      <c r="F49" s="976">
        <v>6000</v>
      </c>
      <c r="G49" s="976">
        <v>6000</v>
      </c>
      <c r="H49" s="1208">
        <f t="shared" si="1"/>
        <v>1</v>
      </c>
      <c r="I49" s="572" t="s">
        <v>1096</v>
      </c>
    </row>
    <row r="50" spans="1:9" s="12" customFormat="1" ht="12.75" customHeight="1">
      <c r="A50" s="65">
        <v>3990</v>
      </c>
      <c r="B50" s="83" t="s">
        <v>309</v>
      </c>
      <c r="C50" s="957">
        <v>1000</v>
      </c>
      <c r="D50" s="957">
        <v>1000</v>
      </c>
      <c r="E50" s="957">
        <v>1000</v>
      </c>
      <c r="F50" s="957">
        <v>1000</v>
      </c>
      <c r="G50" s="957">
        <f>1000+769</f>
        <v>1769</v>
      </c>
      <c r="H50" s="1208">
        <f t="shared" si="1"/>
        <v>1.769</v>
      </c>
      <c r="I50" s="582"/>
    </row>
    <row r="51" spans="1:9" s="12" customFormat="1" ht="12.75" customHeight="1">
      <c r="A51" s="65">
        <v>3991</v>
      </c>
      <c r="B51" s="83" t="s">
        <v>354</v>
      </c>
      <c r="C51" s="957">
        <v>4820</v>
      </c>
      <c r="D51" s="957">
        <v>4820</v>
      </c>
      <c r="E51" s="957">
        <v>4820</v>
      </c>
      <c r="F51" s="957">
        <v>4820</v>
      </c>
      <c r="G51" s="957">
        <v>4820</v>
      </c>
      <c r="H51" s="1208">
        <f t="shared" si="1"/>
        <v>1</v>
      </c>
      <c r="I51" s="582"/>
    </row>
    <row r="52" spans="1:9" s="12" customFormat="1" ht="12.75" customHeight="1">
      <c r="A52" s="65">
        <v>3992</v>
      </c>
      <c r="B52" s="83" t="s">
        <v>310</v>
      </c>
      <c r="C52" s="957">
        <v>1400</v>
      </c>
      <c r="D52" s="957">
        <v>1400</v>
      </c>
      <c r="E52" s="957">
        <v>1400</v>
      </c>
      <c r="F52" s="957">
        <v>1400</v>
      </c>
      <c r="G52" s="957">
        <v>1400</v>
      </c>
      <c r="H52" s="1208">
        <f t="shared" si="1"/>
        <v>1</v>
      </c>
      <c r="I52" s="582"/>
    </row>
    <row r="53" spans="1:9" s="12" customFormat="1" ht="12.75" customHeight="1">
      <c r="A53" s="65">
        <v>3993</v>
      </c>
      <c r="B53" s="83" t="s">
        <v>311</v>
      </c>
      <c r="C53" s="957">
        <v>900</v>
      </c>
      <c r="D53" s="957">
        <v>900</v>
      </c>
      <c r="E53" s="957">
        <v>900</v>
      </c>
      <c r="F53" s="957">
        <v>900</v>
      </c>
      <c r="G53" s="957">
        <v>900</v>
      </c>
      <c r="H53" s="1208">
        <f t="shared" si="1"/>
        <v>1</v>
      </c>
      <c r="I53" s="582"/>
    </row>
    <row r="54" spans="1:9" s="12" customFormat="1" ht="12.75" customHeight="1">
      <c r="A54" s="65">
        <v>3994</v>
      </c>
      <c r="B54" s="83" t="s">
        <v>103</v>
      </c>
      <c r="C54" s="957">
        <v>900</v>
      </c>
      <c r="D54" s="957">
        <v>900</v>
      </c>
      <c r="E54" s="957">
        <v>900</v>
      </c>
      <c r="F54" s="957">
        <v>900</v>
      </c>
      <c r="G54" s="957">
        <v>900</v>
      </c>
      <c r="H54" s="1208">
        <f t="shared" si="1"/>
        <v>1</v>
      </c>
      <c r="I54" s="726"/>
    </row>
    <row r="55" spans="1:9" s="12" customFormat="1" ht="12.75" customHeight="1">
      <c r="A55" s="65">
        <v>3995</v>
      </c>
      <c r="B55" s="83" t="s">
        <v>104</v>
      </c>
      <c r="C55" s="957">
        <v>900</v>
      </c>
      <c r="D55" s="957">
        <v>900</v>
      </c>
      <c r="E55" s="957">
        <v>900</v>
      </c>
      <c r="F55" s="957">
        <v>900</v>
      </c>
      <c r="G55" s="957">
        <v>900</v>
      </c>
      <c r="H55" s="1208">
        <f t="shared" si="1"/>
        <v>1</v>
      </c>
      <c r="I55" s="726"/>
    </row>
    <row r="56" spans="1:9" s="12" customFormat="1" ht="12.75" customHeight="1">
      <c r="A56" s="65">
        <v>3997</v>
      </c>
      <c r="B56" s="83" t="s">
        <v>105</v>
      </c>
      <c r="C56" s="957">
        <v>900</v>
      </c>
      <c r="D56" s="957">
        <v>900</v>
      </c>
      <c r="E56" s="957">
        <v>900</v>
      </c>
      <c r="F56" s="957">
        <v>900</v>
      </c>
      <c r="G56" s="957">
        <v>900</v>
      </c>
      <c r="H56" s="1208">
        <f t="shared" si="1"/>
        <v>1</v>
      </c>
      <c r="I56" s="582"/>
    </row>
    <row r="57" spans="1:9" s="12" customFormat="1" ht="12.75" customHeight="1">
      <c r="A57" s="65">
        <v>3998</v>
      </c>
      <c r="B57" s="83" t="s">
        <v>106</v>
      </c>
      <c r="C57" s="957">
        <v>900</v>
      </c>
      <c r="D57" s="957">
        <v>900</v>
      </c>
      <c r="E57" s="957">
        <v>900</v>
      </c>
      <c r="F57" s="957">
        <v>900</v>
      </c>
      <c r="G57" s="957">
        <f>900+224</f>
        <v>1124</v>
      </c>
      <c r="H57" s="1208">
        <f t="shared" si="1"/>
        <v>1.248888888888889</v>
      </c>
      <c r="I57" s="582"/>
    </row>
    <row r="58" spans="1:9" s="12" customFormat="1" ht="12.75" customHeight="1" thickBot="1">
      <c r="A58" s="97">
        <v>3999</v>
      </c>
      <c r="B58" s="83" t="s">
        <v>107</v>
      </c>
      <c r="C58" s="957">
        <v>1000</v>
      </c>
      <c r="D58" s="957">
        <v>1000</v>
      </c>
      <c r="E58" s="957">
        <v>1000</v>
      </c>
      <c r="F58" s="957">
        <v>1000</v>
      </c>
      <c r="G58" s="957">
        <v>1000</v>
      </c>
      <c r="H58" s="1078">
        <f t="shared" si="1"/>
        <v>1</v>
      </c>
      <c r="I58" s="582"/>
    </row>
    <row r="59" spans="1:9" s="12" customFormat="1" ht="12.75" customHeight="1" thickBot="1">
      <c r="A59" s="62"/>
      <c r="B59" s="35" t="s">
        <v>152</v>
      </c>
      <c r="C59" s="1030">
        <f>SUM(C48:C58)</f>
        <v>19520</v>
      </c>
      <c r="D59" s="1030">
        <f>SUM(D48:D58)</f>
        <v>19520</v>
      </c>
      <c r="E59" s="1030">
        <f>SUM(E48:E58)</f>
        <v>19520</v>
      </c>
      <c r="F59" s="1030">
        <f>SUM(F48:F58)</f>
        <v>19520</v>
      </c>
      <c r="G59" s="1030">
        <f>SUM(G48:G58)</f>
        <v>20898</v>
      </c>
      <c r="H59" s="1063">
        <f t="shared" si="1"/>
        <v>1.070594262295082</v>
      </c>
      <c r="I59" s="580"/>
    </row>
    <row r="60" spans="1:9" s="12" customFormat="1" ht="12.75" customHeight="1" thickBot="1">
      <c r="A60" s="62">
        <v>3900</v>
      </c>
      <c r="B60" s="35" t="s">
        <v>146</v>
      </c>
      <c r="C60" s="1030">
        <f>C40+C24+C10+C29+C46+C59</f>
        <v>1794520</v>
      </c>
      <c r="D60" s="1030">
        <f>D40+D24+D10+D29+D46+D59</f>
        <v>1492020</v>
      </c>
      <c r="E60" s="1030">
        <f>E40+E24+E10+E29+E46+E59</f>
        <v>1845699</v>
      </c>
      <c r="F60" s="1030">
        <f>F40+F24+F10+F29+F46+F59</f>
        <v>1976699</v>
      </c>
      <c r="G60" s="1030">
        <f>G40+G24+G10+G29+G46+G59</f>
        <v>1978077</v>
      </c>
      <c r="H60" s="1063">
        <f t="shared" si="1"/>
        <v>1.0006971218177376</v>
      </c>
      <c r="I60" s="580"/>
    </row>
    <row r="61" spans="1:9" s="12" customFormat="1" ht="12.75" customHeight="1">
      <c r="A61" s="45"/>
      <c r="B61" s="80" t="s">
        <v>172</v>
      </c>
      <c r="C61" s="957">
        <f aca="true" t="shared" si="2" ref="C61:E62">SUM(C34)</f>
        <v>350</v>
      </c>
      <c r="D61" s="957">
        <f t="shared" si="2"/>
        <v>350</v>
      </c>
      <c r="E61" s="957">
        <f t="shared" si="2"/>
        <v>350</v>
      </c>
      <c r="F61" s="957">
        <f>SUM(F34)</f>
        <v>350</v>
      </c>
      <c r="G61" s="957">
        <f aca="true" t="shared" si="3" ref="G61">SUM(G34)</f>
        <v>350</v>
      </c>
      <c r="H61" s="1208">
        <f t="shared" si="1"/>
        <v>1</v>
      </c>
      <c r="I61" s="576"/>
    </row>
    <row r="62" spans="1:9" s="12" customFormat="1" ht="12.75" customHeight="1">
      <c r="A62" s="45"/>
      <c r="B62" s="23" t="s">
        <v>110</v>
      </c>
      <c r="C62" s="957">
        <f t="shared" si="2"/>
        <v>150</v>
      </c>
      <c r="D62" s="957">
        <f t="shared" si="2"/>
        <v>150</v>
      </c>
      <c r="E62" s="957">
        <f t="shared" si="2"/>
        <v>150</v>
      </c>
      <c r="F62" s="957">
        <f>SUM(F35)</f>
        <v>150</v>
      </c>
      <c r="G62" s="957">
        <f aca="true" t="shared" si="4" ref="G62">SUM(G35)</f>
        <v>150</v>
      </c>
      <c r="H62" s="1208">
        <f t="shared" si="1"/>
        <v>1</v>
      </c>
      <c r="I62" s="576"/>
    </row>
    <row r="63" spans="1:9" s="12" customFormat="1" ht="12.75" customHeight="1">
      <c r="A63" s="45"/>
      <c r="B63" s="80" t="s">
        <v>295</v>
      </c>
      <c r="C63" s="957">
        <f>SUM(C19)</f>
        <v>7000</v>
      </c>
      <c r="D63" s="957">
        <f>SUM(D19)</f>
        <v>7000</v>
      </c>
      <c r="E63" s="957">
        <f>SUM(E19)</f>
        <v>8306</v>
      </c>
      <c r="F63" s="957">
        <f>SUM(F19)</f>
        <v>8306</v>
      </c>
      <c r="G63" s="957">
        <f>SUM(G19)</f>
        <v>8306</v>
      </c>
      <c r="H63" s="1208">
        <f t="shared" si="1"/>
        <v>1</v>
      </c>
      <c r="I63" s="576"/>
    </row>
    <row r="64" spans="1:9" s="12" customFormat="1" ht="12.75" customHeight="1">
      <c r="A64" s="44"/>
      <c r="B64" s="23" t="s">
        <v>293</v>
      </c>
      <c r="C64" s="1032">
        <f>SUM(C10+C24+C29+C40+C46+C59)-C68-C61-C62-C63-C67</f>
        <v>1467120</v>
      </c>
      <c r="D64" s="1032">
        <f>SUM(D10+D24+D29+D40+D46+D59)-D68-D61-D62-D63-D67</f>
        <v>1417620</v>
      </c>
      <c r="E64" s="1032">
        <f>SUM(E10+E24+E29+E40+E46+E59)-E68-E61-E62-E63-E67</f>
        <v>1445222</v>
      </c>
      <c r="F64" s="1032">
        <f>SUM(F10+F24+F29+F40+F46+F59)-F68-F61-F62-F63-F67</f>
        <v>1456222</v>
      </c>
      <c r="G64" s="1032">
        <f>SUM(G10+G24+G29+G40+G46+G59)-G68-G61-G62-G63-G67</f>
        <v>1457775</v>
      </c>
      <c r="H64" s="1208">
        <f t="shared" si="1"/>
        <v>1.0010664582735325</v>
      </c>
      <c r="I64" s="576"/>
    </row>
    <row r="65" spans="1:9" s="12" customFormat="1" ht="12.75" customHeight="1">
      <c r="A65" s="44"/>
      <c r="B65" s="1298" t="s">
        <v>1303</v>
      </c>
      <c r="C65" s="1032"/>
      <c r="D65" s="1032"/>
      <c r="E65" s="1032"/>
      <c r="F65" s="1032"/>
      <c r="G65" s="1033">
        <v>29898</v>
      </c>
      <c r="H65" s="1208"/>
      <c r="I65" s="576"/>
    </row>
    <row r="66" spans="1:9" s="12" customFormat="1" ht="12.75" customHeight="1">
      <c r="A66" s="44"/>
      <c r="B66" s="1298" t="s">
        <v>1304</v>
      </c>
      <c r="C66" s="1032"/>
      <c r="D66" s="1032"/>
      <c r="E66" s="1032"/>
      <c r="F66" s="1032"/>
      <c r="G66" s="1033">
        <v>1427877</v>
      </c>
      <c r="H66" s="1208"/>
      <c r="I66" s="576"/>
    </row>
    <row r="67" spans="1:9" s="12" customFormat="1" ht="12.75" customHeight="1">
      <c r="A67" s="44"/>
      <c r="B67" s="23" t="s">
        <v>21</v>
      </c>
      <c r="C67" s="1032">
        <f>SUM(C21)</f>
        <v>10000</v>
      </c>
      <c r="D67" s="1032">
        <f>SUM(D21)</f>
        <v>10000</v>
      </c>
      <c r="E67" s="1032">
        <f>SUM(E21)</f>
        <v>10000</v>
      </c>
      <c r="F67" s="1032">
        <f>SUM(F21)</f>
        <v>10000</v>
      </c>
      <c r="G67" s="1032">
        <f>SUM(G21)</f>
        <v>10000</v>
      </c>
      <c r="H67" s="1208">
        <f t="shared" si="1"/>
        <v>1</v>
      </c>
      <c r="I67" s="576"/>
    </row>
    <row r="68" spans="1:9" s="12" customFormat="1" ht="12.75" customHeight="1">
      <c r="A68" s="44"/>
      <c r="B68" s="87" t="s">
        <v>1302</v>
      </c>
      <c r="C68" s="1032">
        <f>SUM(C9+C23+C22+C37+C38+C39+C16+C14)</f>
        <v>309900</v>
      </c>
      <c r="D68" s="1032">
        <f>SUM(D9+D23+D22+D37+D38+D39+D16+D14)</f>
        <v>56900</v>
      </c>
      <c r="E68" s="1032">
        <f>SUM(E9+E23+E22+E37+E38+E39+E16)</f>
        <v>381671</v>
      </c>
      <c r="F68" s="1032">
        <f>SUM(F9+F23+F22+F37+F38+F39+F16)</f>
        <v>501671</v>
      </c>
      <c r="G68" s="1032">
        <f>SUM(G9+G23+G22+G37+G38+G39+G16)</f>
        <v>501496</v>
      </c>
      <c r="H68" s="1208">
        <f t="shared" si="1"/>
        <v>0.9996511658038835</v>
      </c>
      <c r="I68" s="583"/>
    </row>
    <row r="69" spans="1:9" s="12" customFormat="1" ht="12.75" customHeight="1">
      <c r="A69" s="215"/>
      <c r="B69" s="216" t="s">
        <v>499</v>
      </c>
      <c r="C69" s="1038">
        <f>SUM(C61:C68)</f>
        <v>1794520</v>
      </c>
      <c r="D69" s="1038">
        <f>SUM(D61:D68)</f>
        <v>1492020</v>
      </c>
      <c r="E69" s="1038">
        <f>SUM(E61:E68)</f>
        <v>1845699</v>
      </c>
      <c r="F69" s="1038">
        <f>SUM(F61:F68)</f>
        <v>1976699</v>
      </c>
      <c r="G69" s="1038">
        <f>SUM(G61:G68)-G65-G66</f>
        <v>1978077</v>
      </c>
      <c r="H69" s="186">
        <f t="shared" si="1"/>
        <v>1.0006971218177376</v>
      </c>
      <c r="I69" s="583"/>
    </row>
    <row r="70" spans="1:9" ht="12.95" customHeight="1">
      <c r="A70" s="39"/>
      <c r="B70" s="40"/>
      <c r="C70" s="17"/>
      <c r="D70" s="17"/>
      <c r="E70" s="17"/>
      <c r="F70" s="17"/>
      <c r="G70" s="17"/>
      <c r="H70" s="17"/>
      <c r="I70" s="40"/>
    </row>
    <row r="71" ht="12.95" customHeight="1">
      <c r="A71" s="54"/>
    </row>
  </sheetData>
  <mergeCells count="8">
    <mergeCell ref="H4:H6"/>
    <mergeCell ref="A2:I2"/>
    <mergeCell ref="A1:I1"/>
    <mergeCell ref="C4:C6"/>
    <mergeCell ref="D4:D6"/>
    <mergeCell ref="E4:E6"/>
    <mergeCell ref="F4:F6"/>
    <mergeCell ref="G4:G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Zeros="0" view="pageBreakPreview" zoomScale="60" workbookViewId="0" topLeftCell="A19">
      <selection activeCell="A69" sqref="A69:XFD69"/>
    </sheetView>
  </sheetViews>
  <sheetFormatPr defaultColWidth="9.125" defaultRowHeight="12.75" customHeight="1"/>
  <cols>
    <col min="1" max="1" width="5.875" style="39" customWidth="1"/>
    <col min="2" max="2" width="66.125" style="40" customWidth="1"/>
    <col min="3" max="7" width="12.125" style="46" customWidth="1"/>
    <col min="8" max="8" width="9.125" style="46" customWidth="1"/>
    <col min="9" max="9" width="66.875" style="40" customWidth="1"/>
    <col min="10" max="16384" width="9.125" style="40" customWidth="1"/>
  </cols>
  <sheetData>
    <row r="1" spans="1:9" s="15" customFormat="1" ht="12.95" customHeight="1">
      <c r="A1" s="1357" t="s">
        <v>147</v>
      </c>
      <c r="B1" s="1355"/>
      <c r="C1" s="1355"/>
      <c r="D1" s="1355"/>
      <c r="E1" s="1355"/>
      <c r="F1" s="1355"/>
      <c r="G1" s="1355"/>
      <c r="H1" s="1355"/>
      <c r="I1" s="1355"/>
    </row>
    <row r="2" spans="1:9" s="15" customFormat="1" ht="12.95" customHeight="1">
      <c r="A2" s="1358" t="s">
        <v>1141</v>
      </c>
      <c r="B2" s="1359"/>
      <c r="C2" s="1359"/>
      <c r="D2" s="1359"/>
      <c r="E2" s="1359"/>
      <c r="F2" s="1359"/>
      <c r="G2" s="1359"/>
      <c r="H2" s="1359"/>
      <c r="I2" s="1359"/>
    </row>
    <row r="3" spans="1:9" ht="10.5" customHeight="1">
      <c r="A3" s="346"/>
      <c r="B3" s="345"/>
      <c r="C3" s="488"/>
      <c r="D3" s="488"/>
      <c r="E3" s="488"/>
      <c r="F3" s="488"/>
      <c r="G3" s="488"/>
      <c r="H3" s="488"/>
      <c r="I3" s="489" t="s">
        <v>181</v>
      </c>
    </row>
    <row r="4" spans="1:9" ht="12.95" customHeight="1">
      <c r="A4" s="479"/>
      <c r="B4" s="490"/>
      <c r="C4" s="1331" t="s">
        <v>1193</v>
      </c>
      <c r="D4" s="1331" t="s">
        <v>1227</v>
      </c>
      <c r="E4" s="1331" t="s">
        <v>1266</v>
      </c>
      <c r="F4" s="1331" t="s">
        <v>1275</v>
      </c>
      <c r="G4" s="1331" t="s">
        <v>1285</v>
      </c>
      <c r="H4" s="1331" t="s">
        <v>1281</v>
      </c>
      <c r="I4" s="491"/>
    </row>
    <row r="5" spans="1:9" ht="12" customHeight="1">
      <c r="A5" s="351" t="s">
        <v>279</v>
      </c>
      <c r="B5" s="492" t="s">
        <v>144</v>
      </c>
      <c r="C5" s="1344"/>
      <c r="D5" s="1344"/>
      <c r="E5" s="1344"/>
      <c r="F5" s="1344"/>
      <c r="G5" s="1344"/>
      <c r="H5" s="1360"/>
      <c r="I5" s="402" t="s">
        <v>1194</v>
      </c>
    </row>
    <row r="6" spans="1:9" ht="12.75" customHeight="1" thickBot="1">
      <c r="A6" s="493"/>
      <c r="B6" s="494"/>
      <c r="C6" s="1345"/>
      <c r="D6" s="1345"/>
      <c r="E6" s="1345"/>
      <c r="F6" s="1345"/>
      <c r="G6" s="1345"/>
      <c r="H6" s="1361"/>
      <c r="I6" s="371" t="s">
        <v>145</v>
      </c>
    </row>
    <row r="7" spans="1:9" ht="12.95" customHeight="1">
      <c r="A7" s="495" t="s">
        <v>163</v>
      </c>
      <c r="B7" s="356" t="s">
        <v>164</v>
      </c>
      <c r="C7" s="496" t="s">
        <v>165</v>
      </c>
      <c r="D7" s="496" t="s">
        <v>166</v>
      </c>
      <c r="E7" s="496" t="s">
        <v>167</v>
      </c>
      <c r="F7" s="496" t="s">
        <v>43</v>
      </c>
      <c r="G7" s="496" t="s">
        <v>369</v>
      </c>
      <c r="H7" s="496" t="s">
        <v>570</v>
      </c>
      <c r="I7" s="496" t="s">
        <v>572</v>
      </c>
    </row>
    <row r="8" spans="1:9" ht="16.5" customHeight="1">
      <c r="A8" s="449"/>
      <c r="B8" s="497" t="s">
        <v>268</v>
      </c>
      <c r="C8" s="407"/>
      <c r="D8" s="407"/>
      <c r="E8" s="407"/>
      <c r="F8" s="407"/>
      <c r="G8" s="407"/>
      <c r="H8" s="407"/>
      <c r="I8" s="498"/>
    </row>
    <row r="9" spans="1:9" ht="12">
      <c r="A9" s="351"/>
      <c r="B9" s="499" t="s">
        <v>257</v>
      </c>
      <c r="C9" s="500"/>
      <c r="D9" s="500"/>
      <c r="E9" s="500"/>
      <c r="F9" s="500"/>
      <c r="G9" s="500"/>
      <c r="H9" s="500"/>
      <c r="I9" s="366"/>
    </row>
    <row r="10" spans="1:9" ht="12">
      <c r="A10" s="515">
        <v>4012</v>
      </c>
      <c r="B10" s="669" t="s">
        <v>502</v>
      </c>
      <c r="C10" s="958">
        <v>389689</v>
      </c>
      <c r="D10" s="958">
        <v>389689</v>
      </c>
      <c r="E10" s="958">
        <v>389689</v>
      </c>
      <c r="F10" s="958">
        <v>389689</v>
      </c>
      <c r="G10" s="958">
        <v>389689</v>
      </c>
      <c r="H10" s="292">
        <f>SUM(G10/F10)</f>
        <v>1</v>
      </c>
      <c r="I10" s="362" t="s">
        <v>1170</v>
      </c>
    </row>
    <row r="11" spans="1:9" ht="12">
      <c r="A11" s="515"/>
      <c r="B11" s="1199" t="s">
        <v>302</v>
      </c>
      <c r="C11" s="958"/>
      <c r="D11" s="958"/>
      <c r="E11" s="958"/>
      <c r="F11" s="958"/>
      <c r="G11" s="1200">
        <v>270</v>
      </c>
      <c r="H11" s="292"/>
      <c r="I11" s="362"/>
    </row>
    <row r="12" spans="1:9" ht="12">
      <c r="A12" s="515"/>
      <c r="B12" s="1267" t="s">
        <v>246</v>
      </c>
      <c r="C12" s="958"/>
      <c r="D12" s="958"/>
      <c r="E12" s="958"/>
      <c r="F12" s="958"/>
      <c r="G12" s="1200">
        <v>2827</v>
      </c>
      <c r="H12" s="292"/>
      <c r="I12" s="362"/>
    </row>
    <row r="13" spans="1:9" ht="12">
      <c r="A13" s="515"/>
      <c r="B13" s="1267" t="s">
        <v>247</v>
      </c>
      <c r="C13" s="958"/>
      <c r="D13" s="958"/>
      <c r="E13" s="958"/>
      <c r="F13" s="958"/>
      <c r="G13" s="1200">
        <v>386592</v>
      </c>
      <c r="H13" s="292"/>
      <c r="I13" s="362"/>
    </row>
    <row r="14" spans="1:9" ht="12">
      <c r="A14" s="515">
        <v>4013</v>
      </c>
      <c r="B14" s="669" t="s">
        <v>1099</v>
      </c>
      <c r="C14" s="958">
        <v>1000</v>
      </c>
      <c r="D14" s="958">
        <v>1000</v>
      </c>
      <c r="E14" s="958">
        <v>1000</v>
      </c>
      <c r="F14" s="958">
        <v>1000</v>
      </c>
      <c r="G14" s="958">
        <v>1000</v>
      </c>
      <c r="H14" s="292">
        <f aca="true" t="shared" si="0" ref="H14:H85">SUM(G14/F14)</f>
        <v>1</v>
      </c>
      <c r="I14" s="362" t="s">
        <v>1170</v>
      </c>
    </row>
    <row r="15" spans="1:9" ht="12">
      <c r="A15" s="501">
        <v>4014</v>
      </c>
      <c r="B15" s="290" t="s">
        <v>501</v>
      </c>
      <c r="C15" s="958">
        <v>50000</v>
      </c>
      <c r="D15" s="958"/>
      <c r="E15" s="958">
        <v>253133</v>
      </c>
      <c r="F15" s="958">
        <v>253133</v>
      </c>
      <c r="G15" s="958">
        <v>253133</v>
      </c>
      <c r="H15" s="292">
        <f t="shared" si="0"/>
        <v>1</v>
      </c>
      <c r="I15" s="1181" t="s">
        <v>1184</v>
      </c>
    </row>
    <row r="16" spans="1:9" ht="12">
      <c r="A16" s="501">
        <v>4017</v>
      </c>
      <c r="B16" s="290" t="s">
        <v>1230</v>
      </c>
      <c r="C16" s="958"/>
      <c r="D16" s="958"/>
      <c r="E16" s="958">
        <v>359999</v>
      </c>
      <c r="F16" s="958">
        <v>359999</v>
      </c>
      <c r="G16" s="958">
        <v>359999</v>
      </c>
      <c r="H16" s="292">
        <f t="shared" si="0"/>
        <v>1</v>
      </c>
      <c r="I16" s="1181"/>
    </row>
    <row r="17" spans="1:9" ht="12">
      <c r="A17" s="501">
        <v>4019</v>
      </c>
      <c r="B17" s="290" t="s">
        <v>1231</v>
      </c>
      <c r="C17" s="959"/>
      <c r="D17" s="959"/>
      <c r="E17" s="959">
        <v>119000</v>
      </c>
      <c r="F17" s="959">
        <v>119000</v>
      </c>
      <c r="G17" s="959">
        <v>119000</v>
      </c>
      <c r="H17" s="292">
        <f t="shared" si="0"/>
        <v>1</v>
      </c>
      <c r="I17" s="1105"/>
    </row>
    <row r="18" spans="1:9" s="36" customFormat="1" ht="12">
      <c r="A18" s="449">
        <v>4010</v>
      </c>
      <c r="B18" s="503" t="s">
        <v>258</v>
      </c>
      <c r="C18" s="1039">
        <f>SUM(C10:C15)</f>
        <v>440689</v>
      </c>
      <c r="D18" s="1039">
        <f>SUM(D10:D15)</f>
        <v>390689</v>
      </c>
      <c r="E18" s="1039">
        <f>SUM(E10:E17)</f>
        <v>1122821</v>
      </c>
      <c r="F18" s="1039">
        <f>SUM(F10:F17)</f>
        <v>1122821</v>
      </c>
      <c r="G18" s="1039">
        <f>SUM(G10:G17)-G11-G12-G13</f>
        <v>1122821</v>
      </c>
      <c r="H18" s="1071">
        <f t="shared" si="0"/>
        <v>1</v>
      </c>
      <c r="I18" s="504"/>
    </row>
    <row r="19" spans="1:9" s="36" customFormat="1" ht="12">
      <c r="A19" s="73"/>
      <c r="B19" s="505" t="s">
        <v>259</v>
      </c>
      <c r="C19" s="955"/>
      <c r="D19" s="955"/>
      <c r="E19" s="955"/>
      <c r="F19" s="955"/>
      <c r="G19" s="955"/>
      <c r="H19" s="292"/>
      <c r="I19" s="362"/>
    </row>
    <row r="20" spans="1:9" s="36" customFormat="1" ht="12">
      <c r="A20" s="449">
        <v>4030</v>
      </c>
      <c r="B20" s="503" t="s">
        <v>260</v>
      </c>
      <c r="C20" s="1040"/>
      <c r="D20" s="1040"/>
      <c r="E20" s="1040"/>
      <c r="F20" s="1040"/>
      <c r="G20" s="1040"/>
      <c r="H20" s="1072"/>
      <c r="I20" s="506"/>
    </row>
    <row r="21" spans="1:9" s="36" customFormat="1" ht="12.75">
      <c r="A21" s="73"/>
      <c r="B21" s="507" t="s">
        <v>264</v>
      </c>
      <c r="C21" s="1041"/>
      <c r="D21" s="1041"/>
      <c r="E21" s="1041"/>
      <c r="F21" s="1041"/>
      <c r="G21" s="1041"/>
      <c r="H21" s="292"/>
      <c r="I21" s="508"/>
    </row>
    <row r="22" spans="1:9" s="36" customFormat="1" ht="12">
      <c r="A22" s="501">
        <v>4112</v>
      </c>
      <c r="B22" s="509" t="s">
        <v>238</v>
      </c>
      <c r="C22" s="955">
        <v>486329</v>
      </c>
      <c r="D22" s="955">
        <v>486329</v>
      </c>
      <c r="E22" s="955">
        <v>486329</v>
      </c>
      <c r="F22" s="955">
        <v>486329</v>
      </c>
      <c r="G22" s="955">
        <v>486329</v>
      </c>
      <c r="H22" s="292">
        <f t="shared" si="0"/>
        <v>1</v>
      </c>
      <c r="I22" s="362" t="s">
        <v>1170</v>
      </c>
    </row>
    <row r="23" spans="1:9" s="36" customFormat="1" ht="12">
      <c r="A23" s="501">
        <v>4120</v>
      </c>
      <c r="B23" s="290" t="s">
        <v>240</v>
      </c>
      <c r="C23" s="958">
        <v>750000</v>
      </c>
      <c r="D23" s="958">
        <v>750000</v>
      </c>
      <c r="E23" s="958">
        <v>750000</v>
      </c>
      <c r="F23" s="958">
        <v>750000</v>
      </c>
      <c r="G23" s="958">
        <v>750000</v>
      </c>
      <c r="H23" s="292">
        <f t="shared" si="0"/>
        <v>1</v>
      </c>
      <c r="I23" s="502"/>
    </row>
    <row r="24" spans="1:9" s="36" customFormat="1" ht="12">
      <c r="A24" s="501"/>
      <c r="B24" s="1199" t="s">
        <v>302</v>
      </c>
      <c r="C24" s="958"/>
      <c r="D24" s="958"/>
      <c r="E24" s="958"/>
      <c r="F24" s="958"/>
      <c r="G24" s="1200">
        <v>5500</v>
      </c>
      <c r="H24" s="292"/>
      <c r="I24" s="502"/>
    </row>
    <row r="25" spans="1:9" s="36" customFormat="1" ht="12">
      <c r="A25" s="501"/>
      <c r="B25" s="1267" t="s">
        <v>247</v>
      </c>
      <c r="C25" s="958"/>
      <c r="D25" s="958"/>
      <c r="E25" s="958"/>
      <c r="F25" s="958"/>
      <c r="G25" s="1200">
        <v>744500</v>
      </c>
      <c r="H25" s="292"/>
      <c r="I25" s="502"/>
    </row>
    <row r="26" spans="1:9" s="33" customFormat="1" ht="12">
      <c r="A26" s="362">
        <v>4121</v>
      </c>
      <c r="B26" s="510" t="s">
        <v>127</v>
      </c>
      <c r="C26" s="954">
        <v>50000</v>
      </c>
      <c r="D26" s="954">
        <v>50000</v>
      </c>
      <c r="E26" s="954">
        <f>SUM(E27:E28)</f>
        <v>45681</v>
      </c>
      <c r="F26" s="954">
        <f>SUM(F27:F28)</f>
        <v>47181</v>
      </c>
      <c r="G26" s="954">
        <f>SUM(G27:G28)</f>
        <v>47181</v>
      </c>
      <c r="H26" s="292">
        <f t="shared" si="0"/>
        <v>1</v>
      </c>
      <c r="I26" s="1181" t="s">
        <v>1191</v>
      </c>
    </row>
    <row r="27" spans="1:9" s="33" customFormat="1" ht="12">
      <c r="A27" s="362"/>
      <c r="B27" s="1199" t="s">
        <v>302</v>
      </c>
      <c r="C27" s="954"/>
      <c r="D27" s="954"/>
      <c r="E27" s="1200">
        <v>3099</v>
      </c>
      <c r="F27" s="1200">
        <v>3099</v>
      </c>
      <c r="G27" s="1200">
        <v>3099</v>
      </c>
      <c r="H27" s="292">
        <f t="shared" si="0"/>
        <v>1</v>
      </c>
      <c r="I27" s="1181"/>
    </row>
    <row r="28" spans="1:9" s="33" customFormat="1" ht="12">
      <c r="A28" s="362"/>
      <c r="B28" s="1199" t="s">
        <v>552</v>
      </c>
      <c r="C28" s="954"/>
      <c r="D28" s="954"/>
      <c r="E28" s="1200">
        <v>42582</v>
      </c>
      <c r="F28" s="1200">
        <v>44082</v>
      </c>
      <c r="G28" s="1200">
        <v>44082</v>
      </c>
      <c r="H28" s="292">
        <f t="shared" si="0"/>
        <v>1</v>
      </c>
      <c r="I28" s="1181"/>
    </row>
    <row r="29" spans="1:9" s="33" customFormat="1" ht="12">
      <c r="A29" s="362">
        <v>4122</v>
      </c>
      <c r="B29" s="511" t="s">
        <v>188</v>
      </c>
      <c r="C29" s="955">
        <v>50000</v>
      </c>
      <c r="D29" s="955">
        <v>50000</v>
      </c>
      <c r="E29" s="955">
        <v>127554</v>
      </c>
      <c r="F29" s="955">
        <v>127554</v>
      </c>
      <c r="G29" s="955">
        <v>127554</v>
      </c>
      <c r="H29" s="292">
        <f t="shared" si="0"/>
        <v>1</v>
      </c>
      <c r="I29" s="502"/>
    </row>
    <row r="30" spans="1:9" s="33" customFormat="1" ht="12">
      <c r="A30" s="362"/>
      <c r="B30" s="1199" t="s">
        <v>302</v>
      </c>
      <c r="C30" s="955"/>
      <c r="D30" s="955"/>
      <c r="E30" s="955"/>
      <c r="F30" s="955"/>
      <c r="G30" s="1203">
        <v>2900</v>
      </c>
      <c r="H30" s="292"/>
      <c r="I30" s="502"/>
    </row>
    <row r="31" spans="1:9" s="33" customFormat="1" ht="12">
      <c r="A31" s="362"/>
      <c r="B31" s="1199" t="s">
        <v>552</v>
      </c>
      <c r="C31" s="955"/>
      <c r="D31" s="955"/>
      <c r="E31" s="955"/>
      <c r="F31" s="955"/>
      <c r="G31" s="1203">
        <v>124654</v>
      </c>
      <c r="H31" s="292"/>
      <c r="I31" s="502"/>
    </row>
    <row r="32" spans="1:9" s="33" customFormat="1" ht="12">
      <c r="A32" s="362">
        <v>4123</v>
      </c>
      <c r="B32" s="511" t="s">
        <v>1021</v>
      </c>
      <c r="C32" s="955"/>
      <c r="D32" s="955"/>
      <c r="E32" s="955"/>
      <c r="F32" s="955"/>
      <c r="G32" s="955"/>
      <c r="H32" s="292"/>
      <c r="I32" s="502"/>
    </row>
    <row r="33" spans="1:9" s="33" customFormat="1" ht="12">
      <c r="A33" s="362">
        <v>4124</v>
      </c>
      <c r="B33" s="511" t="s">
        <v>1073</v>
      </c>
      <c r="C33" s="955">
        <v>100000</v>
      </c>
      <c r="D33" s="955">
        <v>75000</v>
      </c>
      <c r="E33" s="955">
        <v>75000</v>
      </c>
      <c r="F33" s="955">
        <v>75000</v>
      </c>
      <c r="G33" s="955">
        <v>75000</v>
      </c>
      <c r="H33" s="292">
        <f t="shared" si="0"/>
        <v>1</v>
      </c>
      <c r="I33" s="1181" t="s">
        <v>1171</v>
      </c>
    </row>
    <row r="34" spans="1:9" s="33" customFormat="1" ht="12">
      <c r="A34" s="427">
        <v>4125</v>
      </c>
      <c r="B34" s="509" t="s">
        <v>1140</v>
      </c>
      <c r="C34" s="956">
        <v>100000</v>
      </c>
      <c r="D34" s="956">
        <v>100000</v>
      </c>
      <c r="E34" s="956">
        <f>SUM(E35:E36)</f>
        <v>383074</v>
      </c>
      <c r="F34" s="956">
        <f>SUM(F35:F36)</f>
        <v>383074</v>
      </c>
      <c r="G34" s="956">
        <f>SUM(G35:G36)</f>
        <v>383074</v>
      </c>
      <c r="H34" s="292">
        <f t="shared" si="0"/>
        <v>1</v>
      </c>
      <c r="I34" s="1181" t="s">
        <v>1171</v>
      </c>
    </row>
    <row r="35" spans="1:9" s="33" customFormat="1" ht="12">
      <c r="A35" s="427"/>
      <c r="B35" s="1199" t="s">
        <v>302</v>
      </c>
      <c r="C35" s="956"/>
      <c r="D35" s="956"/>
      <c r="E35" s="1201">
        <v>1763</v>
      </c>
      <c r="F35" s="1201">
        <v>1763</v>
      </c>
      <c r="G35" s="1201">
        <f>1763+2180</f>
        <v>3943</v>
      </c>
      <c r="H35" s="292">
        <f t="shared" si="0"/>
        <v>2.236528644356211</v>
      </c>
      <c r="I35" s="1181"/>
    </row>
    <row r="36" spans="1:9" s="33" customFormat="1" ht="12">
      <c r="A36" s="427"/>
      <c r="B36" s="1199" t="s">
        <v>552</v>
      </c>
      <c r="C36" s="956"/>
      <c r="D36" s="956"/>
      <c r="E36" s="1201">
        <v>381311</v>
      </c>
      <c r="F36" s="1201">
        <v>381311</v>
      </c>
      <c r="G36" s="1201">
        <f>381311-2180</f>
        <v>379131</v>
      </c>
      <c r="H36" s="292">
        <f t="shared" si="0"/>
        <v>0.9942828819520024</v>
      </c>
      <c r="I36" s="1181"/>
    </row>
    <row r="37" spans="1:9" s="33" customFormat="1" ht="12">
      <c r="A37" s="512"/>
      <c r="B37" s="513" t="s">
        <v>148</v>
      </c>
      <c r="C37" s="1042">
        <f>SUM(C22:C34)</f>
        <v>1536329</v>
      </c>
      <c r="D37" s="1042">
        <f>SUM(D22:D34)</f>
        <v>1511329</v>
      </c>
      <c r="E37" s="1042">
        <f>SUM(E22+E23+E26+E29+E33+E34)</f>
        <v>1867638</v>
      </c>
      <c r="F37" s="1042">
        <f>SUM(F22+F23+F26+F29+F33+F34)</f>
        <v>1869138</v>
      </c>
      <c r="G37" s="1042">
        <f>SUM(G22+G23+G26+G29+G33+G34)</f>
        <v>1869138</v>
      </c>
      <c r="H37" s="1073">
        <f t="shared" si="0"/>
        <v>1</v>
      </c>
      <c r="I37" s="363"/>
    </row>
    <row r="38" spans="1:9" s="33" customFormat="1" ht="12">
      <c r="A38" s="289">
        <v>4131</v>
      </c>
      <c r="B38" s="1297" t="s">
        <v>288</v>
      </c>
      <c r="C38" s="955">
        <v>60000</v>
      </c>
      <c r="D38" s="955">
        <v>40000</v>
      </c>
      <c r="E38" s="955">
        <f>SUM(E40:E41)</f>
        <v>71151</v>
      </c>
      <c r="F38" s="955">
        <f>SUM(F40:F41)</f>
        <v>86151</v>
      </c>
      <c r="G38" s="955">
        <f>SUM(G39:G41)</f>
        <v>86151</v>
      </c>
      <c r="H38" s="292">
        <f t="shared" si="0"/>
        <v>1</v>
      </c>
      <c r="I38" s="362" t="s">
        <v>1170</v>
      </c>
    </row>
    <row r="39" spans="1:9" s="33" customFormat="1" ht="12">
      <c r="A39" s="289"/>
      <c r="B39" s="1202" t="s">
        <v>396</v>
      </c>
      <c r="C39" s="955"/>
      <c r="D39" s="955"/>
      <c r="E39" s="955"/>
      <c r="F39" s="955"/>
      <c r="G39" s="1203">
        <v>6</v>
      </c>
      <c r="H39" s="292"/>
      <c r="I39" s="362"/>
    </row>
    <row r="40" spans="1:9" s="33" customFormat="1" ht="12">
      <c r="A40" s="289"/>
      <c r="B40" s="1202" t="s">
        <v>302</v>
      </c>
      <c r="C40" s="955"/>
      <c r="D40" s="955"/>
      <c r="E40" s="1203">
        <v>879</v>
      </c>
      <c r="F40" s="1203">
        <v>879</v>
      </c>
      <c r="G40" s="1203">
        <f>879+452</f>
        <v>1331</v>
      </c>
      <c r="H40" s="292">
        <f t="shared" si="0"/>
        <v>1.5142207053469852</v>
      </c>
      <c r="I40" s="362"/>
    </row>
    <row r="41" spans="1:9" s="33" customFormat="1" ht="12">
      <c r="A41" s="289"/>
      <c r="B41" s="1202" t="s">
        <v>552</v>
      </c>
      <c r="C41" s="955"/>
      <c r="D41" s="955"/>
      <c r="E41" s="1203">
        <v>70272</v>
      </c>
      <c r="F41" s="1203">
        <v>85272</v>
      </c>
      <c r="G41" s="1203">
        <f>85272-458</f>
        <v>84814</v>
      </c>
      <c r="H41" s="292">
        <f t="shared" si="0"/>
        <v>0.9946289520592926</v>
      </c>
      <c r="I41" s="362"/>
    </row>
    <row r="42" spans="1:9" s="33" customFormat="1" ht="12" customHeight="1">
      <c r="A42" s="289">
        <v>4132</v>
      </c>
      <c r="B42" s="293" t="s">
        <v>124</v>
      </c>
      <c r="C42" s="955">
        <v>20000</v>
      </c>
      <c r="D42" s="955">
        <v>20000</v>
      </c>
      <c r="E42" s="955">
        <v>32276</v>
      </c>
      <c r="F42" s="955">
        <v>32276</v>
      </c>
      <c r="G42" s="955">
        <v>32276</v>
      </c>
      <c r="H42" s="292">
        <f t="shared" si="0"/>
        <v>1</v>
      </c>
      <c r="I42" s="362" t="s">
        <v>1170</v>
      </c>
    </row>
    <row r="43" spans="1:9" s="33" customFormat="1" ht="12.95" customHeight="1">
      <c r="A43" s="289">
        <v>4133</v>
      </c>
      <c r="B43" s="293" t="s">
        <v>289</v>
      </c>
      <c r="C43" s="955">
        <v>100000</v>
      </c>
      <c r="D43" s="955">
        <v>100000</v>
      </c>
      <c r="E43" s="955">
        <v>100000</v>
      </c>
      <c r="F43" s="955">
        <v>100000</v>
      </c>
      <c r="G43" s="955">
        <v>100000</v>
      </c>
      <c r="H43" s="292">
        <f t="shared" si="0"/>
        <v>1</v>
      </c>
      <c r="I43" s="362" t="s">
        <v>1170</v>
      </c>
    </row>
    <row r="44" spans="1:9" s="33" customFormat="1" ht="12">
      <c r="A44" s="289">
        <v>4136</v>
      </c>
      <c r="B44" s="293" t="s">
        <v>399</v>
      </c>
      <c r="C44" s="955">
        <v>51200</v>
      </c>
      <c r="D44" s="955">
        <v>11200</v>
      </c>
      <c r="E44" s="955">
        <f>SUM(E45:E46)</f>
        <v>44274</v>
      </c>
      <c r="F44" s="955">
        <f>SUM(F45:F46)</f>
        <v>44274</v>
      </c>
      <c r="G44" s="955">
        <f>SUM(G45:G46)</f>
        <v>44274</v>
      </c>
      <c r="H44" s="292">
        <f t="shared" si="0"/>
        <v>1</v>
      </c>
      <c r="I44" s="1184" t="s">
        <v>1180</v>
      </c>
    </row>
    <row r="45" spans="1:9" s="33" customFormat="1" ht="12">
      <c r="A45" s="289"/>
      <c r="B45" s="1202" t="s">
        <v>551</v>
      </c>
      <c r="C45" s="955"/>
      <c r="D45" s="955"/>
      <c r="E45" s="1203">
        <v>1186</v>
      </c>
      <c r="F45" s="1203">
        <v>1186</v>
      </c>
      <c r="G45" s="1203">
        <v>1186</v>
      </c>
      <c r="H45" s="292">
        <f t="shared" si="0"/>
        <v>1</v>
      </c>
      <c r="I45" s="1184"/>
    </row>
    <row r="46" spans="1:9" s="33" customFormat="1" ht="12">
      <c r="A46" s="289"/>
      <c r="B46" s="1202" t="s">
        <v>552</v>
      </c>
      <c r="C46" s="955"/>
      <c r="D46" s="955"/>
      <c r="E46" s="1203">
        <v>43088</v>
      </c>
      <c r="F46" s="1203">
        <v>43088</v>
      </c>
      <c r="G46" s="1203">
        <v>43088</v>
      </c>
      <c r="H46" s="292">
        <f t="shared" si="0"/>
        <v>1</v>
      </c>
      <c r="I46" s="1184"/>
    </row>
    <row r="47" spans="1:9" s="33" customFormat="1" ht="12">
      <c r="A47" s="289">
        <v>4141</v>
      </c>
      <c r="B47" s="1082" t="s">
        <v>384</v>
      </c>
      <c r="C47" s="998">
        <v>30000</v>
      </c>
      <c r="D47" s="998">
        <v>30000</v>
      </c>
      <c r="E47" s="998">
        <v>16160</v>
      </c>
      <c r="F47" s="998">
        <v>16160</v>
      </c>
      <c r="G47" s="998">
        <v>16160</v>
      </c>
      <c r="H47" s="292">
        <f t="shared" si="0"/>
        <v>1</v>
      </c>
      <c r="I47" s="512" t="s">
        <v>1170</v>
      </c>
    </row>
    <row r="48" spans="1:9" s="33" customFormat="1" ht="12">
      <c r="A48" s="449">
        <v>4100</v>
      </c>
      <c r="B48" s="697" t="s">
        <v>175</v>
      </c>
      <c r="C48" s="1017">
        <f>SUM(C37+C38+C42+C43+C44+C47)</f>
        <v>1797529</v>
      </c>
      <c r="D48" s="1017">
        <f>SUM(D37+D38+D42+D43+D44+D47)</f>
        <v>1712529</v>
      </c>
      <c r="E48" s="1017">
        <f>SUM(E37+E38+E42+E43+E44+E47)</f>
        <v>2131499</v>
      </c>
      <c r="F48" s="1017">
        <f>SUM(F37+F38+F42+F43+F44+F47)</f>
        <v>2147999</v>
      </c>
      <c r="G48" s="1017">
        <f>SUM(G37+G38+G42+G43+G44+G47)</f>
        <v>2147999</v>
      </c>
      <c r="H48" s="1071">
        <f t="shared" si="0"/>
        <v>1</v>
      </c>
      <c r="I48" s="1103"/>
    </row>
    <row r="49" spans="1:9" s="33" customFormat="1" ht="12">
      <c r="A49" s="479"/>
      <c r="B49" s="514" t="s">
        <v>126</v>
      </c>
      <c r="C49" s="955"/>
      <c r="D49" s="955"/>
      <c r="E49" s="955"/>
      <c r="F49" s="955"/>
      <c r="G49" s="955"/>
      <c r="H49" s="292"/>
      <c r="I49" s="366"/>
    </row>
    <row r="50" spans="1:9" s="33" customFormat="1" ht="12">
      <c r="A50" s="501">
        <v>4211</v>
      </c>
      <c r="B50" s="290" t="s">
        <v>128</v>
      </c>
      <c r="C50" s="955"/>
      <c r="D50" s="955"/>
      <c r="E50" s="955">
        <v>43369</v>
      </c>
      <c r="F50" s="955">
        <v>43369</v>
      </c>
      <c r="G50" s="955">
        <v>43369</v>
      </c>
      <c r="H50" s="292">
        <f t="shared" si="0"/>
        <v>1</v>
      </c>
      <c r="I50" s="366"/>
    </row>
    <row r="51" spans="1:9" s="33" customFormat="1" ht="12">
      <c r="A51" s="501"/>
      <c r="B51" s="1267" t="s">
        <v>246</v>
      </c>
      <c r="C51" s="955"/>
      <c r="D51" s="955"/>
      <c r="E51" s="955"/>
      <c r="F51" s="955"/>
      <c r="G51" s="1203">
        <v>43369</v>
      </c>
      <c r="H51" s="292"/>
      <c r="I51" s="366"/>
    </row>
    <row r="52" spans="1:9" s="33" customFormat="1" ht="12">
      <c r="A52" s="501"/>
      <c r="B52" s="1267" t="s">
        <v>247</v>
      </c>
      <c r="C52" s="955"/>
      <c r="D52" s="955"/>
      <c r="E52" s="955"/>
      <c r="F52" s="955"/>
      <c r="G52" s="1203">
        <v>-43369</v>
      </c>
      <c r="H52" s="292"/>
      <c r="I52" s="366"/>
    </row>
    <row r="53" spans="1:9" s="33" customFormat="1" ht="12">
      <c r="A53" s="501">
        <v>4213</v>
      </c>
      <c r="B53" s="290" t="s">
        <v>130</v>
      </c>
      <c r="C53" s="955"/>
      <c r="D53" s="955"/>
      <c r="E53" s="955"/>
      <c r="F53" s="955"/>
      <c r="G53" s="955"/>
      <c r="H53" s="292"/>
      <c r="I53" s="366"/>
    </row>
    <row r="54" spans="1:9" s="33" customFormat="1" ht="12">
      <c r="A54" s="501">
        <v>4215</v>
      </c>
      <c r="B54" s="290" t="s">
        <v>265</v>
      </c>
      <c r="C54" s="955"/>
      <c r="D54" s="955"/>
      <c r="E54" s="955"/>
      <c r="F54" s="955"/>
      <c r="G54" s="955"/>
      <c r="H54" s="292"/>
      <c r="I54" s="366"/>
    </row>
    <row r="55" spans="1:9" s="33" customFormat="1" ht="12">
      <c r="A55" s="501">
        <v>4217</v>
      </c>
      <c r="B55" s="290" t="s">
        <v>42</v>
      </c>
      <c r="C55" s="955"/>
      <c r="D55" s="955"/>
      <c r="E55" s="955"/>
      <c r="F55" s="955"/>
      <c r="G55" s="955"/>
      <c r="H55" s="292"/>
      <c r="I55" s="366"/>
    </row>
    <row r="56" spans="1:9" s="33" customFormat="1" ht="12">
      <c r="A56" s="501">
        <v>4219</v>
      </c>
      <c r="B56" s="290" t="s">
        <v>131</v>
      </c>
      <c r="C56" s="955"/>
      <c r="D56" s="955"/>
      <c r="E56" s="955"/>
      <c r="F56" s="955"/>
      <c r="G56" s="955"/>
      <c r="H56" s="292"/>
      <c r="I56" s="366"/>
    </row>
    <row r="57" spans="1:9" s="33" customFormat="1" ht="12">
      <c r="A57" s="501">
        <v>4221</v>
      </c>
      <c r="B57" s="290" t="s">
        <v>129</v>
      </c>
      <c r="C57" s="955"/>
      <c r="D57" s="955"/>
      <c r="E57" s="955"/>
      <c r="F57" s="955"/>
      <c r="G57" s="955"/>
      <c r="H57" s="292"/>
      <c r="I57" s="366"/>
    </row>
    <row r="58" spans="1:9" s="33" customFormat="1" ht="12">
      <c r="A58" s="501">
        <v>4223</v>
      </c>
      <c r="B58" s="290" t="s">
        <v>132</v>
      </c>
      <c r="C58" s="955"/>
      <c r="D58" s="955"/>
      <c r="E58" s="955"/>
      <c r="F58" s="955"/>
      <c r="G58" s="955"/>
      <c r="H58" s="292"/>
      <c r="I58" s="366"/>
    </row>
    <row r="59" spans="1:9" s="33" customFormat="1" ht="12">
      <c r="A59" s="501">
        <v>4225</v>
      </c>
      <c r="B59" s="290" t="s">
        <v>1232</v>
      </c>
      <c r="C59" s="955"/>
      <c r="D59" s="955"/>
      <c r="E59" s="955">
        <v>325</v>
      </c>
      <c r="F59" s="955">
        <v>325</v>
      </c>
      <c r="G59" s="955">
        <v>325</v>
      </c>
      <c r="H59" s="292">
        <f t="shared" si="0"/>
        <v>1</v>
      </c>
      <c r="I59" s="366"/>
    </row>
    <row r="60" spans="1:9" s="33" customFormat="1" ht="12">
      <c r="A60" s="501">
        <v>4227</v>
      </c>
      <c r="B60" s="290" t="s">
        <v>133</v>
      </c>
      <c r="C60" s="955"/>
      <c r="D60" s="955"/>
      <c r="E60" s="955"/>
      <c r="F60" s="955"/>
      <c r="G60" s="955"/>
      <c r="H60" s="292"/>
      <c r="I60" s="366"/>
    </row>
    <row r="61" spans="1:9" s="33" customFormat="1" ht="12">
      <c r="A61" s="515">
        <v>4230</v>
      </c>
      <c r="B61" s="516" t="s">
        <v>1034</v>
      </c>
      <c r="C61" s="957"/>
      <c r="D61" s="957"/>
      <c r="E61" s="957">
        <v>20000</v>
      </c>
      <c r="F61" s="957">
        <v>20000</v>
      </c>
      <c r="G61" s="957">
        <v>20000</v>
      </c>
      <c r="H61" s="292">
        <f t="shared" si="0"/>
        <v>1</v>
      </c>
      <c r="I61" s="1002"/>
    </row>
    <row r="62" spans="1:9" s="33" customFormat="1" ht="12">
      <c r="A62" s="515">
        <v>4265</v>
      </c>
      <c r="B62" s="516" t="s">
        <v>495</v>
      </c>
      <c r="C62" s="957">
        <v>100000</v>
      </c>
      <c r="D62" s="957"/>
      <c r="E62" s="957">
        <f>SUM(E63:E64)</f>
        <v>45488</v>
      </c>
      <c r="F62" s="957">
        <f>SUM(F63:F64)</f>
        <v>45488</v>
      </c>
      <c r="G62" s="957">
        <f>SUM(G63:G64)</f>
        <v>45488</v>
      </c>
      <c r="H62" s="292">
        <f t="shared" si="0"/>
        <v>1</v>
      </c>
      <c r="I62" s="1209" t="s">
        <v>1100</v>
      </c>
    </row>
    <row r="63" spans="1:9" s="33" customFormat="1" ht="12">
      <c r="A63" s="515"/>
      <c r="B63" s="1202" t="s">
        <v>551</v>
      </c>
      <c r="C63" s="957"/>
      <c r="D63" s="957"/>
      <c r="E63" s="1033">
        <v>35498</v>
      </c>
      <c r="F63" s="1033">
        <v>35498</v>
      </c>
      <c r="G63" s="1033">
        <v>35498</v>
      </c>
      <c r="H63" s="292">
        <f t="shared" si="0"/>
        <v>1</v>
      </c>
      <c r="I63" s="1209"/>
    </row>
    <row r="64" spans="1:9" s="33" customFormat="1" ht="12">
      <c r="A64" s="999"/>
      <c r="B64" s="1202" t="s">
        <v>552</v>
      </c>
      <c r="C64" s="957"/>
      <c r="D64" s="957"/>
      <c r="E64" s="1033">
        <v>9990</v>
      </c>
      <c r="F64" s="1033">
        <v>9990</v>
      </c>
      <c r="G64" s="1033">
        <v>9990</v>
      </c>
      <c r="H64" s="292">
        <f t="shared" si="0"/>
        <v>1</v>
      </c>
      <c r="I64" s="1107"/>
    </row>
    <row r="65" spans="1:9" s="33" customFormat="1" ht="12">
      <c r="A65" s="1000">
        <v>4200</v>
      </c>
      <c r="B65" s="1001" t="s">
        <v>500</v>
      </c>
      <c r="C65" s="1043">
        <f>SUM(C50+C59+C61+C62)</f>
        <v>100000</v>
      </c>
      <c r="D65" s="1043">
        <f>SUM(D50+D59+D61+D62)</f>
        <v>0</v>
      </c>
      <c r="E65" s="1043">
        <f>SUM(E50+E59+E61+E62)</f>
        <v>109182</v>
      </c>
      <c r="F65" s="1043">
        <f>SUM(F50+F59+F61+F62)</f>
        <v>109182</v>
      </c>
      <c r="G65" s="1043">
        <f>SUM(G50+G59+G61+G62)</f>
        <v>109182</v>
      </c>
      <c r="H65" s="1071">
        <f t="shared" si="0"/>
        <v>1</v>
      </c>
      <c r="I65" s="506"/>
    </row>
    <row r="66" spans="1:9" s="36" customFormat="1" ht="12">
      <c r="A66" s="73"/>
      <c r="B66" s="505" t="s">
        <v>266</v>
      </c>
      <c r="C66" s="955"/>
      <c r="D66" s="955"/>
      <c r="E66" s="955"/>
      <c r="F66" s="955"/>
      <c r="G66" s="955"/>
      <c r="H66" s="292"/>
      <c r="I66" s="508"/>
    </row>
    <row r="67" spans="1:9" s="33" customFormat="1" ht="12.75" customHeight="1">
      <c r="A67" s="362">
        <v>4310</v>
      </c>
      <c r="B67" s="293" t="s">
        <v>375</v>
      </c>
      <c r="C67" s="955">
        <v>20000</v>
      </c>
      <c r="D67" s="955"/>
      <c r="E67" s="955">
        <v>71647</v>
      </c>
      <c r="F67" s="955">
        <v>71647</v>
      </c>
      <c r="G67" s="955">
        <v>71647</v>
      </c>
      <c r="H67" s="292">
        <f t="shared" si="0"/>
        <v>1</v>
      </c>
      <c r="I67" s="1171" t="s">
        <v>1095</v>
      </c>
    </row>
    <row r="68" spans="1:9" s="33" customFormat="1" ht="12">
      <c r="A68" s="362">
        <v>4323</v>
      </c>
      <c r="B68" s="293" t="s">
        <v>1070</v>
      </c>
      <c r="C68" s="955">
        <v>95000</v>
      </c>
      <c r="D68" s="955">
        <v>95000</v>
      </c>
      <c r="E68" s="955">
        <v>95000</v>
      </c>
      <c r="F68" s="955">
        <v>95000</v>
      </c>
      <c r="G68" s="955">
        <v>95000</v>
      </c>
      <c r="H68" s="292">
        <f t="shared" si="0"/>
        <v>1</v>
      </c>
      <c r="I68" s="1171" t="s">
        <v>1173</v>
      </c>
    </row>
    <row r="69" spans="1:9" s="33" customFormat="1" ht="12">
      <c r="A69" s="362">
        <v>4324</v>
      </c>
      <c r="B69" s="293" t="s">
        <v>1295</v>
      </c>
      <c r="C69" s="955"/>
      <c r="D69" s="955"/>
      <c r="E69" s="955"/>
      <c r="F69" s="955"/>
      <c r="G69" s="955">
        <f>G70+G71</f>
        <v>800000</v>
      </c>
      <c r="H69" s="292"/>
      <c r="I69" s="1171"/>
    </row>
    <row r="70" spans="1:9" s="33" customFormat="1" ht="12">
      <c r="A70" s="362"/>
      <c r="B70" s="1202" t="s">
        <v>302</v>
      </c>
      <c r="C70" s="955"/>
      <c r="D70" s="955"/>
      <c r="E70" s="955"/>
      <c r="F70" s="955"/>
      <c r="G70" s="1203">
        <v>60000</v>
      </c>
      <c r="H70" s="292"/>
      <c r="I70" s="1171"/>
    </row>
    <row r="71" spans="1:9" s="33" customFormat="1" ht="12">
      <c r="A71" s="362"/>
      <c r="B71" s="1202" t="s">
        <v>552</v>
      </c>
      <c r="C71" s="955"/>
      <c r="D71" s="955"/>
      <c r="E71" s="955"/>
      <c r="F71" s="955"/>
      <c r="G71" s="1203">
        <v>740000</v>
      </c>
      <c r="H71" s="292"/>
      <c r="I71" s="1171"/>
    </row>
    <row r="72" spans="1:9" s="36" customFormat="1" ht="12">
      <c r="A72" s="498">
        <v>4300</v>
      </c>
      <c r="B72" s="514" t="s">
        <v>267</v>
      </c>
      <c r="C72" s="1044">
        <f>SUM(C67:C68)</f>
        <v>115000</v>
      </c>
      <c r="D72" s="1044">
        <f>SUM(D67:D68)</f>
        <v>95000</v>
      </c>
      <c r="E72" s="1044">
        <f>SUM(E67:E68)</f>
        <v>166647</v>
      </c>
      <c r="F72" s="1044">
        <f>SUM(F67:F68)</f>
        <v>166647</v>
      </c>
      <c r="G72" s="1044">
        <f>SUM(G67:G69)</f>
        <v>966647</v>
      </c>
      <c r="H72" s="1071">
        <f t="shared" si="0"/>
        <v>5.800566466843088</v>
      </c>
      <c r="I72" s="445"/>
    </row>
    <row r="73" spans="1:9" s="36" customFormat="1" ht="16.5" customHeight="1">
      <c r="A73" s="498"/>
      <c r="B73" s="497" t="s">
        <v>269</v>
      </c>
      <c r="C73" s="1044">
        <f>SUM(C72+C65+C48+C20+C18)</f>
        <v>2453218</v>
      </c>
      <c r="D73" s="1044">
        <f>SUM(D72+D65+D48+D20+D18)</f>
        <v>2198218</v>
      </c>
      <c r="E73" s="1044">
        <f>SUM(E72+E65+E48+E20+E18)</f>
        <v>3530149</v>
      </c>
      <c r="F73" s="1044">
        <f>SUM(F72+F65+F48+F20+F18)</f>
        <v>3546649</v>
      </c>
      <c r="G73" s="1044">
        <f>SUM(G72+G65+G48+G20+G18)</f>
        <v>4346649</v>
      </c>
      <c r="H73" s="1071">
        <f t="shared" si="0"/>
        <v>1.2255650333596586</v>
      </c>
      <c r="I73" s="445"/>
    </row>
    <row r="74" spans="1:9" s="36" customFormat="1" ht="12">
      <c r="A74" s="518"/>
      <c r="B74" s="519" t="s">
        <v>70</v>
      </c>
      <c r="C74" s="1045"/>
      <c r="D74" s="1045"/>
      <c r="E74" s="1045"/>
      <c r="F74" s="1045"/>
      <c r="G74" s="1045"/>
      <c r="H74" s="292"/>
      <c r="I74" s="508"/>
    </row>
    <row r="75" spans="1:9" s="36" customFormat="1" ht="12">
      <c r="A75" s="518"/>
      <c r="B75" s="291" t="s">
        <v>283</v>
      </c>
      <c r="C75" s="958"/>
      <c r="D75" s="958"/>
      <c r="E75" s="958"/>
      <c r="F75" s="958"/>
      <c r="G75" s="958"/>
      <c r="H75" s="292"/>
      <c r="I75" s="508"/>
    </row>
    <row r="76" spans="1:9" s="36" customFormat="1" ht="12">
      <c r="A76" s="518"/>
      <c r="B76" s="291" t="s">
        <v>30</v>
      </c>
      <c r="C76" s="958"/>
      <c r="D76" s="958"/>
      <c r="E76" s="958"/>
      <c r="F76" s="958"/>
      <c r="G76" s="958">
        <f>G39</f>
        <v>6</v>
      </c>
      <c r="H76" s="292"/>
      <c r="I76" s="508"/>
    </row>
    <row r="77" spans="1:9" s="33" customFormat="1" ht="12">
      <c r="A77" s="518"/>
      <c r="B77" s="520" t="s">
        <v>295</v>
      </c>
      <c r="C77" s="958"/>
      <c r="D77" s="958"/>
      <c r="E77" s="958">
        <f>SUM(E27+E35+E59+E40)</f>
        <v>6066</v>
      </c>
      <c r="F77" s="958">
        <f>SUM(F27+F35+F59+F40)</f>
        <v>6066</v>
      </c>
      <c r="G77" s="958">
        <f>SUM(G27+G35+G59+G40)+G70+G24+G30+G11</f>
        <v>77368</v>
      </c>
      <c r="H77" s="292">
        <f t="shared" si="0"/>
        <v>12.754368611935378</v>
      </c>
      <c r="I77" s="366"/>
    </row>
    <row r="78" spans="1:9" ht="12" customHeight="1">
      <c r="A78" s="289"/>
      <c r="B78" s="520" t="s">
        <v>293</v>
      </c>
      <c r="C78" s="955"/>
      <c r="D78" s="955"/>
      <c r="E78" s="955"/>
      <c r="F78" s="955"/>
      <c r="G78" s="955"/>
      <c r="H78" s="292"/>
      <c r="I78" s="366"/>
    </row>
    <row r="79" spans="1:9" ht="12" customHeight="1">
      <c r="A79" s="289"/>
      <c r="B79" s="521" t="s">
        <v>60</v>
      </c>
      <c r="C79" s="1046">
        <f>SUM(C75:C78)</f>
        <v>0</v>
      </c>
      <c r="D79" s="1046">
        <f>SUM(D75:D78)</f>
        <v>0</v>
      </c>
      <c r="E79" s="1046">
        <f>SUM(E75:E78)</f>
        <v>6066</v>
      </c>
      <c r="F79" s="1046">
        <f>SUM(F75:F78)</f>
        <v>6066</v>
      </c>
      <c r="G79" s="1046">
        <f>SUM(G75:G78)</f>
        <v>77374</v>
      </c>
      <c r="H79" s="1070">
        <f t="shared" si="0"/>
        <v>12.75535773161886</v>
      </c>
      <c r="I79" s="366"/>
    </row>
    <row r="80" spans="1:9" ht="12" customHeight="1">
      <c r="A80" s="289"/>
      <c r="B80" s="522" t="s">
        <v>71</v>
      </c>
      <c r="C80" s="1041"/>
      <c r="D80" s="1041"/>
      <c r="E80" s="1041"/>
      <c r="F80" s="1041"/>
      <c r="G80" s="1041"/>
      <c r="H80" s="292"/>
      <c r="I80" s="366"/>
    </row>
    <row r="81" spans="1:9" ht="12" customHeight="1">
      <c r="A81" s="289"/>
      <c r="B81" s="291" t="s">
        <v>248</v>
      </c>
      <c r="C81" s="955"/>
      <c r="D81" s="955"/>
      <c r="E81" s="955">
        <f>SUM(E45+E63)</f>
        <v>36684</v>
      </c>
      <c r="F81" s="955">
        <f>SUM(F45+F63)</f>
        <v>36684</v>
      </c>
      <c r="G81" s="955">
        <f>SUM(G45+G63)+G12+G51</f>
        <v>82880</v>
      </c>
      <c r="H81" s="292">
        <f t="shared" si="0"/>
        <v>2.2592956057136626</v>
      </c>
      <c r="I81" s="366"/>
    </row>
    <row r="82" spans="1:9" ht="12">
      <c r="A82" s="289"/>
      <c r="B82" s="520" t="s">
        <v>249</v>
      </c>
      <c r="C82" s="955">
        <f>SUM(C18+C20+C48+C65+C72)-C75-C76-C77-C78-C81-C83</f>
        <v>2433218</v>
      </c>
      <c r="D82" s="955">
        <f>SUM(D18+D20+D48+D65+D72)-D75-D76-D77-D78-D81-D83</f>
        <v>2178218</v>
      </c>
      <c r="E82" s="955">
        <f>SUM(E18+E20+E48+E65+E72)-E75-E76-E77-E78-E81-E83</f>
        <v>3455123</v>
      </c>
      <c r="F82" s="955">
        <f>SUM(F18+F20+F48+F65+F72)-F75-F76-F77-F78-F81-F83</f>
        <v>3471623</v>
      </c>
      <c r="G82" s="955">
        <f>SUM(G18+G20+G48+G65+G72)-G75-G76-G77-G78-G81-G83</f>
        <v>4154119</v>
      </c>
      <c r="H82" s="292">
        <f t="shared" si="0"/>
        <v>1.196592775194772</v>
      </c>
      <c r="I82" s="366"/>
    </row>
    <row r="83" spans="1:9" ht="12">
      <c r="A83" s="289"/>
      <c r="B83" s="520" t="s">
        <v>326</v>
      </c>
      <c r="C83" s="955">
        <f>SUM(C42)</f>
        <v>20000</v>
      </c>
      <c r="D83" s="955">
        <f>SUM(D42)</f>
        <v>20000</v>
      </c>
      <c r="E83" s="955">
        <f>SUM(E42)</f>
        <v>32276</v>
      </c>
      <c r="F83" s="955">
        <f>SUM(F42)</f>
        <v>32276</v>
      </c>
      <c r="G83" s="955">
        <f>SUM(G42)</f>
        <v>32276</v>
      </c>
      <c r="H83" s="292">
        <f t="shared" si="0"/>
        <v>1</v>
      </c>
      <c r="I83" s="366"/>
    </row>
    <row r="84" spans="1:9" ht="12">
      <c r="A84" s="289"/>
      <c r="B84" s="521" t="s">
        <v>66</v>
      </c>
      <c r="C84" s="1046">
        <f>SUM(C81:C83)</f>
        <v>2453218</v>
      </c>
      <c r="D84" s="1046">
        <f>SUM(D81:D83)</f>
        <v>2198218</v>
      </c>
      <c r="E84" s="1046">
        <f>SUM(E81:E83)</f>
        <v>3524083</v>
      </c>
      <c r="F84" s="1046">
        <f>SUM(F81:F83)</f>
        <v>3540583</v>
      </c>
      <c r="G84" s="1046">
        <f>SUM(G81:G83)</f>
        <v>4269275</v>
      </c>
      <c r="H84" s="1070">
        <f t="shared" si="0"/>
        <v>1.205811302827811</v>
      </c>
      <c r="I84" s="366"/>
    </row>
    <row r="85" spans="1:9" ht="12" customHeight="1">
      <c r="A85" s="523"/>
      <c r="B85" s="517" t="s">
        <v>112</v>
      </c>
      <c r="C85" s="1047">
        <f>SUM(C79+C84)</f>
        <v>2453218</v>
      </c>
      <c r="D85" s="1047">
        <f>SUM(D79+D84)</f>
        <v>2198218</v>
      </c>
      <c r="E85" s="1047">
        <f>SUM(E79+E84)</f>
        <v>3530149</v>
      </c>
      <c r="F85" s="1047">
        <f>SUM(F79+F84)</f>
        <v>3546649</v>
      </c>
      <c r="G85" s="1047">
        <f>SUM(G79+G84)</f>
        <v>4346649</v>
      </c>
      <c r="H85" s="1070">
        <f t="shared" si="0"/>
        <v>1.2255650333596586</v>
      </c>
      <c r="I85" s="363"/>
    </row>
    <row r="86" spans="1:8" ht="12">
      <c r="A86" s="32"/>
      <c r="C86" s="272"/>
      <c r="D86" s="272"/>
      <c r="E86" s="272"/>
      <c r="F86" s="272"/>
      <c r="G86" s="272"/>
      <c r="H86" s="271"/>
    </row>
    <row r="87" spans="2:7" ht="12">
      <c r="B87" s="40" t="s">
        <v>1074</v>
      </c>
      <c r="C87" s="220"/>
      <c r="D87" s="220"/>
      <c r="E87" s="220"/>
      <c r="F87" s="220"/>
      <c r="G87" s="220"/>
    </row>
  </sheetData>
  <mergeCells count="8">
    <mergeCell ref="A1:I1"/>
    <mergeCell ref="A2:I2"/>
    <mergeCell ref="H4:H6"/>
    <mergeCell ref="C4:C6"/>
    <mergeCell ref="D4:D6"/>
    <mergeCell ref="E4:E6"/>
    <mergeCell ref="F4:F6"/>
    <mergeCell ref="G4:G6"/>
  </mergeCells>
  <printOptions horizontalCentered="1"/>
  <pageMargins left="0" right="0" top="0.1968503937007874" bottom="0.1968503937007874" header="0.11811023622047245" footer="0"/>
  <pageSetup firstPageNumber="44" useFirstPageNumber="1" horizontalDpi="600" verticalDpi="600" orientation="landscape" paperSize="9" scale="70" r:id="rId1"/>
  <headerFooter alignWithMargins="0">
    <oddFooter>&amp;C&amp;P. oldal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2020-10-01T07:54:29Z</cp:lastPrinted>
  <dcterms:created xsi:type="dcterms:W3CDTF">2004-02-02T11:10:51Z</dcterms:created>
  <dcterms:modified xsi:type="dcterms:W3CDTF">2020-10-01T07:54:41Z</dcterms:modified>
  <cp:category/>
  <cp:version/>
  <cp:contentType/>
  <cp:contentStatus/>
</cp:coreProperties>
</file>