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7" activeTab="17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 " sheetId="7" r:id="rId7"/>
    <sheet name="3d.m. " sheetId="8" r:id="rId8"/>
    <sheet name="4.mell." sheetId="9" r:id="rId9"/>
    <sheet name="5.mell. " sheetId="10" r:id="rId10"/>
    <sheet name="6.mell. " sheetId="11" r:id="rId11"/>
    <sheet name="7.mell." sheetId="12" r:id="rId12"/>
    <sheet name="8.mell." sheetId="13" r:id="rId13"/>
    <sheet name="9.mell" sheetId="14" r:id="rId14"/>
    <sheet name="10.mell" sheetId="15" r:id="rId15"/>
    <sheet name="11.mell " sheetId="16" r:id="rId16"/>
    <sheet name="12.mell" sheetId="17" r:id="rId17"/>
    <sheet name="13.mell" sheetId="18" r:id="rId18"/>
    <sheet name="14.mell" sheetId="19" r:id="rId19"/>
    <sheet name="15.mell" sheetId="20" r:id="rId20"/>
    <sheet name="16.mell " sheetId="21" r:id="rId21"/>
    <sheet name="17.mell" sheetId="22" r:id="rId22"/>
    <sheet name="18.mell." sheetId="23" r:id="rId23"/>
    <sheet name="19.mell" sheetId="24" r:id="rId24"/>
    <sheet name="20.mell" sheetId="25" r:id="rId25"/>
    <sheet name="21.mell" sheetId="26" r:id="rId26"/>
    <sheet name="22.mell" sheetId="27" r:id="rId27"/>
    <sheet name="23.mell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4._sz._sor_részletezése" localSheetId="20">#REF!</definedName>
    <definedName name="_4._sz._sor_részletezése" localSheetId="21">#REF!</definedName>
    <definedName name="_4._sz._sor_részletezése" localSheetId="22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1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1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1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1">#REF!</definedName>
    <definedName name="l">#REF!</definedName>
    <definedName name="nem">1</definedName>
    <definedName name="_xlnm.Print_Titles" localSheetId="15">'11.mell '!$6:$9</definedName>
    <definedName name="_xlnm.Print_Titles" localSheetId="16">'12.mell'!$8:$9</definedName>
    <definedName name="_xlnm.Print_Titles" localSheetId="17">'13.mell'!$4:$5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7">'23.mell'!$5:$6</definedName>
    <definedName name="_xlnm.Print_Titles" localSheetId="4">'3a.m.'!$4:$8</definedName>
    <definedName name="_xlnm.Print_Titles" localSheetId="6">'3c.m. '!$4:$8</definedName>
    <definedName name="_xlnm.Print_Titles" localSheetId="7">'3d.m. '!$4:$8</definedName>
    <definedName name="_xlnm.Print_Titles" localSheetId="8">'4.mell.'!$4:$8</definedName>
    <definedName name="_xlnm.Print_Titles" localSheetId="9">'5.mell. '!$3:$7</definedName>
    <definedName name="_xlnm.Print_Titles" localSheetId="11">'7.mell.'!$6:$9</definedName>
    <definedName name="_xlnm.Print_Titles" localSheetId="13">'9.mell'!$3:$7</definedName>
    <definedName name="_xlnm.Print_Area" localSheetId="20">'16.mell '!$A$1:$E$155</definedName>
    <definedName name="_xlnm.Print_Area" localSheetId="21">'17.mell'!$A$1:$H$33</definedName>
    <definedName name="_xlnm.Print_Area" localSheetId="22">'18.mell.'!$A$1:$E$62</definedName>
    <definedName name="_xlnm.Print_Area" localSheetId="23">'19.mell'!$A$1:$H$23</definedName>
    <definedName name="_xlnm.Print_Area" localSheetId="3">'2.mell'!$A$1:$F$1063</definedName>
    <definedName name="székház" localSheetId="11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<sst xmlns="http://schemas.openxmlformats.org/spreadsheetml/2006/main" count="3925" uniqueCount="1412">
  <si>
    <t>Teljes munkaidős 2012.dec.31.</t>
  </si>
  <si>
    <t>Teljes munkaidős 2012. dec.31.</t>
  </si>
  <si>
    <t>Rész munkaidős 2012. dec.31.</t>
  </si>
  <si>
    <t>Közfoglalkoz-tatottak létszáma 2012.dec.31.</t>
  </si>
  <si>
    <t>Pénzkészlet a tárgyidőszak elején</t>
  </si>
  <si>
    <t>- Forintban vezetett költésgvetési pénzforgalmi számlák egyenlege</t>
  </si>
  <si>
    <t>- Devizabetét számlák egyenlege</t>
  </si>
  <si>
    <t>- Forintpénztárak és betétkönyvek egyenlege</t>
  </si>
  <si>
    <t>Pénzkészlet összesen</t>
  </si>
  <si>
    <t>Pénzkészlet a tárgyidőszak végén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</si>
  <si>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</si>
  <si>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</si>
  <si>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</si>
  <si>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</si>
  <si>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</si>
  <si>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</si>
  <si>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</si>
  <si>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</si>
  <si>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</si>
  <si>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</si>
  <si>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</si>
  <si>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</si>
  <si>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</si>
  <si>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</si>
  <si>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</si>
  <si>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</si>
  <si>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</si>
  <si>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</si>
  <si>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</si>
  <si>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</si>
  <si>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</si>
  <si>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</si>
  <si>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>Kölcsön kiadásai</t>
  </si>
  <si>
    <t xml:space="preserve">    Általános tartalék</t>
  </si>
  <si>
    <t xml:space="preserve">     Működési célú</t>
  </si>
  <si>
    <t>Költségvetési kiadások összesen</t>
  </si>
  <si>
    <t>2012. év 7/2012. eredeti</t>
  </si>
  <si>
    <t>2012. év  1/2013. módosítás</t>
  </si>
  <si>
    <t>eFT</t>
  </si>
  <si>
    <t>Budapest Főváros IX. kerület Ferencváros Önkormányzat</t>
  </si>
  <si>
    <t>2012. évi Egyszerűsített Pénzmaradvány-kimutatás</t>
  </si>
  <si>
    <t>Auditálási eltérések ( ± )</t>
  </si>
  <si>
    <t xml:space="preserve">Tárgyévi költségvetési beszámoló </t>
  </si>
  <si>
    <t>Záró pénzkészlet</t>
  </si>
  <si>
    <t>Forgatási célú pénzügyi műveletek egyenlege</t>
  </si>
  <si>
    <t>Egyéb aktív és passzív pénzügyi elszámolások összevont záróegyenlege (±)</t>
  </si>
  <si>
    <t>Előző év(ek)ben képzett tartalékok maradványa ( - )</t>
  </si>
  <si>
    <t>Vállalkozási tevékenység pénzforgalmi vállalkozási maradványa ( - )</t>
  </si>
  <si>
    <t>Finanszírozásból származó korrekciók ( + )</t>
  </si>
  <si>
    <t>Pénzmaradványt terhelő elvonások ( ± )</t>
  </si>
  <si>
    <t>Költségvetési pénzmaradvány (6 ±7±8 )</t>
  </si>
  <si>
    <t>Vállalkozási maradványból az alaptevékenység ellátására felhasznált összeg</t>
  </si>
  <si>
    <t>Költségvetési pénzmaradványt külön jogszabály alapján módosító tétel ( ± )</t>
  </si>
  <si>
    <t>Módosított pénzmaradvány ( 9 ±10±11)</t>
  </si>
  <si>
    <t>A 12. sorból az 
- Egészségbiztosítási alapból folyósított pénzmaradvány</t>
  </si>
  <si>
    <t>- Kötelezettségvállalással terhelt pénzmaradvány</t>
  </si>
  <si>
    <t>-Szabad pénzmaradvány</t>
  </si>
  <si>
    <r>
      <t xml:space="preserve">Tárgyévi helyesbített pénzmaradvány ( 1 + 2 </t>
    </r>
    <r>
      <rPr>
        <sz val="9"/>
        <rFont val="Times New Roman"/>
        <family val="1"/>
      </rPr>
      <t>±</t>
    </r>
    <r>
      <rPr>
        <b/>
        <sz val="9"/>
        <rFont val="Times New Roman"/>
        <family val="1"/>
      </rPr>
      <t>3 - 4 -5)</t>
    </r>
  </si>
  <si>
    <t>2012. évi Egyszerűsített Pénzforgalmi Jelentése</t>
  </si>
  <si>
    <t>Eredeti</t>
  </si>
  <si>
    <t>Módosított</t>
  </si>
  <si>
    <t>A</t>
  </si>
  <si>
    <t>B</t>
  </si>
  <si>
    <t>C</t>
  </si>
  <si>
    <t>D</t>
  </si>
  <si>
    <t>E</t>
  </si>
  <si>
    <t>01.</t>
  </si>
  <si>
    <t xml:space="preserve"> Személyi juttatások   </t>
  </si>
  <si>
    <t>02.</t>
  </si>
  <si>
    <t xml:space="preserve"> Munkaadókat terhelő járulékok   </t>
  </si>
  <si>
    <t>03.</t>
  </si>
  <si>
    <t xml:space="preserve"> Dologi és egyéb folyó kiadások   </t>
  </si>
  <si>
    <t>04.</t>
  </si>
  <si>
    <t xml:space="preserve"> Működési célú támogatásértékű kiadások, egyéb támogatások   </t>
  </si>
  <si>
    <t>05.</t>
  </si>
  <si>
    <t xml:space="preserve"> Államháztartáson kívülre végleges működési pénzeszközátadások   </t>
  </si>
  <si>
    <t>06.</t>
  </si>
  <si>
    <t xml:space="preserve"> Ellátottak pénzbeli juttatásai   </t>
  </si>
  <si>
    <t>07.</t>
  </si>
  <si>
    <t xml:space="preserve"> Felújítás   </t>
  </si>
  <si>
    <t>08.</t>
  </si>
  <si>
    <t xml:space="preserve"> Felhalmozási kiadások   </t>
  </si>
  <si>
    <t>09.</t>
  </si>
  <si>
    <t xml:space="preserve"> Felhalmozási célú támogatásértékű kiadások, egyéb támogatások   </t>
  </si>
  <si>
    <t xml:space="preserve"> Államháztartáson kívülre végleges felhalmozási pénzeszközátadások   </t>
  </si>
  <si>
    <t xml:space="preserve"> Hosszú lejáratú kölcsönök nyújtása   </t>
  </si>
  <si>
    <t xml:space="preserve"> Rövid lejáratú kölcsönök nyújtása   </t>
  </si>
  <si>
    <t xml:space="preserve"> Költségvetési pénzforgalmi kiadások összesen (01+...+12)   </t>
  </si>
  <si>
    <t xml:space="preserve"> Hosszú lejáratú hitelek törlesztése</t>
  </si>
  <si>
    <t xml:space="preserve"> Rövid lejáratú hitelek törlesztése   </t>
  </si>
  <si>
    <t>15-ből likvidhitelek kiadása</t>
  </si>
  <si>
    <t xml:space="preserve"> Tartós hitelviszonyt megtestesítő értékpapírok kiadásai   </t>
  </si>
  <si>
    <t xml:space="preserve"> Forgatási célú hitelviszonyt megtestesítő értékpapírok kiadásai   </t>
  </si>
  <si>
    <t xml:space="preserve"> Finanszírozási kiadások összesen (14+15+17+18)   </t>
  </si>
  <si>
    <t xml:space="preserve"> Pénzforgalmi kiadások (13+19)   </t>
  </si>
  <si>
    <t xml:space="preserve"> Pénzforgalom nélküli kiadások   </t>
  </si>
  <si>
    <t xml:space="preserve"> Kiegyenlítő, függő, átfutó kiadások</t>
  </si>
  <si>
    <t xml:space="preserve"> Kiadások összesen (20+21+22)   </t>
  </si>
  <si>
    <t xml:space="preserve"> Intézményi működési bevételek   </t>
  </si>
  <si>
    <t xml:space="preserve"> Önkormányzatok sajátos működési bevétele   </t>
  </si>
  <si>
    <t xml:space="preserve"> Működési célú támogatásértékű bevételek, egyéb támogatások   </t>
  </si>
  <si>
    <t xml:space="preserve"> Államháztartáson kívülről végleges működési pénzeszközátvételek   </t>
  </si>
  <si>
    <t xml:space="preserve"> Felhalmozási és tőke jellegű bevételek   </t>
  </si>
  <si>
    <t xml:space="preserve"> 28-ból: Önkormányzatok sajátos felhalmozási és tőkebevételei   </t>
  </si>
  <si>
    <t xml:space="preserve"> Felhalmozási célú támogatásértékű bevételek, egyéb támogatások   </t>
  </si>
  <si>
    <t xml:space="preserve"> Államháztartáson kívülről végleges felhalmozási pénzeszközátvételek    </t>
  </si>
  <si>
    <t xml:space="preserve"> Támogatások, kiegészítések   </t>
  </si>
  <si>
    <t xml:space="preserve"> 32-ből: Önkormányzatok költségvetési támogatása    </t>
  </si>
  <si>
    <t xml:space="preserve"> Hosszú lejáratú kölcsönök visszatérülése   </t>
  </si>
  <si>
    <t xml:space="preserve"> Rövid lejáratú kölcsönök visszatérülése   </t>
  </si>
  <si>
    <t xml:space="preserve"> Költségvetési pénzforgalmi bevételek összesen (24+...+28+30+31+32+34+35)   </t>
  </si>
  <si>
    <t xml:space="preserve"> Hosszú lejáratú hitelek felvétele   </t>
  </si>
  <si>
    <t xml:space="preserve"> Rövid lejáratú hitelek felvétele   </t>
  </si>
  <si>
    <t>38-ből likvid hitelek bevétele</t>
  </si>
  <si>
    <t xml:space="preserve"> Tartós hitelviszonyt megtestesítő értékpapírok bevételei   </t>
  </si>
  <si>
    <t xml:space="preserve"> Forgatási célú hitelviszonyt megtestesítő értékpapírok bevételei    </t>
  </si>
  <si>
    <t xml:space="preserve"> Finanszírozási bevételek összesen (37+38+40+41)   </t>
  </si>
  <si>
    <t xml:space="preserve"> Pénzforgalmi bevételek (36+42)   </t>
  </si>
  <si>
    <t xml:space="preserve"> Pénzforgalom nélküli bevételek   </t>
  </si>
  <si>
    <t xml:space="preserve"> Továbbadási (lebonyolítási) célú bevételek</t>
  </si>
  <si>
    <t xml:space="preserve"> Kiegyenlítő, függő, átfutó bevételek</t>
  </si>
  <si>
    <t xml:space="preserve"> Bevételek összesen (43+...+46)   </t>
  </si>
  <si>
    <t xml:space="preserve">Pénzforgalmi költségvetési bevételek és kiadások különbsége (36-13)
[költségvetési hiány (-), költségvetési többlet (+)]   </t>
  </si>
  <si>
    <t xml:space="preserve">Igénybe vett tartalékokkal korrigált költségvetési bevételek és kiadások különbsége (48+44-21)
[korrigált költségvetési hiány (-), korrigált költségvetési többlet (+)]   </t>
  </si>
  <si>
    <t xml:space="preserve"> Finanszírozási műveletek eredménye (42-19)   </t>
  </si>
  <si>
    <t>51.</t>
  </si>
  <si>
    <t xml:space="preserve"> Aktív és passzív pénzügyi műveletek egyenlege (45+46-22) </t>
  </si>
  <si>
    <t>-</t>
  </si>
  <si>
    <t>2012. évi Egyszerűsített Mérlege</t>
  </si>
  <si>
    <t xml:space="preserve">A) BEFEKTETETT ESZKÖZÖK </t>
  </si>
  <si>
    <t>l.   Immateriális javak</t>
  </si>
  <si>
    <t>ll.  Tárgyi eszközök</t>
  </si>
  <si>
    <t>lll. Befektetett pénzügyi eszközök</t>
  </si>
  <si>
    <t>IV. Üzemeltetésre, kezelésre átadott, koncesszióba, vagyonkezelésbe adott, illetve vagyonkezelésbe vett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</si>
  <si>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</si>
  <si>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</si>
  <si>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</si>
  <si>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</si>
  <si>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</si>
  <si>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ESZKÖZÖK ÖSSZESEN</t>
  </si>
  <si>
    <t xml:space="preserve">D) SAJÁT TŐKE </t>
  </si>
  <si>
    <t>1. Tartós tőke</t>
  </si>
  <si>
    <t>2. Tőkeváltozások</t>
  </si>
  <si>
    <t>3. Értékelési tartalék</t>
  </si>
  <si>
    <t xml:space="preserve">E) TARTALÉKOK </t>
  </si>
  <si>
    <t>l. Költségvetési tartalékok</t>
  </si>
  <si>
    <t>ll. Vállalkozási tartalékok</t>
  </si>
  <si>
    <t xml:space="preserve">F) KÖTELEZETTSÉGEK </t>
  </si>
  <si>
    <t>l. Hosszú lejáratú kötelezettségek</t>
  </si>
  <si>
    <t>ll. Rövid lejáratú kötelezettségek</t>
  </si>
  <si>
    <t>lll. Egyéb passzív pénzügyi elszámolások</t>
  </si>
  <si>
    <t>FORRÁSOK ÖSSZESEN</t>
  </si>
  <si>
    <t>17. sz. melléklet</t>
  </si>
  <si>
    <t>Állami tám.elsz.</t>
  </si>
  <si>
    <t>Befizetés</t>
  </si>
  <si>
    <t>Intézmények részére alulfin. Utalása</t>
  </si>
  <si>
    <t>Költségv. pénzm.    5.-6+7.</t>
  </si>
  <si>
    <t>Felosztható  pm. 5.+7.+9.+10.</t>
  </si>
  <si>
    <t>14. számú melléklet</t>
  </si>
  <si>
    <t>Engedélye-zett létszám összesen 1/2013.</t>
  </si>
  <si>
    <t>Teljes munkaidős 1/2013.</t>
  </si>
  <si>
    <t>Részmun-kaidős  1/2013</t>
  </si>
  <si>
    <t>Teljesítés      I.-XII. hó   …./2013.</t>
  </si>
  <si>
    <t>Teljesítés      I.-XII. hó  …/2013.</t>
  </si>
  <si>
    <t>eFt-ban</t>
  </si>
  <si>
    <t>eFT-ban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</si>
  <si>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</si>
  <si>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</si>
  <si>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</si>
  <si>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</si>
  <si>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</si>
  <si>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</si>
  <si>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</si>
  <si>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</si>
  <si>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</si>
  <si>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</si>
  <si>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</si>
  <si>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</si>
  <si>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</si>
  <si>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</si>
  <si>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</si>
  <si>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</si>
  <si>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</si>
  <si>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</si>
  <si>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</si>
  <si>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</si>
  <si>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</si>
  <si>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</si>
  <si>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</si>
  <si>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</si>
  <si>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</si>
  <si>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</si>
  <si>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</si>
  <si>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</si>
  <si>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</si>
  <si>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</si>
  <si>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</si>
  <si>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</si>
  <si>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</si>
  <si>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</si>
  <si>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</si>
  <si>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</si>
  <si>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</si>
  <si>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</si>
  <si>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Ferencvárosi Úrhölgyek Polgári Egyesülete</t>
  </si>
  <si>
    <t>FMK eszközbeszerzés pályázati önrész</t>
  </si>
  <si>
    <t>Intézményi felújításokkal kapcsolatos tervezések</t>
  </si>
  <si>
    <t>Hivatali eszközbeszerzések</t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</si>
  <si>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</si>
  <si>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</si>
  <si>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</si>
  <si>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</si>
  <si>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</si>
  <si>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</si>
  <si>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</si>
  <si>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</si>
  <si>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</si>
  <si>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</si>
  <si>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</si>
  <si>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</si>
  <si>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</si>
  <si>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</si>
  <si>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</si>
  <si>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</si>
  <si>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József Attila Általános Iskola átalakítása (Dominó, Nev.Tan elhelyezése)</t>
  </si>
  <si>
    <t>Lift építés Lenhossék u. 24.-28.</t>
  </si>
  <si>
    <t xml:space="preserve">     Szociális támogatása</t>
  </si>
  <si>
    <t>Felhalmozási célú céltartalék</t>
  </si>
  <si>
    <t>Tárgyi eszközök értékesítése</t>
  </si>
  <si>
    <t>7.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</si>
  <si>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</si>
  <si>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</si>
  <si>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</si>
  <si>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</si>
  <si>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</si>
  <si>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</si>
  <si>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</si>
  <si>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</si>
  <si>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</si>
  <si>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</si>
  <si>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</si>
  <si>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</si>
  <si>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</si>
  <si>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</si>
  <si>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</si>
  <si>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</si>
  <si>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</si>
  <si>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</si>
  <si>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>Óvodai karbantartási keret (dologi kiadások)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</si>
  <si>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</si>
  <si>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</si>
  <si>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</si>
  <si>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</si>
  <si>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</si>
  <si>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</si>
  <si>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</si>
  <si>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</si>
  <si>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</si>
  <si>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</si>
  <si>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</si>
  <si>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 xml:space="preserve">  Felhalmozási célú támogatásértékű bevételek</t>
  </si>
  <si>
    <t>2012. dec. 31. állomány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</si>
  <si>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</si>
  <si>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</si>
  <si>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</si>
  <si>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</si>
  <si>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Intézményi ellátási díjak, egyéb bevételek</t>
  </si>
  <si>
    <t>Index            5./4.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</si>
  <si>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</si>
  <si>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</si>
  <si>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</si>
  <si>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</si>
  <si>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</si>
  <si>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</si>
  <si>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</si>
  <si>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 xml:space="preserve">FESZ kiemelkedően közhasznú Non-profit KFT </t>
  </si>
  <si>
    <t xml:space="preserve">FESZ kiemelkedően közhasznú Non-profit KFT kéményfelújítás támog. </t>
  </si>
  <si>
    <t>Oktatási ágazat összesen</t>
  </si>
  <si>
    <t>Ferencvárosi Pedagógiai Szak és Szakmai Szolg. Közp.</t>
  </si>
  <si>
    <t>Biztos Kezdet Gyermekház</t>
  </si>
  <si>
    <t>Ferencvárosi Intézményi Üzemeltetési Központ</t>
  </si>
  <si>
    <t>Ferencváros a korszerű természettudományos oktatásért (TÁMOP-3.1.3-10/1)</t>
  </si>
  <si>
    <t xml:space="preserve">   Felújítási kiadások</t>
  </si>
  <si>
    <t xml:space="preserve">   Beruházási kiadások</t>
  </si>
  <si>
    <t>Pályázat előkészítés, lebonyolítás</t>
  </si>
  <si>
    <t>Katasztrófavédelmi támogatás</t>
  </si>
  <si>
    <t>FEV IX. Zrt. támogatása</t>
  </si>
  <si>
    <t>Ferencváros Kártya Kft. támogatása</t>
  </si>
  <si>
    <t xml:space="preserve">Gyermekvédelmi Alap </t>
  </si>
  <si>
    <t xml:space="preserve">Gyermekétkeztetés támogatása </t>
  </si>
  <si>
    <t xml:space="preserve">        - FEV IX. Zrt. értékesítés</t>
  </si>
  <si>
    <t>Kamatbevétel</t>
  </si>
  <si>
    <t>BÖP KFT tagi kölcsön</t>
  </si>
  <si>
    <t xml:space="preserve">    Beruházási kiadások</t>
  </si>
  <si>
    <t xml:space="preserve">Panelprogram  </t>
  </si>
  <si>
    <t xml:space="preserve"> Egyéb felhalmozási célú kiadás</t>
  </si>
  <si>
    <t xml:space="preserve">               működési célú kiadás</t>
  </si>
  <si>
    <t>Szentgyörgyi Albert Általános Iskola és Gimnázium felújítás</t>
  </si>
  <si>
    <t xml:space="preserve">  - ebből beruházási kiadások</t>
  </si>
  <si>
    <t xml:space="preserve">                dologi kiadások</t>
  </si>
  <si>
    <t>Kúltúra, egészségügy, szociális ellátás</t>
  </si>
  <si>
    <t>2012. év  1/2013.</t>
  </si>
  <si>
    <t>2012. évi előirányzat 1/2013.</t>
  </si>
  <si>
    <t xml:space="preserve">   Felhalmozási kiadások- beruházási kiadások</t>
  </si>
  <si>
    <t>2012. évi Polgármesteri Hivatal és Intézményi létszámadatok</t>
  </si>
  <si>
    <t>Ssz.</t>
  </si>
  <si>
    <t>Intézmény megnevezése (Polgármesteri Hivatalnál Irodánként)</t>
  </si>
  <si>
    <t>Engedélye-zett létszám összesen 7/2012.</t>
  </si>
  <si>
    <t>Engedélyezett létszám</t>
  </si>
  <si>
    <t>Szakmai létsz.</t>
  </si>
  <si>
    <t>Egyéb létsz.</t>
  </si>
  <si>
    <t>Közfoglalkoz-tatottak létszáma</t>
  </si>
  <si>
    <t>Teljes munkaidős 7/2012.</t>
  </si>
  <si>
    <t>Részmun-kaidős  7/2012</t>
  </si>
  <si>
    <t>Közterület-felügyelet 2012. évi teljesítési kiadásai</t>
  </si>
  <si>
    <t>Kiadások összesen (költségvetési)</t>
  </si>
  <si>
    <t>Polgármesteri Hivatal összesen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</si>
  <si>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</si>
  <si>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</si>
  <si>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</si>
  <si>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</si>
  <si>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</si>
  <si>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</si>
  <si>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</si>
  <si>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</si>
  <si>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</si>
  <si>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</si>
  <si>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</si>
  <si>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</si>
  <si>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</si>
  <si>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</si>
  <si>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12.</t>
  </si>
  <si>
    <t>13.</t>
  </si>
  <si>
    <t>Polgárvédelem</t>
  </si>
  <si>
    <t>14.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</si>
  <si>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</si>
  <si>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</si>
  <si>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</si>
  <si>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</si>
  <si>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</si>
  <si>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</si>
  <si>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</si>
  <si>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</si>
  <si>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</si>
  <si>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</si>
  <si>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</si>
  <si>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</si>
  <si>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</si>
  <si>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</si>
  <si>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</si>
  <si>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</si>
  <si>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</si>
  <si>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</si>
  <si>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</si>
  <si>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Bakáts téri Általános Iskola</t>
  </si>
  <si>
    <t>25.</t>
  </si>
  <si>
    <t>Dominó Általános Iskola</t>
  </si>
  <si>
    <t>26.</t>
  </si>
  <si>
    <t>József Attila Általános Iskola</t>
  </si>
  <si>
    <t>27.</t>
  </si>
  <si>
    <t>Komplex Óvoda és Általános Iskola</t>
  </si>
  <si>
    <t>28.</t>
  </si>
  <si>
    <t>Kosztolányi Dezső Általános Iskola</t>
  </si>
  <si>
    <t>29.</t>
  </si>
  <si>
    <t>Kőrösi Csoma Sándor Általános Iskola</t>
  </si>
  <si>
    <t>30.</t>
  </si>
  <si>
    <t>Molnár Ferenc Általános Iskola</t>
  </si>
  <si>
    <t>31.</t>
  </si>
  <si>
    <t>Ádám Jenő Zeneiskola</t>
  </si>
  <si>
    <t>32.</t>
  </si>
  <si>
    <t>Szentgyörgyi Albert Ált. Iskola és Gimnázium</t>
  </si>
  <si>
    <t>33.</t>
  </si>
  <si>
    <t>Telepy Károly Ált. Iskola és Gimnázium</t>
  </si>
  <si>
    <t>34.</t>
  </si>
  <si>
    <t>Weörös Sándor Ált. Iskola és Gimnázium</t>
  </si>
  <si>
    <t>35.</t>
  </si>
  <si>
    <t>Leövey Klára Gimnázium</t>
  </si>
  <si>
    <t>36.</t>
  </si>
  <si>
    <t>Fvi Nevelési Tanácsadó Fvi Pedagógiai Szak- és Szakmai Szolgáltató</t>
  </si>
  <si>
    <t>38.</t>
  </si>
  <si>
    <t>Fvi Egyesített Bölcsödék</t>
  </si>
  <si>
    <t>39.</t>
  </si>
  <si>
    <t>40.</t>
  </si>
  <si>
    <t>FMK</t>
  </si>
  <si>
    <t>Összesen Oktatási, nevelési, szoc. Ktsv.szervel</t>
  </si>
  <si>
    <t>8.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</si>
  <si>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</si>
  <si>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</si>
  <si>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</si>
  <si>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</si>
  <si>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</si>
  <si>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</si>
  <si>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részletfizetés</t>
  </si>
  <si>
    <t>méltányosság</t>
  </si>
  <si>
    <t>Telekadó</t>
  </si>
  <si>
    <t>Gépjárműadó</t>
  </si>
  <si>
    <t>Ellátottak térítési díja gyermekétkeztetés</t>
  </si>
  <si>
    <t>Ellátottak térítési díja személyes gondoskodás</t>
  </si>
  <si>
    <t>Helyiség bérleti díj</t>
  </si>
  <si>
    <t>közérdekű bérbead.</t>
  </si>
  <si>
    <t>9. sz. melléklet</t>
  </si>
  <si>
    <t>(Ft-ban)</t>
  </si>
  <si>
    <t>Feldolg. Kód</t>
  </si>
  <si>
    <t>Az állami támogatás jogcímei</t>
  </si>
  <si>
    <t>Tény</t>
  </si>
  <si>
    <t>Fel nem használt  lekötött összeg</t>
  </si>
  <si>
    <t xml:space="preserve">  Eltérés           </t>
  </si>
  <si>
    <t>Mut.szám</t>
  </si>
  <si>
    <t>Összeg</t>
  </si>
  <si>
    <t>Igényelhető</t>
  </si>
  <si>
    <t>Felhasznált</t>
  </si>
  <si>
    <t>6.-4.</t>
  </si>
  <si>
    <t>Állami támogatás</t>
  </si>
  <si>
    <t>Települési önk. felad. - telep, üzem, ig. - lakos.szám sz.</t>
  </si>
  <si>
    <t>Körzeti igazgatás - okm. irod. műk. és gyámügyi ig. - alaphozzájárulás</t>
  </si>
  <si>
    <t>Körz. igazgatás -okmányiroda működési kiadásai</t>
  </si>
  <si>
    <t>Körz. igazg.-gyámügyi igazgatási feladatok</t>
  </si>
  <si>
    <t>Körz. igazg. -építésügyi igazgatósági feladatok -normatív hozzájár.</t>
  </si>
  <si>
    <t>Körz. igazg. -építésügyi igazgatósági feladatok -kiegészítő hozzájár.</t>
  </si>
  <si>
    <t>Üdülőhelyi feladatok</t>
  </si>
  <si>
    <t>Szoc. alapszolg. - családsegítés &lt; 70001 fő, műk. eng.</t>
  </si>
  <si>
    <t xml:space="preserve">Szoc. alapszolg. - Gyermekjóléti &lt;70001 fő, műk. eng. </t>
  </si>
  <si>
    <t>Szoc. alapszolg. - gyermekjóléti központ</t>
  </si>
  <si>
    <t>Szoc. alapszolg.-otthonközeli ell.-szociális étkezés</t>
  </si>
  <si>
    <t>Szoc. alapszolg.-otthonközeli ell.-házi segítségnyújtás</t>
  </si>
  <si>
    <t>Szoc. alapszolg.-otthonközeli ell.-időskorúak nappali int.ellátása</t>
  </si>
  <si>
    <t>Szoc. alapszolg. - szenvedélybetegek nappali ellátása</t>
  </si>
  <si>
    <t>Szoc. bentlakás átlagos szintű szociális ell. Átmeneti elhelyezés</t>
  </si>
  <si>
    <t>Gyermekek napközben - bölcsődei ellátás</t>
  </si>
  <si>
    <t xml:space="preserve">Óvodai nevelés 8 hó, napi 8 órát meghaladó </t>
  </si>
  <si>
    <t>Óvodai nevelés 4 hó, napi 8 órát meghaladó</t>
  </si>
  <si>
    <t>Ált. iskola - 8 hó - 1-2. évfolyam</t>
  </si>
  <si>
    <t>Ált. iskola - 8 hó - 3. évfolyam</t>
  </si>
  <si>
    <t>Ált. iskola - 8 hó - 4. évfolyam</t>
  </si>
  <si>
    <t>Ált. iskola - 8 hó - 5-6. évfolyam</t>
  </si>
  <si>
    <t>Ált. iskola - 8 hó - 7. -8.évfolyam</t>
  </si>
  <si>
    <t>Ált. iskola - 4 hó - 1-2. évfolyam</t>
  </si>
  <si>
    <t>Ált. iskola - 4 hó - 3. évfolyam</t>
  </si>
  <si>
    <t>Ált. iskola - 4 hó - 4. évfolyam</t>
  </si>
  <si>
    <t>Ált. iskola - 4 hó - 5-6. évfolyam</t>
  </si>
  <si>
    <t>Ált. iskola - 4 hó - 7.-8. évfolyam</t>
  </si>
  <si>
    <t>Középfokú iskola - 8 hó - 9-10. évfolyam gimnázium</t>
  </si>
  <si>
    <t>Középfokú iskola - 9-10. évfolyam 4 hó</t>
  </si>
  <si>
    <t>Középfokú iskola - 11.-13 évfolyam 4 hó</t>
  </si>
  <si>
    <t>Szakképzés elm. 8 hó felzárk. 9.évf.szakközépisk. 1-2. szakkép évf.</t>
  </si>
  <si>
    <t>Szakképzés elm. 4 hó felzárk. 9.évf.szakközépisk. 1-2. szakkép évf.</t>
  </si>
  <si>
    <t>Alapfokú művészetokt.- 8 hó - zeneműv. egyéni - minősített intézmény</t>
  </si>
  <si>
    <t>Alapfokú művészetokt.-8 hó- képző,egyéb műv.,zeneműv.csop,min. int.</t>
  </si>
  <si>
    <t>Intézményi alulfinanszírozás kiutalása</t>
  </si>
  <si>
    <t xml:space="preserve">       2012. évi költségvetési pénzmaradványának felhasználása</t>
  </si>
  <si>
    <t>Polgármesteri Hivatal</t>
  </si>
  <si>
    <t xml:space="preserve">       2012. évi költségvetési pénzmaradványának felosztása</t>
  </si>
  <si>
    <t>Munkaadókat terhelő jár. és szociális hozzájár.adó</t>
  </si>
  <si>
    <t>Lift építés Lenhossék u. 24-28.</t>
  </si>
  <si>
    <t>Hivatali eszközbeszerzés</t>
  </si>
  <si>
    <t xml:space="preserve">Az Önkormányzat </t>
  </si>
  <si>
    <t xml:space="preserve">2013. évi 2/2013 eredeti költségvetésben </t>
  </si>
  <si>
    <t>Alapfokú művészetokt.-4 hó- zeneműv. ág. - minősített. int.</t>
  </si>
  <si>
    <t>Alapfokú művészetokt.-4 hó- képző,egyéb műv.,zeneműv.csop,min. int.</t>
  </si>
  <si>
    <t>Napközis foglalkoztatás 8 hó - 1.-4. évfolyam</t>
  </si>
  <si>
    <t>Napközis foglalkoztatás 8 hó - 5.-8. évfolyam - tanulószobai fogl.</t>
  </si>
  <si>
    <t>Napközis foglalkoztatás 8 hó - 1.-4. évfolyam -iskolaotthonos okt.</t>
  </si>
  <si>
    <t>Napközis foglalkoztatás 4 hó - 1-4. évfolyam -napközis fogl.</t>
  </si>
  <si>
    <t>Napközis foglalkoztatás 4 hó - 5-8. évfolyam -tanulószobai fogl.</t>
  </si>
  <si>
    <t>Napközis foglalkoztatás 4 hó - 1-4. évf. iskolaotthonos okt.</t>
  </si>
  <si>
    <t>Gyakorlati oktatás- 8 hó- szakmai gyak - 1-2. évf.</t>
  </si>
  <si>
    <t>Gyakorlati oktatás- 4 hó- szakmai gyak. - 1. évf. - képz. idő&gt;1</t>
  </si>
  <si>
    <t>Gyakorlati oktatás- 4 hó- szakmai gyak. Utolsó évfolyamos képzés</t>
  </si>
  <si>
    <t>Sajátos nev. ig. - 8 hó - testi, érzékszervi óvoda, iskola, gimnázium</t>
  </si>
  <si>
    <t>Sajátos nev. ig. - 4 hó - testi, érzékszervi óvoda, ált.iskola, gimnázium</t>
  </si>
  <si>
    <t xml:space="preserve">Sajátos nev. ig. - 8 hó - beszéd, enyhe, organikus, óvoda,iskola,gimn. </t>
  </si>
  <si>
    <t>Sajátos nev. ig. - 4 hó - beszéd, enyhe, organikus  óvoda,iskola, gimn.</t>
  </si>
  <si>
    <t>Sajátos nev. ig. - korai fejlesztő gondozás</t>
  </si>
  <si>
    <t>Nemzetiségi, két tanítási nyelvű okt. - 8 hó - ált. isk.</t>
  </si>
  <si>
    <t>Nemzetiségi, két tanítási nyelvű okt. - 4 hó - ált. isk.</t>
  </si>
  <si>
    <t>Nyelvi előkészítő évfolyam 8 hó</t>
  </si>
  <si>
    <t>Nyelvi előkészítő évfolyam 4 hó</t>
  </si>
  <si>
    <t>Érettségi vizsga lebonyolítás</t>
  </si>
  <si>
    <t>Szakmai vizsga lebonyolítása</t>
  </si>
  <si>
    <t xml:space="preserve">Hozzájár. egyes - 8 hó - bejáró </t>
  </si>
  <si>
    <t xml:space="preserve">Hozzájár. egyes - 4 hó - bejáró </t>
  </si>
  <si>
    <t xml:space="preserve">Normatív állami tám. összesen (kötetlen felh.)  </t>
  </si>
  <si>
    <t>(7.+8.)-4.</t>
  </si>
  <si>
    <t>Kieg. tám. - 8 hó - Pedagógiai szakszolgálat</t>
  </si>
  <si>
    <t>Kieg. tám. - 4 hó - Pedagógiai szakszolgálat</t>
  </si>
  <si>
    <t>Kieg.tám.  -        - Pedagógus szakvizsga</t>
  </si>
  <si>
    <t>Osztályfőnöki pótlék</t>
  </si>
  <si>
    <t>Pedagógus pótlék</t>
  </si>
  <si>
    <t>Gyógypedógus pótlék</t>
  </si>
  <si>
    <t>7. számú melléklet</t>
  </si>
  <si>
    <t>Ferencvárosi Önkormányzat 2012. évi közvetett támogatásai</t>
  </si>
  <si>
    <t>Központosított bevételek elszámolása  2012. évben</t>
  </si>
  <si>
    <t>Normatív állami támogatások elszámolása  2012. évben</t>
  </si>
  <si>
    <t>11. sz. melléklet</t>
  </si>
  <si>
    <t>2012.XII.31.</t>
  </si>
  <si>
    <t>12. számú melléklet</t>
  </si>
  <si>
    <t>13.sz.melléklet</t>
  </si>
  <si>
    <t>15. sz. melléklet</t>
  </si>
  <si>
    <t>16. számú melléklet</t>
  </si>
  <si>
    <t>18. sz. melléklet</t>
  </si>
  <si>
    <t xml:space="preserve"> Önkormányzat
VAGYONKIMUTATÁS
a könyvviteli mérlegben értékkel szereplő eszközök 2012. dec. 31. állapotáról</t>
  </si>
  <si>
    <t>21. sz. melléklet</t>
  </si>
  <si>
    <t>22. számú melléklet</t>
  </si>
  <si>
    <t>23. sz. melléklet</t>
  </si>
  <si>
    <t>Közterület-felügyelet</t>
  </si>
  <si>
    <t>3/b. sz. melléklet</t>
  </si>
  <si>
    <t>Ferencvárosi Közterület-felügyelet</t>
  </si>
  <si>
    <t>2 sz. melléklet</t>
  </si>
  <si>
    <t>FIÜK -dologi kiadások</t>
  </si>
  <si>
    <t>2012. évben igényelt  támogatás</t>
  </si>
  <si>
    <t>Kedvezményes óvodai, iskolai étkezés</t>
  </si>
  <si>
    <t>Szakmai tanügyigazgatási feladatok</t>
  </si>
  <si>
    <t>Ingyenes tankönyvellátás</t>
  </si>
  <si>
    <t>Bölcsödei étkezés</t>
  </si>
  <si>
    <t>Könyvtári és közművelődési érdekeltségn.</t>
  </si>
  <si>
    <t>Esélyegyenlőséget, felzárkóztatást seg.tám.</t>
  </si>
  <si>
    <t>Gyermekszegénység elleni progr.</t>
  </si>
  <si>
    <t xml:space="preserve">Lakáslemondás térítéssel </t>
  </si>
  <si>
    <t xml:space="preserve">Táboroztatás </t>
  </si>
  <si>
    <t xml:space="preserve">Manó-Lak Bölcsöde  </t>
  </si>
  <si>
    <t>Önkormányzati feladat ell.szolg. Fejlesztések</t>
  </si>
  <si>
    <t>2011. évről áthúzódó bérkompenzáció</t>
  </si>
  <si>
    <t>Egyes jövedelempótló támogat.kieg.</t>
  </si>
  <si>
    <t>Előadó-művészeti szervezetek támogatása</t>
  </si>
  <si>
    <t>2012. évi bérkompenzáció</t>
  </si>
  <si>
    <t>Egyéb központi támogatások</t>
  </si>
  <si>
    <t>2021.</t>
  </si>
  <si>
    <t>2022.</t>
  </si>
  <si>
    <t>Felújítási MBD-UNIC-13</t>
  </si>
  <si>
    <t>Szociális továbbképzés és szakvizsga támogatása</t>
  </si>
  <si>
    <t>Kiegészítő tám.egyes közoktatási feladatokhoz össz:</t>
  </si>
  <si>
    <t>Belterületi utak,szilárd útburkolat</t>
  </si>
  <si>
    <t>Központosított előir.,kieg.tám.egyes szoc.felad.,színházi, össz:</t>
  </si>
  <si>
    <t>Egyéb központi támogatások összesen:</t>
  </si>
  <si>
    <t>10. sz. melléklet</t>
  </si>
  <si>
    <t>Az önkormányzat, az  önállóan működő és gazdálkodó és az önállóan működő intézmények pénzmaradványairól</t>
  </si>
  <si>
    <t xml:space="preserve">    Kiegy., függő,átfutó</t>
  </si>
  <si>
    <t>Helyesb. Pm.</t>
  </si>
  <si>
    <t>2012. évi módosítás</t>
  </si>
  <si>
    <t>Aktív</t>
  </si>
  <si>
    <t>Passzív</t>
  </si>
  <si>
    <t xml:space="preserve">Központi </t>
  </si>
  <si>
    <t>Személyi</t>
  </si>
  <si>
    <t>Munkaad.</t>
  </si>
  <si>
    <t>Pénzeszk.</t>
  </si>
  <si>
    <t>Dologi</t>
  </si>
  <si>
    <t>Felhalm.</t>
  </si>
  <si>
    <t>elszámolások</t>
  </si>
  <si>
    <t>támog.</t>
  </si>
  <si>
    <t>juttatás</t>
  </si>
  <si>
    <t>terh.jár.</t>
  </si>
  <si>
    <t>átadás</t>
  </si>
  <si>
    <t>kiadás</t>
  </si>
  <si>
    <t>kiad.</t>
  </si>
  <si>
    <t>záróállománya</t>
  </si>
  <si>
    <t>Óvodák</t>
  </si>
  <si>
    <t xml:space="preserve">Epres Óvoda </t>
  </si>
  <si>
    <t xml:space="preserve">Kicsi Bocs Óvóda </t>
  </si>
  <si>
    <t xml:space="preserve">Liliom u. 15. </t>
  </si>
  <si>
    <t xml:space="preserve">Napfény Óvoda </t>
  </si>
  <si>
    <t xml:space="preserve">Csudafa Óvoda </t>
  </si>
  <si>
    <t xml:space="preserve">Ugrifüles Óvoda </t>
  </si>
  <si>
    <t>Iskolák</t>
  </si>
  <si>
    <t>Bakáts téri Ének-Zenei Ált Isk.</t>
  </si>
  <si>
    <t>József A. Általános Isk.</t>
  </si>
  <si>
    <t>Komplex Ált. Iskola és Óvóda</t>
  </si>
  <si>
    <t xml:space="preserve">Kosztolányi D. Ált.Iskola </t>
  </si>
  <si>
    <t>Kőrösi Cs. S. Ált.</t>
  </si>
  <si>
    <t xml:space="preserve">Molnár F.Általános Iskola </t>
  </si>
  <si>
    <t>Weöres Sándor Ált. Isk és Gimn.</t>
  </si>
  <si>
    <t xml:space="preserve">Ádám Jenő Zeneiskola </t>
  </si>
  <si>
    <t xml:space="preserve">Szentgyörgyi A.12. évf. </t>
  </si>
  <si>
    <t xml:space="preserve">Telepy K.Ált.és Testnev.Sz. Isk. </t>
  </si>
  <si>
    <t xml:space="preserve">Leövey Klára Gimnázium </t>
  </si>
  <si>
    <t xml:space="preserve">Ferencv. Műv. Közp. </t>
  </si>
  <si>
    <t>Szociális intézmények</t>
  </si>
  <si>
    <t xml:space="preserve">Egyesített Bölcsödék </t>
  </si>
  <si>
    <t>Intézmények mindössz.</t>
  </si>
  <si>
    <t>Mindösszesen:</t>
  </si>
  <si>
    <t>Sorszám</t>
  </si>
  <si>
    <t>Tárgyévi helyesbített pénzmaradvány</t>
  </si>
  <si>
    <t>Normatív állami támogatás kiutalása</t>
  </si>
  <si>
    <t>Felhasználható pénzmaradvány összesen</t>
  </si>
  <si>
    <t>1/c. melléklet</t>
  </si>
  <si>
    <t>Intézményi alulfinanszírozás</t>
  </si>
  <si>
    <t>1/c. melléklet összesen</t>
  </si>
  <si>
    <t>3/a. sz. melléklet</t>
  </si>
  <si>
    <t>Polgármesteri Hivatal igazgatási kiadásai</t>
  </si>
  <si>
    <t>Informatika működés, fejlesztés</t>
  </si>
  <si>
    <t>3/c. sz. melléklet</t>
  </si>
  <si>
    <t xml:space="preserve">Ferencváros a korszerű természettudományos oktatásért </t>
  </si>
  <si>
    <t xml:space="preserve">Hivatásos gondnokok </t>
  </si>
  <si>
    <t>Oltóanyag beszerzés</t>
  </si>
  <si>
    <t>3/c. sz. melléklet összesen</t>
  </si>
  <si>
    <t>3/d. sz. melléklet</t>
  </si>
  <si>
    <t>3/d. sz. melléklet összesen</t>
  </si>
  <si>
    <t>Lakóházfelújítási tervezés</t>
  </si>
  <si>
    <t>Nem önkormányzati tulajdonú lakóépületek veszélyelh.</t>
  </si>
  <si>
    <t>Veszélyes tűzfalak kémények vizsgálata</t>
  </si>
  <si>
    <t>Weörös Sándor Ált. Iskola és Gimn. felújítás</t>
  </si>
  <si>
    <t>Óvodai karbantartási keret</t>
  </si>
  <si>
    <t>5. sz. melléklet összesen</t>
  </si>
  <si>
    <t>6. sz. melléklet</t>
  </si>
  <si>
    <t>6. sz. melléklet összesen</t>
  </si>
  <si>
    <t>E S Z K Ö Z Ö K</t>
  </si>
  <si>
    <t>2011. évi</t>
  </si>
  <si>
    <t xml:space="preserve">   1. VAGYONI ÉRTÉKŰ JOGOK</t>
  </si>
  <si>
    <t xml:space="preserve">   2. SZELLEMI TERMÉKEK</t>
  </si>
  <si>
    <t xml:space="preserve">   3. EGYÉB IMMATERIÁLIS JAVAK</t>
  </si>
  <si>
    <t xml:space="preserve">       I. IMMATERIÁLIS JAVAK ÖSSZESEN</t>
  </si>
  <si>
    <t xml:space="preserve">   1. INGATLANOK</t>
  </si>
  <si>
    <t xml:space="preserve">   2. GÉPEK, BEREND, FELSZERELÉS</t>
  </si>
  <si>
    <t xml:space="preserve">   3. JÁRMŰVEK</t>
  </si>
  <si>
    <t xml:space="preserve">   4. BERUHÁZÁSOK</t>
  </si>
  <si>
    <t xml:space="preserve">   5. BERUH-RA  ADOTT ELŐLEGEK</t>
  </si>
  <si>
    <t xml:space="preserve">       II. TÁRGYI ESZKÖZÖK ÖSSZESEN</t>
  </si>
  <si>
    <t xml:space="preserve">   1. RÉSZESEDÉSEK</t>
  </si>
  <si>
    <t xml:space="preserve">   2. ÉRTÉKPAPíROK</t>
  </si>
  <si>
    <t xml:space="preserve">   3. ADOTT KÖLCSÖNÖK</t>
  </si>
  <si>
    <t xml:space="preserve">   4.EGYÉB HOSSZÚ LEJÁRATÚ KÖVETELÉSEK</t>
  </si>
  <si>
    <t xml:space="preserve">       III. BEFEKTETETT PÜ-I ESZKÖZ ÖSSZ.</t>
  </si>
  <si>
    <t xml:space="preserve">       IV. ÜZEMELTETÉSRE, KEZ. ÁTADOTT ESZK.</t>
  </si>
  <si>
    <t xml:space="preserve">        A.) BEFEKTETETT ESZKÖZÖK  ÖSSZ.</t>
  </si>
  <si>
    <t xml:space="preserve">   1. ANYAGOK</t>
  </si>
  <si>
    <t xml:space="preserve">       I. KÉSZLETEK ÖSSZESEN</t>
  </si>
  <si>
    <t xml:space="preserve">   1. KÖVETELÉSEK ÁRUSZÁLLÍTÁSBÓL</t>
  </si>
  <si>
    <t xml:space="preserve">   2. ADÓSOK</t>
  </si>
  <si>
    <t xml:space="preserve">   3. RÖVID LEJÁRATÚ KÖLCSÖNÖK</t>
  </si>
  <si>
    <t xml:space="preserve">   4. EGYÉB KÖVETELÉSEK</t>
  </si>
  <si>
    <t xml:space="preserve">       II. KÖVETELÉSEK ÖSSZESEN</t>
  </si>
  <si>
    <t xml:space="preserve">       III. ÉRTÉKPAPÍROK ÖSSZESEN</t>
  </si>
  <si>
    <t xml:space="preserve">   1. PÉNZTÁRAK ÉS BETÉTKÖNYVEK</t>
  </si>
  <si>
    <t xml:space="preserve">   2. KÖLTSÉGVETÉSI BANKSZÁMLÁK</t>
  </si>
  <si>
    <t xml:space="preserve">   3. IDEGEN PÉNZESZKÖZÖK SZÁMLÁI</t>
  </si>
  <si>
    <t xml:space="preserve">       IV. PÉNZESZKÖZÖK ÖSSZESEN</t>
  </si>
  <si>
    <t xml:space="preserve">       V. EGYÉB AKTíV PÜ-I ELSZ. ÖSSZESEN</t>
  </si>
  <si>
    <t xml:space="preserve">        B.) FORGÓESZKÖZÖK ÖSSZESEN</t>
  </si>
  <si>
    <t>E S Z K Ö Z Ö K   Ö S S Z E S E N</t>
  </si>
  <si>
    <t>F O R R Á S O K</t>
  </si>
  <si>
    <t xml:space="preserve">      D.) SAJÁT TŐKE ÖSSZESEN</t>
  </si>
  <si>
    <t xml:space="preserve">   1. KTGV-I TARTALÉK ELSZÁM.</t>
  </si>
  <si>
    <t xml:space="preserve">       - TÁRGYÉVI KTGV-I TARTALÉK</t>
  </si>
  <si>
    <t xml:space="preserve">       - ELŐZŐ ÉVI KTGV-I TARTALÉK</t>
  </si>
  <si>
    <t xml:space="preserve">      I. KTGV-I TARTALÉK ÖSSZESEN</t>
  </si>
  <si>
    <t xml:space="preserve">      E.) TARTALÉKOK ÖSSZESEN</t>
  </si>
  <si>
    <t xml:space="preserve">       II. RÖVIDLEJÁRATU KÖTELEZETTSÉGEK</t>
  </si>
  <si>
    <t xml:space="preserve">       III. EGYÉB PASSZíV PÜ-I ELSZÁM-OK</t>
  </si>
  <si>
    <t xml:space="preserve">       F.) KÖTELEZETTSÉGEK ÖSSZESEN</t>
  </si>
  <si>
    <t>F O R R Á S O K  Ö S S Z E S E N</t>
  </si>
  <si>
    <t>Ezer forintban</t>
  </si>
  <si>
    <t>ESZKÖZÖK</t>
  </si>
  <si>
    <t>sor-
szám</t>
  </si>
  <si>
    <t>Bruttó érték</t>
  </si>
  <si>
    <t>Nettó érték</t>
  </si>
  <si>
    <t>I. Immateriális javak (2+5)</t>
  </si>
  <si>
    <t>TÁMOP-3.1.3-10/1 Ferencváros a korszerű természettudományos oktatásért  (Leövey Klára Gimnázium természettudományi labor)</t>
  </si>
  <si>
    <t>KMOP-2009-4.5.2. Szociális alapszolgáltatások infrastruktúrális fejlesztése  (Thaly Kálmán u. 40 férőhelyes bölcsöde építés)</t>
  </si>
  <si>
    <t>Középfokú iskola - 8 hó - 11.-13. évfolyam gimnázium</t>
  </si>
  <si>
    <t>Gyakorlati oktatás- 8 hó- szakmai gyak. Utolsó évfolyamos képzés</t>
  </si>
  <si>
    <t>Sajátos nev. ig. - 8 hó - megismerő funkciós</t>
  </si>
  <si>
    <t>Sajátos nev. ig. - 4 hó - megismerő funkciós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</si>
  <si>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</si>
  <si>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</si>
  <si>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</si>
  <si>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</si>
  <si>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</si>
  <si>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</si>
  <si>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>Korlátozottan forgalomképes</t>
  </si>
  <si>
    <t xml:space="preserve">Üzleti vagyon 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</si>
  <si>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</si>
  <si>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</si>
  <si>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</si>
  <si>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</si>
  <si>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 xml:space="preserve">        Nemzeti vagyonról szóló tv. 2. számú melléklete szerinti</t>
  </si>
  <si>
    <t>9.2.1.</t>
  </si>
  <si>
    <t xml:space="preserve">        Törvényben, helyi rendeletben ekként meghatározott vagyonelem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</si>
  <si>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</si>
  <si>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</si>
  <si>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</si>
  <si>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</si>
  <si>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</si>
  <si>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</si>
  <si>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</si>
  <si>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</si>
  <si>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</si>
  <si>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</si>
  <si>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 xml:space="preserve">4. Tenyészállatok </t>
  </si>
  <si>
    <t>5. Beruházások, felújítások (22+25)</t>
  </si>
  <si>
    <t>Törzsvagyon (23+24)</t>
  </si>
  <si>
    <t>Forgalomképtelen (23.1.+23.2.)</t>
  </si>
  <si>
    <t>23.1.</t>
  </si>
  <si>
    <t>23.2.</t>
  </si>
  <si>
    <t>6. Beruházásra adott előlegek (27+30)</t>
  </si>
  <si>
    <t>Törzsvagyon (28+29)</t>
  </si>
  <si>
    <t>Forgalomképtelen  (28.1+28.2)</t>
  </si>
  <si>
    <t>28.1.</t>
  </si>
  <si>
    <t>28.2.</t>
  </si>
  <si>
    <t>7. Tárgyi eszközök értékhelyesbítése</t>
  </si>
  <si>
    <t>III. Befektetett pénzügyi eszközök (33+37+38+39+40+41)</t>
  </si>
  <si>
    <t>1. Tartós részesedés (34+36)</t>
  </si>
  <si>
    <t>Törzsvagyon (35)</t>
  </si>
  <si>
    <t>Forgalomképtelen (35.1.)</t>
  </si>
  <si>
    <t>35.1.</t>
  </si>
  <si>
    <t>35.1.1</t>
  </si>
  <si>
    <t>35.1.2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</si>
  <si>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</si>
  <si>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</si>
  <si>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</si>
  <si>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</si>
  <si>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6. Befektetett pénzügyi eszközök értékhelyesbítése</t>
  </si>
  <si>
    <t>IV. Üzemeltetésre, kezelésre átadott, koncesszióba, vagyonkezelésbe adott, illetve vagyonkezelésbe vett eszközök (43+46)</t>
  </si>
  <si>
    <t>Törzsvagyon (44+45)</t>
  </si>
  <si>
    <t>Forgalomképtelen  (44.1+44.2)</t>
  </si>
  <si>
    <t>44.1.</t>
  </si>
  <si>
    <t>44.2.</t>
  </si>
  <si>
    <t>A) BEFEKTETETT ESZKÖZÖK ÖSSZESEN (1+6+32+42)</t>
  </si>
  <si>
    <t>I. Készletek</t>
  </si>
  <si>
    <t>II. Követelések</t>
  </si>
  <si>
    <t>III. Értékpapírok</t>
  </si>
  <si>
    <t>IV. Pénzeszközök</t>
  </si>
  <si>
    <t>V. Egyéb aktív pénzügyi elszámolások</t>
  </si>
  <si>
    <t>B) FORGÓESZKÖZÖK ÖSSZESEN (48+49+50+51+52)</t>
  </si>
  <si>
    <t>ESZKÖZÖK ÖSSZESEN (47+53)</t>
  </si>
  <si>
    <t xml:space="preserve"> Önkormányzat
VAGYONKIMUTATÁS
a könyvviteli mérlegben értékkel szereplő forrásokról</t>
  </si>
  <si>
    <t>FORRÁSOK</t>
  </si>
  <si>
    <t>I. Tartós tőke</t>
  </si>
  <si>
    <t>II. Tőkeváltozások</t>
  </si>
  <si>
    <t>III. Értékelési tartalék</t>
  </si>
  <si>
    <t>D) SAJÁT TŐKE (1+2+3)</t>
  </si>
  <si>
    <t>I. Költségvetési tartalékok</t>
  </si>
  <si>
    <t>II. Vállalkozási tartalékok</t>
  </si>
  <si>
    <t>E) TARTALÉKOK (5+6)</t>
  </si>
  <si>
    <t xml:space="preserve">I. Hosszú lejáratú kötelezettségek </t>
  </si>
  <si>
    <t xml:space="preserve">II. Rövid lejáratú kötelezettségek </t>
  </si>
  <si>
    <t>III. Egyéb passzív pénzügyi elszámolások</t>
  </si>
  <si>
    <t>F) KÖTELEZETTSÉGEK (8+9+10)</t>
  </si>
  <si>
    <t>FORRÁSOK ÖSSZESEN (4+7+11)</t>
  </si>
  <si>
    <t xml:space="preserve"> Önkormányzat
VAGYONKIMUTATÁS
a "0"-ra leírt eszközökről 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</si>
  <si>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</si>
  <si>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</si>
  <si>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</si>
  <si>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</si>
  <si>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</si>
  <si>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</si>
  <si>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</si>
  <si>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</si>
  <si>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1/A melléklet</t>
  </si>
  <si>
    <t>Működési-felhalmozási bevételek és kiadások mérlegszerű bemutatása</t>
  </si>
  <si>
    <t>IV. Üzemeltetésre, kezelésre átadott, koncesszióba, vagyonkezelésbe adott, illetve vagyonkezelésbe vett szközök (18+19)</t>
  </si>
  <si>
    <t>ÖSSZESEN (1+4+17)</t>
  </si>
  <si>
    <t xml:space="preserve"> Önkormányzat
VAGYONKIMUTATÁS
az érték nélkül nyilvántartott eszközökről 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</si>
  <si>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</si>
  <si>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</si>
  <si>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</si>
  <si>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</si>
  <si>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</si>
  <si>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</si>
  <si>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</si>
  <si>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</si>
  <si>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</si>
  <si>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 Önkormányzat
VAGYONKIMUTATÁS
a mérlegben értékkel nem szereplő kötelezettségekről </t>
  </si>
  <si>
    <t xml:space="preserve">Kezességvállalással kapcsolatos függő kötelezettség </t>
  </si>
  <si>
    <t>Garanciavállalással kapcsolatos függő kötelezettség</t>
  </si>
  <si>
    <t>Összesen (1+2)</t>
  </si>
  <si>
    <t>Ingatlannal kapcsolatos bontási feladatok</t>
  </si>
  <si>
    <t>Belső Ferencváros Kulturális negyed fejlesztése</t>
  </si>
  <si>
    <t>FIÜK</t>
  </si>
  <si>
    <t>FEV IX.Zrt</t>
  </si>
  <si>
    <t>Bérlakás és egyéb elidegenítés</t>
  </si>
  <si>
    <t>Városfejlesztéssel kapcsolatos önkormányzati kiadások</t>
  </si>
  <si>
    <t>Fvi kulturális, túrisztikai és sport Non Profit Kft.</t>
  </si>
  <si>
    <t>Élelmiszer bank költség</t>
  </si>
  <si>
    <t>Idősügyi tanács</t>
  </si>
  <si>
    <t>Függő, átfutó, kiegyenlítő bevételek Önkormányzat</t>
  </si>
  <si>
    <t>Függő, átfutó, kiegyenlítő bevételek Közterületfelügyelet</t>
  </si>
  <si>
    <t>Függő, átfutó, kiegyenlítő bevételek Intézmények</t>
  </si>
  <si>
    <t>Függő, átfutó, kiegyenlítő kiadások polgármesteri hivatal</t>
  </si>
  <si>
    <t>Függő, átfutó, kiegyenlítő kiadások Közterületfelügyelet</t>
  </si>
  <si>
    <t>Függő, átfutó, kiegyenlítő kiadások Önkormányzat</t>
  </si>
  <si>
    <t>Teljesítés</t>
  </si>
  <si>
    <t>37.</t>
  </si>
  <si>
    <t>41.</t>
  </si>
  <si>
    <t>Pedagógiai Szak és Szakmai Szolgáltató</t>
  </si>
  <si>
    <t>Pénzm. elvonás, átadás</t>
  </si>
  <si>
    <t>2012.XII.31.Záró pénzk.</t>
  </si>
  <si>
    <t>Pénzforgalom egyeztetése 2012. év</t>
  </si>
  <si>
    <t>Egyszerűsített vállalkozási maradvány-kimutatás 2012.</t>
  </si>
  <si>
    <t>Önkormányzat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</si>
  <si>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</si>
  <si>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</si>
  <si>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</si>
  <si>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</si>
  <si>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</si>
  <si>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</si>
  <si>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</si>
  <si>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</si>
  <si>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</si>
  <si>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19. sz. melléklet</t>
  </si>
  <si>
    <t>Adósság állomány évenkénti bemutatása</t>
  </si>
  <si>
    <t>Szerződés szerinti összege</t>
  </si>
  <si>
    <t xml:space="preserve">Fizetési kötelezettség 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</si>
  <si>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</si>
  <si>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</si>
  <si>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</si>
  <si>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</si>
  <si>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</si>
  <si>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</si>
  <si>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</si>
  <si>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</si>
  <si>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Felújítási Hitel H-14</t>
  </si>
  <si>
    <t>Felújítási Hitel H-25</t>
  </si>
  <si>
    <t>Felújítási Hitel H-31</t>
  </si>
  <si>
    <t>Felújítási Hitel H-18</t>
  </si>
  <si>
    <t>Felújítási Hitel H-12</t>
  </si>
  <si>
    <t>Felújítási Hitel H-6</t>
  </si>
  <si>
    <t>Felújítási Hitel H-17</t>
  </si>
  <si>
    <t>Felújítási ONK-0067</t>
  </si>
  <si>
    <t xml:space="preserve">Lakóház fel.visszatér.tám. Berzenczey u. 30. </t>
  </si>
  <si>
    <t>Lakóház fel.visszatér.tám. Balázs Béla u. 5.</t>
  </si>
  <si>
    <t>Lakóház fel.visszatér.tám. Viola  u. 52.</t>
  </si>
  <si>
    <t>Lakóház fel.visszatér.tám. Márton  u. 3/A.</t>
  </si>
  <si>
    <t>Lakóház fel.visszatér.tám. Tűzoltó u. 66.</t>
  </si>
  <si>
    <t>20. sz. melléklet</t>
  </si>
  <si>
    <t>Előző évi költségvetési beszámoló záró adatai</t>
  </si>
  <si>
    <t>Auditálási eltérések</t>
  </si>
  <si>
    <t>Előző évi auditált egyszerűsített beszámoló záró adatai</t>
  </si>
  <si>
    <t>Tárgyévi költségvetési beszámoló</t>
  </si>
  <si>
    <t>Tárgyévi auditált egyszerűsített beszámoló záró adatai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</si>
  <si>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</si>
  <si>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</si>
  <si>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</si>
  <si>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A.</t>
  </si>
  <si>
    <t>Vállalkozási tevékenység szakfeladaton elszámolt bevételei</t>
  </si>
  <si>
    <t>Vállalkozási tevékenység működési célú kiadásai</t>
  </si>
  <si>
    <t>Vállalkozási tevékenység felhalmozási célú kiadásai</t>
  </si>
  <si>
    <t>Vállalkozási maradványban figyelembe vehető finanszírozási kiadások</t>
  </si>
  <si>
    <t>B.</t>
  </si>
  <si>
    <t>Vállalkozási tevékenység szakfeladaton elszámolt kiadásai</t>
  </si>
  <si>
    <t>C.</t>
  </si>
  <si>
    <t>Vállalkozási tevékenység pénzforgalmi maradványa</t>
  </si>
  <si>
    <t>Vállalkozási tevékenységet terhelő értékcsökkenési leírás</t>
  </si>
  <si>
    <t>Alaptevékenység ellátására felhasznált és felhasználni tervezett vállalkozási maradvány</t>
  </si>
  <si>
    <t>Pénzforgalmi maradványt jogszabály alapján módosító egyéb tétel</t>
  </si>
  <si>
    <t>D.</t>
  </si>
  <si>
    <t>Vállalkozási tevékenység módosított pénzforgalmi vállalkozási maradványa</t>
  </si>
  <si>
    <t>E.</t>
  </si>
  <si>
    <t>Vállalkozási tevékenységet terhelő befizetési kötelezettség</t>
  </si>
  <si>
    <t>F.</t>
  </si>
  <si>
    <t>Vállalkozási tartalékba helyezhető összeg</t>
  </si>
  <si>
    <t>2012. évi                I.-XII. hó telj.      ../2013.</t>
  </si>
  <si>
    <t>2012. évi                I.-XII. hó telj.     ../2013.</t>
  </si>
  <si>
    <t>elengedés</t>
  </si>
  <si>
    <t xml:space="preserve">          Markusovszky park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</si>
  <si>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</si>
  <si>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</si>
  <si>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</si>
  <si>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</si>
  <si>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</si>
  <si>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</si>
  <si>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</si>
  <si>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</si>
  <si>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</si>
  <si>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</si>
  <si>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</si>
  <si>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</si>
  <si>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</si>
  <si>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</si>
  <si>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</si>
  <si>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</si>
  <si>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</si>
  <si>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</si>
  <si>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</si>
  <si>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</si>
  <si>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</si>
  <si>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</si>
  <si>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</si>
  <si>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</si>
  <si>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</si>
  <si>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</si>
  <si>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</si>
  <si>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</si>
  <si>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</si>
  <si>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</si>
  <si>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</si>
  <si>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</si>
  <si>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</si>
  <si>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</si>
  <si>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</si>
  <si>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</si>
  <si>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</si>
  <si>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</si>
  <si>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</si>
  <si>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</si>
  <si>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</si>
  <si>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</si>
  <si>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</si>
  <si>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</si>
  <si>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</si>
  <si>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</si>
  <si>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</si>
  <si>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</si>
  <si>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</si>
  <si>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</si>
  <si>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</si>
  <si>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</si>
  <si>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</si>
  <si>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</si>
  <si>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</si>
  <si>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</si>
  <si>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</si>
  <si>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</si>
  <si>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</si>
  <si>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</si>
  <si>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</si>
  <si>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</si>
  <si>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</si>
  <si>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</si>
  <si>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</si>
  <si>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</si>
  <si>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</si>
  <si>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</si>
  <si>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</si>
  <si>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</si>
  <si>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</si>
  <si>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</si>
  <si>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</si>
  <si>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</si>
  <si>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</si>
  <si>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</si>
  <si>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</si>
  <si>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</si>
  <si>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</si>
  <si>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</si>
  <si>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</si>
  <si>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</si>
  <si>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</si>
  <si>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</si>
  <si>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</si>
  <si>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</si>
  <si>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</si>
  <si>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</si>
  <si>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</si>
  <si>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</si>
  <si>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</si>
  <si>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</si>
  <si>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</si>
  <si>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</si>
  <si>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</si>
  <si>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</si>
  <si>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</si>
  <si>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</si>
  <si>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</si>
  <si>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</si>
  <si>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</si>
  <si>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</si>
  <si>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</si>
  <si>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</si>
  <si>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</si>
  <si>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</si>
  <si>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</si>
  <si>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</si>
  <si>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</si>
  <si>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</si>
  <si>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</si>
  <si>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</si>
  <si>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</si>
  <si>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</si>
  <si>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</si>
  <si>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</si>
  <si>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</si>
  <si>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</si>
  <si>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</si>
  <si>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</si>
  <si>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</si>
  <si>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</si>
  <si>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</si>
  <si>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</si>
  <si>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</si>
  <si>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</si>
  <si>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</si>
  <si>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</si>
  <si>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</si>
  <si>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</si>
  <si>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</si>
  <si>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</si>
  <si>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</si>
  <si>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</si>
  <si>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</si>
  <si>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</si>
  <si>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</si>
  <si>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</si>
  <si>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</si>
  <si>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</si>
  <si>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</si>
  <si>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</si>
  <si>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</si>
  <si>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</si>
  <si>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</si>
  <si>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</si>
  <si>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</si>
  <si>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</si>
  <si>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</si>
  <si>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</si>
  <si>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</si>
  <si>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</si>
  <si>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</si>
  <si>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</si>
  <si>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</si>
  <si>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</si>
  <si>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</si>
  <si>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</si>
  <si>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</si>
  <si>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</si>
  <si>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</si>
  <si>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</si>
  <si>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</si>
  <si>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</si>
  <si>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</si>
  <si>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</si>
  <si>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</si>
  <si>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</si>
  <si>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</si>
  <si>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</si>
  <si>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</si>
  <si>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</si>
  <si>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</si>
  <si>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</si>
  <si>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</si>
  <si>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</si>
  <si>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</si>
  <si>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</si>
  <si>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</si>
  <si>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</si>
  <si>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</si>
  <si>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</si>
  <si>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</si>
  <si>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</si>
  <si>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</si>
  <si>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</si>
  <si>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</si>
  <si>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</si>
  <si>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</si>
  <si>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</si>
  <si>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</si>
  <si>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</si>
  <si>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</si>
  <si>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</si>
  <si>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</si>
  <si>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</si>
  <si>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</si>
  <si>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</si>
  <si>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</si>
  <si>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</si>
  <si>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</si>
  <si>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</si>
  <si>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</si>
  <si>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</si>
  <si>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</si>
  <si>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</si>
  <si>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</si>
  <si>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</si>
  <si>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</si>
  <si>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</si>
  <si>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</si>
  <si>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</si>
  <si>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</si>
  <si>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</si>
  <si>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</si>
  <si>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</si>
  <si>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2011. évi teljesítés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</si>
  <si>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</si>
  <si>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</si>
  <si>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</si>
  <si>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</si>
  <si>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</si>
  <si>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</si>
  <si>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</si>
  <si>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</si>
  <si>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</si>
  <si>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</si>
  <si>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</si>
  <si>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</si>
  <si>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</si>
  <si>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</si>
  <si>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</si>
  <si>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</si>
  <si>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</si>
  <si>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</si>
  <si>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</si>
  <si>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</si>
  <si>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</si>
  <si>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</si>
  <si>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</si>
  <si>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</si>
  <si>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</si>
  <si>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</si>
  <si>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</si>
  <si>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</si>
  <si>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</si>
  <si>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</si>
  <si>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</si>
  <si>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</si>
  <si>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</si>
  <si>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</si>
  <si>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</si>
  <si>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</si>
  <si>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</si>
  <si>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</si>
  <si>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</si>
  <si>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</si>
  <si>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</si>
  <si>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</si>
  <si>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</si>
  <si>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</si>
  <si>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</si>
  <si>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</si>
  <si>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</si>
  <si>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</si>
  <si>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</si>
  <si>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</si>
  <si>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</si>
  <si>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</si>
  <si>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</si>
  <si>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</si>
  <si>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</si>
  <si>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</si>
  <si>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</si>
  <si>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</si>
  <si>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</si>
  <si>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Előző évi költségvetési kieg., visszatérülések, pénzmaradv.átvétele</t>
  </si>
  <si>
    <t xml:space="preserve">Előző évi költségvetési kieg., visszatérülések, pénzmar. átvétele </t>
  </si>
  <si>
    <t>Kiegyenlítő függő, átfutó, bevételek</t>
  </si>
  <si>
    <t>Kiegyenlítő függő, átfutó kiadások</t>
  </si>
  <si>
    <t>Előző évi kiegészítések, pm. átvétele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</si>
  <si>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</si>
  <si>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</si>
  <si>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</si>
  <si>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</si>
  <si>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</si>
  <si>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</si>
  <si>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</si>
  <si>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</si>
  <si>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</si>
  <si>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</si>
  <si>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</si>
  <si>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</si>
  <si>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</si>
  <si>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</si>
  <si>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</si>
  <si>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</si>
  <si>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</si>
  <si>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</si>
  <si>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</si>
  <si>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</si>
  <si>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</si>
  <si>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</si>
  <si>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</si>
  <si>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</si>
  <si>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</si>
  <si>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</si>
  <si>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</si>
  <si>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</si>
  <si>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</si>
  <si>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</si>
  <si>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</si>
  <si>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</si>
  <si>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</si>
  <si>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</si>
  <si>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</si>
  <si>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</si>
  <si>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</si>
  <si>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</si>
  <si>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</si>
  <si>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</si>
  <si>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</si>
  <si>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</si>
  <si>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</si>
  <si>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</si>
  <si>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</si>
  <si>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</si>
  <si>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</si>
  <si>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</si>
  <si>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</si>
  <si>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</si>
  <si>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</si>
  <si>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</si>
  <si>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</si>
  <si>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</si>
  <si>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</si>
  <si>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</si>
  <si>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</si>
  <si>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</si>
  <si>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</si>
  <si>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</si>
  <si>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</si>
  <si>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</si>
  <si>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</si>
  <si>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</si>
  <si>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</si>
  <si>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</si>
  <si>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</si>
  <si>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</si>
  <si>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</si>
  <si>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</si>
  <si>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</si>
  <si>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</si>
  <si>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</si>
  <si>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</si>
  <si>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</si>
  <si>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Ferencvárosi Közbiztonsági Közalapítvány</t>
  </si>
  <si>
    <t>IX. kerületi Rendőrkapitányság</t>
  </si>
  <si>
    <t>Katsztrófavédelem támogatása</t>
  </si>
  <si>
    <t>Függő, átfutó, kiegyenlítő bevételek PH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</si>
  <si>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</si>
  <si>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</si>
  <si>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</si>
  <si>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   I.) TARTÓS TŐKE</t>
  </si>
  <si>
    <t xml:space="preserve">   1. KEZELÉSBE VETT ESZKÖZÖK TARTÓS TŐKÉJE</t>
  </si>
  <si>
    <t xml:space="preserve">   2. SAJÁT TULAJDONBAN LÉVŐ ESZKÖZÖK TŐKEVÁLT.</t>
  </si>
  <si>
    <t xml:space="preserve">      II.) TŐKEVÁLTOZÁSOK</t>
  </si>
  <si>
    <t xml:space="preserve">   1. KEZELÉSBE VETT ESZKÖZÖK TŐKEVÁLTOZÁSA</t>
  </si>
  <si>
    <t xml:space="preserve">   2. SAJÁT TULAJDONBAN LÉVŐ ESZKÖZÖK TARTÓS TŐKÉJE</t>
  </si>
  <si>
    <t xml:space="preserve">    II. KTGV-I PÉNZMARADVÁNY</t>
  </si>
  <si>
    <t xml:space="preserve">      II. VÁLLALKOZÁSI TARTALÉK ELSZÁMOLÁSA</t>
  </si>
  <si>
    <t xml:space="preserve">   1. HOSSZÚ LEJÁRATÚ KÖLCSÖNÖK</t>
  </si>
  <si>
    <t xml:space="preserve">   4. BERUHÁZÁSI ÉÉS FEJLESZTÉSI HITELEKITELEK</t>
  </si>
  <si>
    <t xml:space="preserve">       I. HOSSZULEJÁRATÚ KÖTELEZETTSÉGEK ÖSSZESEN</t>
  </si>
  <si>
    <t xml:space="preserve">   1. RÖVID LEJÁRATÚ KAPOTT KÖLCSÖNÖK</t>
  </si>
  <si>
    <t xml:space="preserve">   2. RÖVID LEJÁRATÚ HITELEK HITELEK</t>
  </si>
  <si>
    <t xml:space="preserve">   3. KÖTELEZETTSÉGEK ÁRUSZÁLLÍTÁSBÓL ÉS SZOLGÁLTATÁSBÓL</t>
  </si>
  <si>
    <t xml:space="preserve">   4.EGYÉB RÖVID LEJÁRATÚ KÖTELEZETTSÉGEK</t>
  </si>
  <si>
    <t xml:space="preserve">   1. KÖLTSÉGVETÉSI PASSZÍV FÜGGŐ ELSZÁMOLÁSOK</t>
  </si>
  <si>
    <t xml:space="preserve">   2. KÖLTSÉGVETÉSI PASSZÍV ÁTFUTÓ ELSZÁMOLÁSOK</t>
  </si>
  <si>
    <t xml:space="preserve">   3. KÖLTSÉGVET. KÍVÜLI PASSZ. PÉNZÜGYI ELSZ.</t>
  </si>
  <si>
    <t xml:space="preserve">      - KÖLTSÉGVETÉSEN KÍVÜLI LETÉTI ELSZÁMOLÁSOK</t>
  </si>
  <si>
    <t>az Önkormányzat 2012. december 31-i állapot szerinti vagyona</t>
  </si>
  <si>
    <t xml:space="preserve">     Kölcsön nyújtása</t>
  </si>
  <si>
    <t>Műlödési célú kölcsön nyújtása</t>
  </si>
  <si>
    <t xml:space="preserve">    Felhalmozási, működési célú célú kölcsönök nyújtása</t>
  </si>
  <si>
    <t>Csengettyű utcai orvosi rendelő tetőfelújítás</t>
  </si>
  <si>
    <t xml:space="preserve">"Manó-lak" Bölcsöde felújítás, kapacitásbővítés  </t>
  </si>
  <si>
    <t>Belső Ferencváros Kúltúrális negyed KMOP-5.2.2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</si>
  <si>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</si>
  <si>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</si>
  <si>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</si>
  <si>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</si>
  <si>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</si>
  <si>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</si>
  <si>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</si>
  <si>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</si>
  <si>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</si>
  <si>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</si>
  <si>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</si>
  <si>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</si>
  <si>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</si>
  <si>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</si>
  <si>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</si>
  <si>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</si>
  <si>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</si>
  <si>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</si>
  <si>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</si>
  <si>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</si>
  <si>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</si>
  <si>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</si>
  <si>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</si>
  <si>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</si>
  <si>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</si>
  <si>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</si>
  <si>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</si>
  <si>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</si>
  <si>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</si>
  <si>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</si>
  <si>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>Markusovszky park</t>
  </si>
  <si>
    <t>Befizetési kötelezettség (2762+8749)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</si>
  <si>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</si>
  <si>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</si>
  <si>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</si>
  <si>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</si>
  <si>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</si>
  <si>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</si>
  <si>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</si>
  <si>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</si>
  <si>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</si>
  <si>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</si>
  <si>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</si>
  <si>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</si>
  <si>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</si>
  <si>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</si>
  <si>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</si>
  <si>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</si>
  <si>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</si>
  <si>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</si>
  <si>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</si>
  <si>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</si>
  <si>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</si>
  <si>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</si>
  <si>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</si>
  <si>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</si>
  <si>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</si>
  <si>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</si>
  <si>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</si>
  <si>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</si>
  <si>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</si>
  <si>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</si>
  <si>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</si>
  <si>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</si>
  <si>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</si>
  <si>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</si>
  <si>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</si>
  <si>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</si>
  <si>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</si>
  <si>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</si>
  <si>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</si>
  <si>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</si>
  <si>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</si>
  <si>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</si>
  <si>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</si>
  <si>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</si>
  <si>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</si>
  <si>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</si>
  <si>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</si>
  <si>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</si>
  <si>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</si>
  <si>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</si>
  <si>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</si>
  <si>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</si>
  <si>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</si>
  <si>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</si>
  <si>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</si>
  <si>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</si>
  <si>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</si>
  <si>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</si>
  <si>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</si>
  <si>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</si>
  <si>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</si>
  <si>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</si>
  <si>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</si>
  <si>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</si>
  <si>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</si>
  <si>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</si>
  <si>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</si>
  <si>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</si>
  <si>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</si>
  <si>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</si>
  <si>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</si>
  <si>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</si>
  <si>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</si>
  <si>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</si>
  <si>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</si>
  <si>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</si>
  <si>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</si>
  <si>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</si>
  <si>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</si>
  <si>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</si>
  <si>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</si>
  <si>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</si>
  <si>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</si>
  <si>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</si>
  <si>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</si>
  <si>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</si>
  <si>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</si>
  <si>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</si>
  <si>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</si>
  <si>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</si>
  <si>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</si>
  <si>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</si>
  <si>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</si>
  <si>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</si>
  <si>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</si>
  <si>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</si>
  <si>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</si>
  <si>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</si>
  <si>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</si>
  <si>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</si>
  <si>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</si>
  <si>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</si>
  <si>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</si>
  <si>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</si>
  <si>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</si>
  <si>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</si>
  <si>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</si>
  <si>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</si>
  <si>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</si>
  <si>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</si>
  <si>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</si>
  <si>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</si>
  <si>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</si>
  <si>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</si>
  <si>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</si>
  <si>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</si>
  <si>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</si>
  <si>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</si>
  <si>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</si>
  <si>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</si>
  <si>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</si>
  <si>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</si>
  <si>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</si>
  <si>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</si>
  <si>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3.2.1</t>
  </si>
  <si>
    <t>3.2.2</t>
  </si>
  <si>
    <t>Törzsvagyon</t>
  </si>
  <si>
    <t>17.2</t>
  </si>
  <si>
    <t>23.2.1.</t>
  </si>
  <si>
    <t>23.2.2</t>
  </si>
  <si>
    <t>28.2.1</t>
  </si>
  <si>
    <t>28.2.2</t>
  </si>
  <si>
    <t>Korlátozottan forgalomképes (35.2.)</t>
  </si>
  <si>
    <t>35.2.</t>
  </si>
  <si>
    <t>Eft</t>
  </si>
  <si>
    <t>Vagyonkezelési, Városüzemeltetési és Felújítási  Iroda</t>
  </si>
  <si>
    <t>Szervezési Iroda Üdülő, Táborok</t>
  </si>
  <si>
    <t>2012. év dec. 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</si>
</sst>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\ _F_t_-;\-* #,##0\ _F_t_-;_-* &quot;-&quot;??\ _F_t_-;_-@_-"/>
    <numFmt numFmtId="166" formatCode="00"/>
    <numFmt numFmtId="167" formatCode="#,###__;\-\ #,###__"/>
  </numFmts>
  <fonts count="7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  <font>
      <i/>
      <sz val="9"/>
      <name val="Arial"/>
      <family val="2"/>
    </font>
    <font>
      <b/>
      <sz val="12"/>
      <name val="Arial CE"/>
      <family val="2"/>
    </font>
    <font>
      <sz val="12"/>
      <name val="Arial"/>
      <family val="0"/>
    </font>
    <font>
      <sz val="11"/>
      <name val="Arial"/>
      <family val="0"/>
    </font>
    <font>
      <sz val="10"/>
      <name val="Times New Roman"/>
      <family val="0"/>
    </font>
    <font>
      <b/>
      <sz val="11"/>
      <name val="MS Sans Serif"/>
      <family val="2"/>
    </font>
    <font>
      <b/>
      <sz val="8.5"/>
      <name val="Times New Roman"/>
      <family val="1"/>
    </font>
    <font>
      <sz val="8.5"/>
      <name val="MS Sans Serif"/>
      <family val="0"/>
    </font>
    <font>
      <b/>
      <sz val="8.5"/>
      <name val="MS Sans Serif"/>
      <family val="2"/>
    </font>
    <font>
      <sz val="11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name val="Times New Roman CE"/>
      <family val="0"/>
    </font>
    <font>
      <sz val="8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b/>
      <sz val="18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i/>
      <sz val="10"/>
      <name val="Arial CE"/>
      <family val="0"/>
    </font>
    <font>
      <i/>
      <sz val="10"/>
      <name val="Cambria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53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102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102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10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90">
      <alignment/>
      <protection/>
    </xf>
    <xf numFmtId="0" fontId="15" fillId="0" borderId="0" xfId="90" applyFont="1" applyAlignment="1">
      <alignment horizontal="center"/>
      <protection/>
    </xf>
    <xf numFmtId="0" fontId="12" fillId="0" borderId="0" xfId="90" applyAlignment="1">
      <alignment/>
      <protection/>
    </xf>
    <xf numFmtId="0" fontId="1" fillId="0" borderId="15" xfId="90" applyFont="1" applyBorder="1" applyAlignment="1">
      <alignment horizontal="center"/>
      <protection/>
    </xf>
    <xf numFmtId="0" fontId="1" fillId="0" borderId="20" xfId="90" applyFont="1" applyBorder="1" applyAlignment="1">
      <alignment horizontal="center"/>
      <protection/>
    </xf>
    <xf numFmtId="0" fontId="1" fillId="0" borderId="11" xfId="90" applyFont="1" applyBorder="1" applyAlignment="1">
      <alignment horizontal="center"/>
      <protection/>
    </xf>
    <xf numFmtId="0" fontId="1" fillId="0" borderId="22" xfId="90" applyFont="1" applyBorder="1" applyAlignment="1">
      <alignment horizontal="center"/>
      <protection/>
    </xf>
    <xf numFmtId="0" fontId="1" fillId="0" borderId="16" xfId="90" applyFont="1" applyBorder="1" applyAlignment="1">
      <alignment horizontal="center"/>
      <protection/>
    </xf>
    <xf numFmtId="0" fontId="12" fillId="0" borderId="11" xfId="90" applyBorder="1">
      <alignment/>
      <protection/>
    </xf>
    <xf numFmtId="0" fontId="12" fillId="0" borderId="16" xfId="90" applyBorder="1">
      <alignment/>
      <protection/>
    </xf>
    <xf numFmtId="0" fontId="1" fillId="0" borderId="21" xfId="90" applyFont="1" applyBorder="1">
      <alignment/>
      <protection/>
    </xf>
    <xf numFmtId="0" fontId="12" fillId="0" borderId="14" xfId="90" applyBorder="1">
      <alignment/>
      <protection/>
    </xf>
    <xf numFmtId="0" fontId="1" fillId="0" borderId="22" xfId="90" applyFont="1" applyBorder="1">
      <alignment/>
      <protection/>
    </xf>
    <xf numFmtId="0" fontId="2" fillId="0" borderId="20" xfId="90" applyFont="1" applyBorder="1">
      <alignment/>
      <protection/>
    </xf>
    <xf numFmtId="3" fontId="2" fillId="0" borderId="20" xfId="90" applyNumberFormat="1" applyFont="1" applyBorder="1">
      <alignment/>
      <protection/>
    </xf>
    <xf numFmtId="0" fontId="12" fillId="0" borderId="10" xfId="90" applyBorder="1">
      <alignment/>
      <protection/>
    </xf>
    <xf numFmtId="0" fontId="12" fillId="0" borderId="12" xfId="90" applyBorder="1">
      <alignment/>
      <protection/>
    </xf>
    <xf numFmtId="0" fontId="15" fillId="0" borderId="11" xfId="90" applyFont="1" applyBorder="1">
      <alignment/>
      <protection/>
    </xf>
    <xf numFmtId="0" fontId="3" fillId="0" borderId="20" xfId="90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90" applyNumberFormat="1" applyBorder="1" applyAlignment="1">
      <alignment horizontal="right"/>
      <protection/>
    </xf>
    <xf numFmtId="3" fontId="15" fillId="0" borderId="14" xfId="90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90" applyNumberFormat="1" applyFont="1" applyBorder="1" applyAlignment="1">
      <alignment horizontal="right"/>
      <protection/>
    </xf>
    <xf numFmtId="3" fontId="9" fillId="0" borderId="16" xfId="90" applyNumberFormat="1" applyFont="1" applyBorder="1" applyAlignment="1">
      <alignment horizontal="right"/>
      <protection/>
    </xf>
    <xf numFmtId="0" fontId="12" fillId="0" borderId="13" xfId="90" applyBorder="1">
      <alignment/>
      <protection/>
    </xf>
    <xf numFmtId="3" fontId="11" fillId="0" borderId="13" xfId="90" applyNumberFormat="1" applyFont="1" applyBorder="1" applyAlignment="1">
      <alignment horizontal="right"/>
      <protection/>
    </xf>
    <xf numFmtId="3" fontId="9" fillId="0" borderId="12" xfId="90" applyNumberFormat="1" applyFont="1" applyBorder="1" applyAlignment="1">
      <alignment horizontal="right"/>
      <protection/>
    </xf>
    <xf numFmtId="3" fontId="9" fillId="0" borderId="13" xfId="90" applyNumberFormat="1" applyFont="1" applyBorder="1" applyAlignment="1">
      <alignment horizontal="right"/>
      <protection/>
    </xf>
    <xf numFmtId="3" fontId="15" fillId="0" borderId="16" xfId="90" applyNumberFormat="1" applyFont="1" applyBorder="1" applyAlignment="1">
      <alignment horizontal="right"/>
      <protection/>
    </xf>
    <xf numFmtId="0" fontId="15" fillId="0" borderId="0" xfId="90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90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2" fillId="0" borderId="0" xfId="87">
      <alignment/>
      <protection/>
    </xf>
    <xf numFmtId="0" fontId="37" fillId="0" borderId="0" xfId="87" applyFont="1" applyAlignment="1">
      <alignment horizontal="center"/>
      <protection/>
    </xf>
    <xf numFmtId="0" fontId="12" fillId="0" borderId="28" xfId="87" applyBorder="1">
      <alignment/>
      <protection/>
    </xf>
    <xf numFmtId="0" fontId="1" fillId="0" borderId="0" xfId="78" applyFont="1" applyBorder="1" applyAlignment="1">
      <alignment horizontal="right"/>
      <protection/>
    </xf>
    <xf numFmtId="0" fontId="36" fillId="0" borderId="15" xfId="87" applyFont="1" applyBorder="1">
      <alignment/>
      <protection/>
    </xf>
    <xf numFmtId="0" fontId="36" fillId="0" borderId="34" xfId="87" applyFont="1" applyBorder="1">
      <alignment/>
      <protection/>
    </xf>
    <xf numFmtId="0" fontId="36" fillId="0" borderId="35" xfId="87" applyFont="1" applyBorder="1">
      <alignment/>
      <protection/>
    </xf>
    <xf numFmtId="3" fontId="36" fillId="0" borderId="10" xfId="87" applyNumberFormat="1" applyFont="1" applyBorder="1">
      <alignment/>
      <protection/>
    </xf>
    <xf numFmtId="0" fontId="36" fillId="0" borderId="23" xfId="87" applyFont="1" applyBorder="1">
      <alignment/>
      <protection/>
    </xf>
    <xf numFmtId="0" fontId="36" fillId="0" borderId="28" xfId="87" applyFont="1" applyBorder="1">
      <alignment/>
      <protection/>
    </xf>
    <xf numFmtId="0" fontId="36" fillId="0" borderId="32" xfId="87" applyFont="1" applyBorder="1">
      <alignment/>
      <protection/>
    </xf>
    <xf numFmtId="3" fontId="36" fillId="0" borderId="12" xfId="87" applyNumberFormat="1" applyFont="1" applyBorder="1">
      <alignment/>
      <protection/>
    </xf>
    <xf numFmtId="0" fontId="36" fillId="0" borderId="20" xfId="87" applyFont="1" applyBorder="1">
      <alignment/>
      <protection/>
    </xf>
    <xf numFmtId="0" fontId="36" fillId="0" borderId="0" xfId="87" applyFont="1" applyBorder="1">
      <alignment/>
      <protection/>
    </xf>
    <xf numFmtId="0" fontId="36" fillId="0" borderId="33" xfId="87" applyFont="1" applyBorder="1">
      <alignment/>
      <protection/>
    </xf>
    <xf numFmtId="3" fontId="36" fillId="0" borderId="11" xfId="87" applyNumberFormat="1" applyFont="1" applyBorder="1">
      <alignment/>
      <protection/>
    </xf>
    <xf numFmtId="0" fontId="36" fillId="0" borderId="22" xfId="87" applyFont="1" applyBorder="1">
      <alignment/>
      <protection/>
    </xf>
    <xf numFmtId="0" fontId="36" fillId="0" borderId="36" xfId="87" applyFont="1" applyBorder="1">
      <alignment/>
      <protection/>
    </xf>
    <xf numFmtId="0" fontId="36" fillId="0" borderId="37" xfId="87" applyFont="1" applyBorder="1">
      <alignment/>
      <protection/>
    </xf>
    <xf numFmtId="3" fontId="36" fillId="0" borderId="16" xfId="87" applyNumberFormat="1" applyFont="1" applyBorder="1">
      <alignment/>
      <protection/>
    </xf>
    <xf numFmtId="0" fontId="36" fillId="0" borderId="38" xfId="87" applyFont="1" applyBorder="1">
      <alignment/>
      <protection/>
    </xf>
    <xf numFmtId="0" fontId="36" fillId="0" borderId="39" xfId="87" applyFont="1" applyBorder="1">
      <alignment/>
      <protection/>
    </xf>
    <xf numFmtId="3" fontId="36" fillId="0" borderId="19" xfId="87" applyNumberFormat="1" applyFont="1" applyBorder="1">
      <alignment/>
      <protection/>
    </xf>
    <xf numFmtId="3" fontId="38" fillId="0" borderId="19" xfId="87" applyNumberFormat="1" applyFont="1" applyBorder="1" applyAlignment="1">
      <alignment vertical="center"/>
      <protection/>
    </xf>
    <xf numFmtId="3" fontId="38" fillId="0" borderId="12" xfId="87" applyNumberFormat="1" applyFont="1" applyBorder="1">
      <alignment/>
      <protection/>
    </xf>
    <xf numFmtId="3" fontId="38" fillId="0" borderId="10" xfId="87" applyNumberFormat="1" applyFont="1" applyBorder="1" applyAlignment="1">
      <alignment vertical="center"/>
      <protection/>
    </xf>
    <xf numFmtId="3" fontId="38" fillId="0" borderId="11" xfId="87" applyNumberFormat="1" applyFont="1" applyBorder="1" applyAlignment="1">
      <alignment vertical="center"/>
      <protection/>
    </xf>
    <xf numFmtId="3" fontId="38" fillId="0" borderId="16" xfId="87" applyNumberFormat="1" applyFont="1" applyBorder="1">
      <alignment/>
      <protection/>
    </xf>
    <xf numFmtId="0" fontId="12" fillId="0" borderId="0" xfId="80">
      <alignment/>
      <protection/>
    </xf>
    <xf numFmtId="3" fontId="2" fillId="0" borderId="11" xfId="90" applyNumberFormat="1" applyFont="1" applyBorder="1" applyAlignment="1">
      <alignment horizontal="right"/>
      <protection/>
    </xf>
    <xf numFmtId="0" fontId="15" fillId="0" borderId="13" xfId="90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81" applyFont="1" applyBorder="1" applyAlignment="1">
      <alignment horizontal="center"/>
      <protection/>
    </xf>
    <xf numFmtId="0" fontId="0" fillId="0" borderId="0" xfId="81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81" applyFont="1" applyAlignment="1">
      <alignment/>
      <protection/>
    </xf>
    <xf numFmtId="0" fontId="3" fillId="0" borderId="0" xfId="81" applyFont="1" applyBorder="1" applyAlignment="1">
      <alignment horizontal="right"/>
      <protection/>
    </xf>
    <xf numFmtId="0" fontId="1" fillId="0" borderId="0" xfId="81" applyFont="1" applyAlignment="1">
      <alignment/>
      <protection/>
    </xf>
    <xf numFmtId="3" fontId="1" fillId="0" borderId="13" xfId="81" applyNumberFormat="1" applyFont="1" applyBorder="1" applyAlignment="1">
      <alignment horizontal="center"/>
      <protection/>
    </xf>
    <xf numFmtId="0" fontId="1" fillId="0" borderId="13" xfId="81" applyFont="1" applyBorder="1" applyAlignment="1">
      <alignment horizontal="center"/>
      <protection/>
    </xf>
    <xf numFmtId="0" fontId="1" fillId="0" borderId="12" xfId="81" applyFont="1" applyBorder="1" applyAlignment="1">
      <alignment horizontal="center"/>
      <protection/>
    </xf>
    <xf numFmtId="3" fontId="0" fillId="0" borderId="13" xfId="81" applyNumberFormat="1" applyFont="1" applyBorder="1" applyAlignment="1">
      <alignment/>
      <protection/>
    </xf>
    <xf numFmtId="0" fontId="3" fillId="0" borderId="13" xfId="81" applyFont="1" applyBorder="1" applyAlignment="1">
      <alignment/>
      <protection/>
    </xf>
    <xf numFmtId="0" fontId="0" fillId="0" borderId="0" xfId="81" applyFont="1" applyAlignment="1">
      <alignment/>
      <protection/>
    </xf>
    <xf numFmtId="3" fontId="2" fillId="0" borderId="13" xfId="81" applyNumberFormat="1" applyFont="1" applyBorder="1" applyAlignment="1">
      <alignment/>
      <protection/>
    </xf>
    <xf numFmtId="0" fontId="2" fillId="0" borderId="13" xfId="81" applyFont="1" applyBorder="1" applyAlignment="1">
      <alignment/>
      <protection/>
    </xf>
    <xf numFmtId="3" fontId="1" fillId="0" borderId="13" xfId="81" applyNumberFormat="1" applyFont="1" applyBorder="1" applyAlignment="1">
      <alignment/>
      <protection/>
    </xf>
    <xf numFmtId="0" fontId="1" fillId="0" borderId="13" xfId="81" applyFont="1" applyBorder="1" applyAlignment="1">
      <alignment/>
      <protection/>
    </xf>
    <xf numFmtId="3" fontId="4" fillId="0" borderId="13" xfId="81" applyNumberFormat="1" applyFont="1" applyBorder="1" applyAlignment="1">
      <alignment/>
      <protection/>
    </xf>
    <xf numFmtId="0" fontId="4" fillId="0" borderId="13" xfId="81" applyFont="1" applyBorder="1" applyAlignment="1">
      <alignment/>
      <protection/>
    </xf>
    <xf numFmtId="3" fontId="4" fillId="0" borderId="13" xfId="81" applyNumberFormat="1" applyFont="1" applyBorder="1" applyAlignment="1">
      <alignment/>
      <protection/>
    </xf>
    <xf numFmtId="3" fontId="1" fillId="0" borderId="13" xfId="81" applyNumberFormat="1" applyFont="1" applyBorder="1" applyAlignment="1">
      <alignment/>
      <protection/>
    </xf>
    <xf numFmtId="0" fontId="4" fillId="0" borderId="12" xfId="81" applyFont="1" applyBorder="1" applyAlignment="1">
      <alignment/>
      <protection/>
    </xf>
    <xf numFmtId="3" fontId="4" fillId="0" borderId="12" xfId="81" applyNumberFormat="1" applyFont="1" applyBorder="1" applyAlignment="1">
      <alignment/>
      <protection/>
    </xf>
    <xf numFmtId="0" fontId="4" fillId="0" borderId="13" xfId="81" applyFont="1" applyBorder="1" applyAlignment="1">
      <alignment/>
      <protection/>
    </xf>
    <xf numFmtId="0" fontId="1" fillId="0" borderId="12" xfId="81" applyFont="1" applyBorder="1" applyAlignment="1">
      <alignment/>
      <protection/>
    </xf>
    <xf numFmtId="3" fontId="1" fillId="0" borderId="12" xfId="81" applyNumberFormat="1" applyFont="1" applyBorder="1" applyAlignment="1">
      <alignment/>
      <protection/>
    </xf>
    <xf numFmtId="3" fontId="1" fillId="0" borderId="12" xfId="81" applyNumberFormat="1" applyFont="1" applyBorder="1" applyAlignment="1">
      <alignment/>
      <protection/>
    </xf>
    <xf numFmtId="0" fontId="1" fillId="0" borderId="12" xfId="8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3" fontId="2" fillId="0" borderId="12" xfId="81" applyNumberFormat="1" applyFont="1" applyBorder="1" applyAlignment="1">
      <alignment/>
      <protection/>
    </xf>
    <xf numFmtId="0" fontId="2" fillId="0" borderId="13" xfId="81" applyFont="1" applyBorder="1" applyAlignment="1">
      <alignment/>
      <protection/>
    </xf>
    <xf numFmtId="3" fontId="4" fillId="0" borderId="14" xfId="81" applyNumberFormat="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3" fontId="1" fillId="0" borderId="14" xfId="81" applyNumberFormat="1" applyFont="1" applyBorder="1" applyAlignment="1">
      <alignment/>
      <protection/>
    </xf>
    <xf numFmtId="3" fontId="2" fillId="0" borderId="13" xfId="81" applyNumberFormat="1" applyFont="1" applyBorder="1" applyAlignment="1">
      <alignment/>
      <protection/>
    </xf>
    <xf numFmtId="3" fontId="2" fillId="0" borderId="12" xfId="81" applyNumberFormat="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0" fontId="1" fillId="0" borderId="13" xfId="81" applyFont="1" applyBorder="1" applyAlignment="1">
      <alignment/>
      <protection/>
    </xf>
    <xf numFmtId="3" fontId="2" fillId="0" borderId="11" xfId="81" applyNumberFormat="1" applyFont="1" applyBorder="1" applyAlignment="1">
      <alignment/>
      <protection/>
    </xf>
    <xf numFmtId="0" fontId="2" fillId="0" borderId="11" xfId="81" applyFont="1" applyBorder="1" applyAlignment="1">
      <alignment/>
      <protection/>
    </xf>
    <xf numFmtId="3" fontId="2" fillId="0" borderId="11" xfId="81" applyNumberFormat="1" applyFont="1" applyBorder="1" applyAlignment="1">
      <alignment/>
      <protection/>
    </xf>
    <xf numFmtId="0" fontId="4" fillId="0" borderId="12" xfId="81" applyFont="1" applyBorder="1" applyAlignment="1">
      <alignment/>
      <protection/>
    </xf>
    <xf numFmtId="3" fontId="2" fillId="0" borderId="18" xfId="81" applyNumberFormat="1" applyFont="1" applyBorder="1" applyAlignment="1">
      <alignment/>
      <protection/>
    </xf>
    <xf numFmtId="0" fontId="2" fillId="0" borderId="18" xfId="81" applyFont="1" applyBorder="1" applyAlignment="1">
      <alignment/>
      <protection/>
    </xf>
    <xf numFmtId="3" fontId="4" fillId="0" borderId="14" xfId="81" applyNumberFormat="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3" fontId="1" fillId="0" borderId="14" xfId="81" applyNumberFormat="1" applyFont="1" applyBorder="1" applyAlignment="1">
      <alignment/>
      <protection/>
    </xf>
    <xf numFmtId="0" fontId="4" fillId="0" borderId="0" xfId="81" applyFont="1" applyAlignment="1">
      <alignment/>
      <protection/>
    </xf>
    <xf numFmtId="3" fontId="4" fillId="0" borderId="16" xfId="81" applyNumberFormat="1" applyFont="1" applyBorder="1" applyAlignment="1">
      <alignment/>
      <protection/>
    </xf>
    <xf numFmtId="0" fontId="1" fillId="0" borderId="16" xfId="81" applyFont="1" applyBorder="1" applyAlignment="1">
      <alignment/>
      <protection/>
    </xf>
    <xf numFmtId="0" fontId="2" fillId="0" borderId="14" xfId="81" applyFont="1" applyBorder="1" applyAlignment="1">
      <alignment/>
      <protection/>
    </xf>
    <xf numFmtId="3" fontId="4" fillId="0" borderId="13" xfId="81" applyNumberFormat="1" applyFont="1" applyBorder="1" applyAlignment="1">
      <alignment horizontal="right"/>
      <protection/>
    </xf>
    <xf numFmtId="0" fontId="1" fillId="0" borderId="10" xfId="81" applyFont="1" applyBorder="1" applyAlignment="1">
      <alignment/>
      <protection/>
    </xf>
    <xf numFmtId="0" fontId="2" fillId="0" borderId="10" xfId="81" applyFont="1" applyBorder="1" applyAlignment="1">
      <alignment/>
      <protection/>
    </xf>
    <xf numFmtId="0" fontId="1" fillId="0" borderId="11" xfId="81" applyFont="1" applyBorder="1" applyAlignment="1">
      <alignment/>
      <protection/>
    </xf>
    <xf numFmtId="3" fontId="2" fillId="0" borderId="18" xfId="81" applyNumberFormat="1" applyFont="1" applyBorder="1" applyAlignment="1">
      <alignment/>
      <protection/>
    </xf>
    <xf numFmtId="0" fontId="2" fillId="0" borderId="18" xfId="81" applyFont="1" applyBorder="1" applyAlignment="1">
      <alignment/>
      <protection/>
    </xf>
    <xf numFmtId="3" fontId="2" fillId="0" borderId="14" xfId="81" applyNumberFormat="1" applyFont="1" applyBorder="1" applyAlignment="1">
      <alignment/>
      <protection/>
    </xf>
    <xf numFmtId="3" fontId="1" fillId="0" borderId="18" xfId="81" applyNumberFormat="1" applyFont="1" applyBorder="1" applyAlignment="1">
      <alignment/>
      <protection/>
    </xf>
    <xf numFmtId="3" fontId="1" fillId="0" borderId="16" xfId="81" applyNumberFormat="1" applyFont="1" applyBorder="1" applyAlignment="1">
      <alignment/>
      <protection/>
    </xf>
    <xf numFmtId="0" fontId="1" fillId="0" borderId="16" xfId="81" applyFont="1" applyBorder="1" applyAlignment="1">
      <alignment/>
      <protection/>
    </xf>
    <xf numFmtId="0" fontId="3" fillId="0" borderId="14" xfId="81" applyFont="1" applyBorder="1" applyAlignment="1">
      <alignment/>
      <protection/>
    </xf>
    <xf numFmtId="3" fontId="2" fillId="0" borderId="17" xfId="81" applyNumberFormat="1" applyFont="1" applyBorder="1" applyAlignment="1">
      <alignment/>
      <protection/>
    </xf>
    <xf numFmtId="0" fontId="3" fillId="0" borderId="11" xfId="81" applyFont="1" applyBorder="1" applyAlignment="1">
      <alignment/>
      <protection/>
    </xf>
    <xf numFmtId="3" fontId="1" fillId="0" borderId="11" xfId="81" applyNumberFormat="1" applyFont="1" applyBorder="1" applyAlignment="1">
      <alignment/>
      <protection/>
    </xf>
    <xf numFmtId="0" fontId="3" fillId="0" borderId="13" xfId="81" applyFont="1" applyBorder="1" applyAlignment="1">
      <alignment/>
      <protection/>
    </xf>
    <xf numFmtId="0" fontId="3" fillId="0" borderId="12" xfId="81" applyFont="1" applyBorder="1" applyAlignment="1">
      <alignment/>
      <protection/>
    </xf>
    <xf numFmtId="3" fontId="3" fillId="0" borderId="14" xfId="81" applyNumberFormat="1" applyFont="1" applyBorder="1" applyAlignment="1">
      <alignment horizontal="right"/>
      <protection/>
    </xf>
    <xf numFmtId="0" fontId="3" fillId="0" borderId="14" xfId="81" applyFont="1" applyBorder="1" applyAlignment="1">
      <alignment/>
      <protection/>
    </xf>
    <xf numFmtId="3" fontId="3" fillId="0" borderId="14" xfId="81" applyNumberFormat="1" applyFont="1" applyBorder="1" applyAlignment="1">
      <alignment/>
      <protection/>
    </xf>
    <xf numFmtId="3" fontId="2" fillId="0" borderId="17" xfId="81" applyNumberFormat="1" applyFont="1" applyBorder="1" applyAlignment="1">
      <alignment/>
      <protection/>
    </xf>
    <xf numFmtId="0" fontId="2" fillId="0" borderId="17" xfId="81" applyFont="1" applyBorder="1" applyAlignment="1">
      <alignment/>
      <protection/>
    </xf>
    <xf numFmtId="3" fontId="1" fillId="0" borderId="17" xfId="81" applyNumberFormat="1" applyFont="1" applyBorder="1" applyAlignment="1">
      <alignment/>
      <protection/>
    </xf>
    <xf numFmtId="3" fontId="2" fillId="0" borderId="16" xfId="81" applyNumberFormat="1" applyFont="1" applyBorder="1" applyAlignment="1">
      <alignment/>
      <protection/>
    </xf>
    <xf numFmtId="3" fontId="1" fillId="0" borderId="16" xfId="81" applyNumberFormat="1" applyFont="1" applyBorder="1" applyAlignment="1">
      <alignment/>
      <protection/>
    </xf>
    <xf numFmtId="3" fontId="2" fillId="0" borderId="14" xfId="81" applyNumberFormat="1" applyFont="1" applyBorder="1" applyAlignment="1">
      <alignment/>
      <protection/>
    </xf>
    <xf numFmtId="3" fontId="2" fillId="0" borderId="19" xfId="81" applyNumberFormat="1" applyFont="1" applyBorder="1" applyAlignment="1">
      <alignment/>
      <protection/>
    </xf>
    <xf numFmtId="0" fontId="1" fillId="0" borderId="19" xfId="81" applyFont="1" applyBorder="1" applyAlignment="1">
      <alignment/>
      <protection/>
    </xf>
    <xf numFmtId="0" fontId="3" fillId="0" borderId="19" xfId="81" applyFont="1" applyBorder="1" applyAlignment="1">
      <alignment/>
      <protection/>
    </xf>
    <xf numFmtId="3" fontId="1" fillId="0" borderId="19" xfId="81" applyNumberFormat="1" applyFont="1" applyBorder="1" applyAlignment="1">
      <alignment/>
      <protection/>
    </xf>
    <xf numFmtId="3" fontId="2" fillId="0" borderId="16" xfId="81" applyNumberFormat="1" applyFont="1" applyBorder="1" applyAlignment="1">
      <alignment/>
      <protection/>
    </xf>
    <xf numFmtId="0" fontId="0" fillId="0" borderId="18" xfId="81" applyFont="1" applyBorder="1" applyAlignment="1">
      <alignment/>
      <protection/>
    </xf>
    <xf numFmtId="3" fontId="1" fillId="0" borderId="18" xfId="81" applyNumberFormat="1" applyFont="1" applyBorder="1" applyAlignment="1">
      <alignment/>
      <protection/>
    </xf>
    <xf numFmtId="0" fontId="3" fillId="0" borderId="12" xfId="81" applyFont="1" applyBorder="1" applyAlignment="1">
      <alignment/>
      <protection/>
    </xf>
    <xf numFmtId="3" fontId="3" fillId="0" borderId="11" xfId="81" applyNumberFormat="1" applyFont="1" applyBorder="1" applyAlignment="1">
      <alignment horizontal="right"/>
      <protection/>
    </xf>
    <xf numFmtId="0" fontId="13" fillId="0" borderId="11" xfId="81" applyFont="1" applyBorder="1" applyAlignment="1">
      <alignment/>
      <protection/>
    </xf>
    <xf numFmtId="3" fontId="3" fillId="0" borderId="17" xfId="81" applyNumberFormat="1" applyFont="1" applyBorder="1" applyAlignment="1">
      <alignment/>
      <protection/>
    </xf>
    <xf numFmtId="0" fontId="3" fillId="0" borderId="0" xfId="81" applyFont="1" applyAlignment="1">
      <alignment/>
      <protection/>
    </xf>
    <xf numFmtId="3" fontId="3" fillId="0" borderId="13" xfId="81" applyNumberFormat="1" applyFont="1" applyBorder="1" applyAlignment="1">
      <alignment/>
      <protection/>
    </xf>
    <xf numFmtId="3" fontId="1" fillId="0" borderId="12" xfId="81" applyNumberFormat="1" applyFont="1" applyBorder="1">
      <alignment/>
      <protection/>
    </xf>
    <xf numFmtId="3" fontId="2" fillId="0" borderId="13" xfId="81" applyNumberFormat="1" applyFont="1" applyBorder="1">
      <alignment/>
      <protection/>
    </xf>
    <xf numFmtId="3" fontId="1" fillId="0" borderId="14" xfId="81" applyNumberFormat="1" applyFont="1" applyBorder="1">
      <alignment/>
      <protection/>
    </xf>
    <xf numFmtId="3" fontId="1" fillId="0" borderId="11" xfId="81" applyNumberFormat="1" applyFont="1" applyBorder="1" applyAlignment="1">
      <alignment/>
      <protection/>
    </xf>
    <xf numFmtId="0" fontId="2" fillId="0" borderId="13" xfId="81" applyFont="1" applyBorder="1">
      <alignment/>
      <protection/>
    </xf>
    <xf numFmtId="0" fontId="2" fillId="0" borderId="18" xfId="81" applyFont="1" applyBorder="1">
      <alignment/>
      <protection/>
    </xf>
    <xf numFmtId="3" fontId="1" fillId="0" borderId="17" xfId="81" applyNumberFormat="1" applyFont="1" applyBorder="1" applyAlignment="1">
      <alignment/>
      <protection/>
    </xf>
    <xf numFmtId="0" fontId="4" fillId="0" borderId="18" xfId="81" applyFont="1" applyBorder="1" applyAlignment="1">
      <alignment/>
      <protection/>
    </xf>
    <xf numFmtId="3" fontId="1" fillId="0" borderId="16" xfId="81" applyNumberFormat="1" applyFont="1" applyBorder="1">
      <alignment/>
      <protection/>
    </xf>
    <xf numFmtId="0" fontId="2" fillId="0" borderId="16" xfId="81" applyFont="1" applyBorder="1" applyAlignment="1">
      <alignment/>
      <protection/>
    </xf>
    <xf numFmtId="3" fontId="6" fillId="0" borderId="14" xfId="81" applyNumberFormat="1" applyFont="1" applyBorder="1" applyAlignment="1">
      <alignment/>
      <protection/>
    </xf>
    <xf numFmtId="3" fontId="2" fillId="0" borderId="0" xfId="81" applyNumberFormat="1" applyFont="1" applyAlignment="1">
      <alignment/>
      <protection/>
    </xf>
    <xf numFmtId="3" fontId="2" fillId="0" borderId="0" xfId="81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81" applyNumberFormat="1" applyFont="1" applyBorder="1" applyAlignment="1">
      <alignment/>
      <protection/>
    </xf>
    <xf numFmtId="0" fontId="1" fillId="0" borderId="11" xfId="81" applyFont="1" applyBorder="1" applyAlignment="1">
      <alignment/>
      <protection/>
    </xf>
    <xf numFmtId="0" fontId="3" fillId="0" borderId="17" xfId="81" applyFont="1" applyBorder="1" applyAlignment="1">
      <alignment/>
      <protection/>
    </xf>
    <xf numFmtId="0" fontId="11" fillId="0" borderId="17" xfId="0" applyFont="1" applyBorder="1" applyAlignment="1">
      <alignment/>
    </xf>
    <xf numFmtId="0" fontId="42" fillId="0" borderId="0" xfId="80" applyFont="1">
      <alignment/>
      <protection/>
    </xf>
    <xf numFmtId="0" fontId="44" fillId="0" borderId="0" xfId="80" applyFont="1">
      <alignment/>
      <protection/>
    </xf>
    <xf numFmtId="0" fontId="9" fillId="0" borderId="0" xfId="80" applyFont="1">
      <alignment/>
      <protection/>
    </xf>
    <xf numFmtId="0" fontId="44" fillId="0" borderId="20" xfId="80" applyFont="1" applyBorder="1">
      <alignment/>
      <protection/>
    </xf>
    <xf numFmtId="0" fontId="43" fillId="0" borderId="40" xfId="80" applyFont="1" applyBorder="1">
      <alignment/>
      <protection/>
    </xf>
    <xf numFmtId="0" fontId="44" fillId="0" borderId="40" xfId="80" applyFont="1" applyBorder="1">
      <alignment/>
      <protection/>
    </xf>
    <xf numFmtId="0" fontId="35" fillId="0" borderId="41" xfId="80" applyFont="1" applyBorder="1">
      <alignment/>
      <protection/>
    </xf>
    <xf numFmtId="0" fontId="44" fillId="0" borderId="42" xfId="80" applyFont="1" applyBorder="1">
      <alignment/>
      <protection/>
    </xf>
    <xf numFmtId="0" fontId="43" fillId="0" borderId="42" xfId="80" applyFont="1" applyBorder="1">
      <alignment/>
      <protection/>
    </xf>
    <xf numFmtId="0" fontId="43" fillId="0" borderId="13" xfId="80" applyFont="1" applyBorder="1">
      <alignment/>
      <protection/>
    </xf>
    <xf numFmtId="0" fontId="44" fillId="0" borderId="13" xfId="80" applyFont="1" applyBorder="1">
      <alignment/>
      <protection/>
    </xf>
    <xf numFmtId="0" fontId="44" fillId="0" borderId="26" xfId="80" applyFont="1" applyBorder="1">
      <alignment/>
      <protection/>
    </xf>
    <xf numFmtId="0" fontId="45" fillId="0" borderId="13" xfId="80" applyFont="1" applyBorder="1">
      <alignment/>
      <protection/>
    </xf>
    <xf numFmtId="0" fontId="43" fillId="0" borderId="43" xfId="80" applyFont="1" applyBorder="1">
      <alignment/>
      <protection/>
    </xf>
    <xf numFmtId="0" fontId="44" fillId="0" borderId="43" xfId="80" applyFont="1" applyBorder="1">
      <alignment/>
      <protection/>
    </xf>
    <xf numFmtId="0" fontId="44" fillId="0" borderId="15" xfId="80" applyFont="1" applyBorder="1">
      <alignment/>
      <protection/>
    </xf>
    <xf numFmtId="0" fontId="44" fillId="0" borderId="35" xfId="80" applyFont="1" applyBorder="1">
      <alignment/>
      <protection/>
    </xf>
    <xf numFmtId="0" fontId="44" fillId="0" borderId="33" xfId="80" applyFont="1" applyBorder="1">
      <alignment/>
      <protection/>
    </xf>
    <xf numFmtId="0" fontId="44" fillId="0" borderId="44" xfId="80" applyFont="1" applyBorder="1">
      <alignment/>
      <protection/>
    </xf>
    <xf numFmtId="0" fontId="43" fillId="0" borderId="41" xfId="80" applyFont="1" applyBorder="1">
      <alignment/>
      <protection/>
    </xf>
    <xf numFmtId="0" fontId="44" fillId="0" borderId="45" xfId="80" applyFont="1" applyBorder="1">
      <alignment/>
      <protection/>
    </xf>
    <xf numFmtId="0" fontId="44" fillId="0" borderId="46" xfId="80" applyFont="1" applyBorder="1">
      <alignment/>
      <protection/>
    </xf>
    <xf numFmtId="0" fontId="43" fillId="0" borderId="46" xfId="80" applyFont="1" applyBorder="1">
      <alignment/>
      <protection/>
    </xf>
    <xf numFmtId="0" fontId="44" fillId="0" borderId="41" xfId="80" applyFont="1" applyBorder="1">
      <alignment/>
      <protection/>
    </xf>
    <xf numFmtId="0" fontId="43" fillId="0" borderId="20" xfId="80" applyFont="1" applyBorder="1">
      <alignment/>
      <protection/>
    </xf>
    <xf numFmtId="0" fontId="15" fillId="0" borderId="47" xfId="80" applyFont="1" applyBorder="1">
      <alignment/>
      <protection/>
    </xf>
    <xf numFmtId="0" fontId="43" fillId="0" borderId="26" xfId="80" applyFont="1" applyBorder="1">
      <alignment/>
      <protection/>
    </xf>
    <xf numFmtId="0" fontId="43" fillId="0" borderId="11" xfId="80" applyFont="1" applyBorder="1">
      <alignment/>
      <protection/>
    </xf>
    <xf numFmtId="0" fontId="44" fillId="0" borderId="11" xfId="80" applyFont="1" applyBorder="1">
      <alignment/>
      <protection/>
    </xf>
    <xf numFmtId="0" fontId="11" fillId="0" borderId="11" xfId="80" applyFont="1" applyBorder="1">
      <alignment/>
      <protection/>
    </xf>
    <xf numFmtId="0" fontId="43" fillId="0" borderId="48" xfId="80" applyFont="1" applyBorder="1">
      <alignment/>
      <protection/>
    </xf>
    <xf numFmtId="0" fontId="11" fillId="0" borderId="41" xfId="80" applyFont="1" applyBorder="1">
      <alignment/>
      <protection/>
    </xf>
    <xf numFmtId="3" fontId="44" fillId="0" borderId="13" xfId="80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3" fillId="0" borderId="40" xfId="80" applyNumberFormat="1" applyFont="1" applyBorder="1">
      <alignment/>
      <protection/>
    </xf>
    <xf numFmtId="3" fontId="43" fillId="0" borderId="13" xfId="80" applyNumberFormat="1" applyFont="1" applyBorder="1">
      <alignment/>
      <protection/>
    </xf>
    <xf numFmtId="0" fontId="45" fillId="0" borderId="43" xfId="80" applyFont="1" applyBorder="1">
      <alignment/>
      <protection/>
    </xf>
    <xf numFmtId="3" fontId="44" fillId="0" borderId="43" xfId="80" applyNumberFormat="1" applyFont="1" applyBorder="1">
      <alignment/>
      <protection/>
    </xf>
    <xf numFmtId="3" fontId="44" fillId="0" borderId="41" xfId="80" applyNumberFormat="1" applyFont="1" applyBorder="1">
      <alignment/>
      <protection/>
    </xf>
    <xf numFmtId="0" fontId="43" fillId="0" borderId="15" xfId="80" applyFont="1" applyBorder="1">
      <alignment/>
      <protection/>
    </xf>
    <xf numFmtId="3" fontId="44" fillId="0" borderId="35" xfId="80" applyNumberFormat="1" applyFont="1" applyBorder="1">
      <alignment/>
      <protection/>
    </xf>
    <xf numFmtId="3" fontId="43" fillId="0" borderId="12" xfId="80" applyNumberFormat="1" applyFont="1" applyBorder="1">
      <alignment/>
      <protection/>
    </xf>
    <xf numFmtId="3" fontId="43" fillId="0" borderId="41" xfId="80" applyNumberFormat="1" applyFont="1" applyBorder="1">
      <alignment/>
      <protection/>
    </xf>
    <xf numFmtId="3" fontId="44" fillId="0" borderId="46" xfId="80" applyNumberFormat="1" applyFont="1" applyBorder="1">
      <alignment/>
      <protection/>
    </xf>
    <xf numFmtId="3" fontId="44" fillId="0" borderId="44" xfId="80" applyNumberFormat="1" applyFont="1" applyBorder="1">
      <alignment/>
      <protection/>
    </xf>
    <xf numFmtId="3" fontId="11" fillId="0" borderId="41" xfId="80" applyNumberFormat="1" applyFont="1" applyBorder="1">
      <alignment/>
      <protection/>
    </xf>
    <xf numFmtId="3" fontId="15" fillId="0" borderId="40" xfId="80" applyNumberFormat="1" applyFont="1" applyBorder="1">
      <alignment/>
      <protection/>
    </xf>
    <xf numFmtId="3" fontId="11" fillId="0" borderId="12" xfId="80" applyNumberFormat="1" applyFont="1" applyBorder="1">
      <alignment/>
      <protection/>
    </xf>
    <xf numFmtId="0" fontId="43" fillId="0" borderId="49" xfId="80" applyFont="1" applyBorder="1">
      <alignment/>
      <protection/>
    </xf>
    <xf numFmtId="0" fontId="37" fillId="0" borderId="40" xfId="80" applyFont="1" applyBorder="1">
      <alignment/>
      <protection/>
    </xf>
    <xf numFmtId="3" fontId="2" fillId="0" borderId="10" xfId="81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44" fillId="0" borderId="31" xfId="80" applyNumberFormat="1" applyFont="1" applyBorder="1">
      <alignment/>
      <protection/>
    </xf>
    <xf numFmtId="3" fontId="43" fillId="0" borderId="13" xfId="0" applyNumberFormat="1" applyFont="1" applyBorder="1" applyAlignment="1">
      <alignment/>
    </xf>
    <xf numFmtId="0" fontId="43" fillId="0" borderId="12" xfId="80" applyFont="1" applyBorder="1">
      <alignment/>
      <protection/>
    </xf>
    <xf numFmtId="3" fontId="44" fillId="0" borderId="12" xfId="80" applyNumberFormat="1" applyFont="1" applyBorder="1">
      <alignment/>
      <protection/>
    </xf>
    <xf numFmtId="0" fontId="46" fillId="0" borderId="11" xfId="81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81" applyFont="1" applyBorder="1" applyAlignment="1">
      <alignment/>
      <protection/>
    </xf>
    <xf numFmtId="0" fontId="4" fillId="0" borderId="33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1" fillId="0" borderId="13" xfId="81" applyNumberFormat="1" applyFont="1" applyBorder="1" applyAlignment="1">
      <alignment/>
      <protection/>
    </xf>
    <xf numFmtId="9" fontId="4" fillId="0" borderId="13" xfId="81" applyNumberFormat="1" applyFont="1" applyBorder="1" applyAlignment="1">
      <alignment/>
      <protection/>
    </xf>
    <xf numFmtId="9" fontId="1" fillId="0" borderId="13" xfId="81" applyNumberFormat="1" applyFont="1" applyBorder="1" applyAlignment="1">
      <alignment/>
      <protection/>
    </xf>
    <xf numFmtId="9" fontId="2" fillId="0" borderId="11" xfId="81" applyNumberFormat="1" applyFont="1" applyBorder="1" applyAlignment="1">
      <alignment/>
      <protection/>
    </xf>
    <xf numFmtId="9" fontId="2" fillId="0" borderId="12" xfId="81" applyNumberFormat="1" applyFont="1" applyBorder="1" applyAlignment="1">
      <alignment/>
      <protection/>
    </xf>
    <xf numFmtId="9" fontId="2" fillId="0" borderId="16" xfId="81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81" applyNumberFormat="1" applyFont="1" applyBorder="1" applyAlignment="1">
      <alignment/>
      <protection/>
    </xf>
    <xf numFmtId="3" fontId="4" fillId="0" borderId="16" xfId="81" applyNumberFormat="1" applyFont="1" applyBorder="1" applyAlignment="1">
      <alignment/>
      <protection/>
    </xf>
    <xf numFmtId="9" fontId="1" fillId="0" borderId="12" xfId="81" applyNumberFormat="1" applyFont="1" applyBorder="1" applyAlignment="1">
      <alignment/>
      <protection/>
    </xf>
    <xf numFmtId="0" fontId="15" fillId="0" borderId="14" xfId="90" applyFont="1" applyBorder="1" applyAlignment="1">
      <alignment horizontal="center"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81" applyNumberFormat="1" applyFont="1" applyBorder="1">
      <alignment/>
      <protection/>
    </xf>
    <xf numFmtId="0" fontId="15" fillId="0" borderId="12" xfId="90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90" applyNumberFormat="1" applyFont="1" applyBorder="1" applyAlignment="1">
      <alignment horizontal="right"/>
      <protection/>
    </xf>
    <xf numFmtId="0" fontId="3" fillId="0" borderId="23" xfId="90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90" applyNumberFormat="1" applyFont="1" applyBorder="1" applyAlignment="1">
      <alignment horizontal="right"/>
      <protection/>
    </xf>
    <xf numFmtId="3" fontId="1" fillId="0" borderId="13" xfId="90" applyNumberFormat="1" applyFont="1" applyBorder="1" applyAlignment="1">
      <alignment horizontal="right"/>
      <protection/>
    </xf>
    <xf numFmtId="0" fontId="2" fillId="0" borderId="23" xfId="90" applyFont="1" applyBorder="1" applyAlignment="1">
      <alignment horizontal="left"/>
      <protection/>
    </xf>
    <xf numFmtId="0" fontId="1" fillId="0" borderId="26" xfId="90" applyFont="1" applyBorder="1" applyAlignment="1">
      <alignment horizontal="left"/>
      <protection/>
    </xf>
    <xf numFmtId="0" fontId="1" fillId="0" borderId="38" xfId="81" applyFont="1" applyBorder="1" applyAlignment="1">
      <alignment/>
      <protection/>
    </xf>
    <xf numFmtId="3" fontId="1" fillId="0" borderId="38" xfId="81" applyNumberFormat="1" applyFont="1" applyBorder="1" applyAlignment="1">
      <alignment/>
      <protection/>
    </xf>
    <xf numFmtId="3" fontId="1" fillId="0" borderId="38" xfId="81" applyNumberFormat="1" applyFont="1" applyBorder="1">
      <alignment/>
      <protection/>
    </xf>
    <xf numFmtId="3" fontId="1" fillId="0" borderId="13" xfId="81" applyNumberFormat="1" applyFont="1" applyBorder="1">
      <alignment/>
      <protection/>
    </xf>
    <xf numFmtId="0" fontId="3" fillId="0" borderId="38" xfId="81" applyFont="1" applyBorder="1" applyAlignment="1">
      <alignment/>
      <protection/>
    </xf>
    <xf numFmtId="0" fontId="11" fillId="0" borderId="16" xfId="90" applyFont="1" applyBorder="1" applyAlignment="1">
      <alignment horizontal="center"/>
      <protection/>
    </xf>
    <xf numFmtId="3" fontId="3" fillId="0" borderId="12" xfId="90" applyNumberFormat="1" applyFont="1" applyBorder="1" applyAlignment="1">
      <alignment horizontal="right"/>
      <protection/>
    </xf>
    <xf numFmtId="0" fontId="36" fillId="0" borderId="24" xfId="87" applyFont="1" applyBorder="1">
      <alignment/>
      <protection/>
    </xf>
    <xf numFmtId="3" fontId="43" fillId="0" borderId="11" xfId="80" applyNumberFormat="1" applyFont="1" applyBorder="1">
      <alignment/>
      <protection/>
    </xf>
    <xf numFmtId="3" fontId="43" fillId="0" borderId="46" xfId="80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16" xfId="8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80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81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81" applyNumberFormat="1" applyFont="1" applyBorder="1">
      <alignment/>
      <protection/>
    </xf>
    <xf numFmtId="3" fontId="2" fillId="0" borderId="16" xfId="81" applyNumberFormat="1" applyFont="1" applyBorder="1">
      <alignment/>
      <protection/>
    </xf>
    <xf numFmtId="3" fontId="43" fillId="0" borderId="43" xfId="80" applyNumberFormat="1" applyFont="1" applyBorder="1">
      <alignment/>
      <protection/>
    </xf>
    <xf numFmtId="0" fontId="2" fillId="0" borderId="31" xfId="81" applyFont="1" applyBorder="1" applyAlignment="1">
      <alignment/>
      <protection/>
    </xf>
    <xf numFmtId="0" fontId="2" fillId="0" borderId="37" xfId="81" applyFont="1" applyBorder="1" applyAlignment="1">
      <alignment/>
      <protection/>
    </xf>
    <xf numFmtId="0" fontId="1" fillId="0" borderId="36" xfId="81" applyFont="1" applyBorder="1" applyAlignment="1">
      <alignment/>
      <protection/>
    </xf>
    <xf numFmtId="0" fontId="3" fillId="0" borderId="51" xfId="81" applyFont="1" applyBorder="1" applyAlignment="1">
      <alignment/>
      <protection/>
    </xf>
    <xf numFmtId="0" fontId="1" fillId="0" borderId="52" xfId="81" applyFont="1" applyBorder="1" applyAlignment="1">
      <alignment/>
      <protection/>
    </xf>
    <xf numFmtId="0" fontId="1" fillId="0" borderId="0" xfId="81" applyFont="1" applyBorder="1" applyAlignment="1">
      <alignment/>
      <protection/>
    </xf>
    <xf numFmtId="3" fontId="3" fillId="0" borderId="18" xfId="81" applyNumberFormat="1" applyFont="1" applyBorder="1" applyAlignment="1">
      <alignment horizontal="right"/>
      <protection/>
    </xf>
    <xf numFmtId="0" fontId="3" fillId="0" borderId="18" xfId="81" applyFont="1" applyBorder="1" applyAlignment="1">
      <alignment/>
      <protection/>
    </xf>
    <xf numFmtId="3" fontId="3" fillId="0" borderId="18" xfId="81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0" fontId="1" fillId="0" borderId="50" xfId="81" applyFont="1" applyBorder="1" applyAlignment="1">
      <alignment/>
      <protection/>
    </xf>
    <xf numFmtId="3" fontId="3" fillId="0" borderId="38" xfId="81" applyNumberFormat="1" applyFont="1" applyBorder="1" applyAlignment="1">
      <alignment horizontal="right"/>
      <protection/>
    </xf>
    <xf numFmtId="3" fontId="3" fillId="0" borderId="38" xfId="81" applyNumberFormat="1" applyFont="1" applyBorder="1" applyAlignment="1">
      <alignment/>
      <protection/>
    </xf>
    <xf numFmtId="0" fontId="1" fillId="0" borderId="17" xfId="81" applyFont="1" applyBorder="1" applyAlignment="1">
      <alignment/>
      <protection/>
    </xf>
    <xf numFmtId="0" fontId="3" fillId="0" borderId="17" xfId="81" applyFont="1" applyBorder="1" applyAlignment="1">
      <alignment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15" fillId="0" borderId="0" xfId="80" applyFont="1" applyAlignment="1">
      <alignment horizontal="right"/>
      <protection/>
    </xf>
    <xf numFmtId="0" fontId="2" fillId="0" borderId="32" xfId="0" applyFont="1" applyBorder="1" applyAlignment="1">
      <alignment/>
    </xf>
    <xf numFmtId="3" fontId="44" fillId="0" borderId="10" xfId="80" applyNumberFormat="1" applyFont="1" applyBorder="1">
      <alignment/>
      <protection/>
    </xf>
    <xf numFmtId="0" fontId="0" fillId="0" borderId="13" xfId="81" applyFont="1" applyBorder="1" applyAlignment="1">
      <alignment/>
      <protection/>
    </xf>
    <xf numFmtId="3" fontId="4" fillId="0" borderId="11" xfId="40" applyNumberFormat="1" applyFont="1" applyBorder="1" applyAlignment="1">
      <alignment horizontal="right"/>
    </xf>
    <xf numFmtId="3" fontId="4" fillId="0" borderId="11" xfId="102" applyNumberFormat="1" applyFont="1" applyBorder="1" applyAlignment="1">
      <alignment horizontal="right"/>
    </xf>
    <xf numFmtId="3" fontId="49" fillId="0" borderId="11" xfId="102" applyNumberFormat="1" applyFont="1" applyBorder="1" applyAlignment="1">
      <alignment horizontal="right"/>
    </xf>
    <xf numFmtId="3" fontId="2" fillId="0" borderId="34" xfId="81" applyNumberFormat="1" applyFont="1" applyBorder="1" applyAlignment="1">
      <alignment/>
      <protection/>
    </xf>
    <xf numFmtId="0" fontId="3" fillId="0" borderId="34" xfId="81" applyFont="1" applyBorder="1" applyAlignment="1">
      <alignment/>
      <protection/>
    </xf>
    <xf numFmtId="3" fontId="1" fillId="0" borderId="34" xfId="81" applyNumberFormat="1" applyFont="1" applyBorder="1" applyAlignment="1">
      <alignment/>
      <protection/>
    </xf>
    <xf numFmtId="3" fontId="3" fillId="0" borderId="17" xfId="81" applyNumberFormat="1" applyFont="1" applyBorder="1" applyAlignment="1">
      <alignment horizontal="right"/>
      <protection/>
    </xf>
    <xf numFmtId="3" fontId="38" fillId="0" borderId="11" xfId="87" applyNumberFormat="1" applyFont="1" applyBorder="1">
      <alignment/>
      <protection/>
    </xf>
    <xf numFmtId="3" fontId="3" fillId="0" borderId="12" xfId="81" applyNumberFormat="1" applyFont="1" applyBorder="1" applyAlignment="1">
      <alignment/>
      <protection/>
    </xf>
    <xf numFmtId="3" fontId="3" fillId="0" borderId="0" xfId="81" applyNumberFormat="1" applyFont="1" applyBorder="1" applyAlignment="1">
      <alignment/>
      <protection/>
    </xf>
    <xf numFmtId="3" fontId="2" fillId="0" borderId="10" xfId="0" applyNumberFormat="1" applyFont="1" applyBorder="1" applyAlignment="1">
      <alignment horizontal="right"/>
    </xf>
    <xf numFmtId="3" fontId="11" fillId="0" borderId="11" xfId="90" applyNumberFormat="1" applyFont="1" applyBorder="1" applyAlignment="1">
      <alignment horizontal="right"/>
      <protection/>
    </xf>
    <xf numFmtId="0" fontId="12" fillId="0" borderId="0" xfId="83">
      <alignment/>
      <protection/>
    </xf>
    <xf numFmtId="0" fontId="12" fillId="0" borderId="0" xfId="76" applyAlignment="1">
      <alignment/>
      <protection/>
    </xf>
    <xf numFmtId="0" fontId="12" fillId="0" borderId="28" xfId="83" applyBorder="1">
      <alignment/>
      <protection/>
    </xf>
    <xf numFmtId="0" fontId="12" fillId="0" borderId="50" xfId="83" applyBorder="1" applyAlignment="1">
      <alignment horizontal="center"/>
      <protection/>
    </xf>
    <xf numFmtId="0" fontId="12" fillId="0" borderId="13" xfId="83" applyBorder="1">
      <alignment/>
      <protection/>
    </xf>
    <xf numFmtId="0" fontId="12" fillId="0" borderId="0" xfId="91">
      <alignment/>
      <protection/>
    </xf>
    <xf numFmtId="0" fontId="12" fillId="0" borderId="28" xfId="91" applyBorder="1">
      <alignment/>
      <protection/>
    </xf>
    <xf numFmtId="0" fontId="16" fillId="0" borderId="13" xfId="91" applyFont="1" applyBorder="1">
      <alignment/>
      <protection/>
    </xf>
    <xf numFmtId="0" fontId="15" fillId="0" borderId="11" xfId="91" applyFont="1" applyBorder="1" applyAlignment="1">
      <alignment horizontal="center"/>
      <protection/>
    </xf>
    <xf numFmtId="0" fontId="51" fillId="0" borderId="11" xfId="91" applyFont="1" applyBorder="1" applyAlignment="1">
      <alignment/>
      <protection/>
    </xf>
    <xf numFmtId="0" fontId="51" fillId="0" borderId="0" xfId="91" applyFont="1">
      <alignment/>
      <protection/>
    </xf>
    <xf numFmtId="0" fontId="51" fillId="0" borderId="11" xfId="91" applyFont="1" applyBorder="1">
      <alignment/>
      <protection/>
    </xf>
    <xf numFmtId="3" fontId="51" fillId="0" borderId="11" xfId="91" applyNumberFormat="1" applyFont="1" applyBorder="1">
      <alignment/>
      <protection/>
    </xf>
    <xf numFmtId="0" fontId="52" fillId="0" borderId="11" xfId="91" applyFont="1" applyBorder="1">
      <alignment/>
      <protection/>
    </xf>
    <xf numFmtId="0" fontId="15" fillId="0" borderId="12" xfId="91" applyFont="1" applyBorder="1" applyAlignment="1">
      <alignment horizontal="center"/>
      <protection/>
    </xf>
    <xf numFmtId="0" fontId="51" fillId="0" borderId="28" xfId="91" applyFont="1" applyBorder="1">
      <alignment/>
      <protection/>
    </xf>
    <xf numFmtId="0" fontId="51" fillId="0" borderId="12" xfId="91" applyFont="1" applyBorder="1">
      <alignment/>
      <protection/>
    </xf>
    <xf numFmtId="3" fontId="51" fillId="0" borderId="12" xfId="91" applyNumberFormat="1" applyFont="1" applyBorder="1">
      <alignment/>
      <protection/>
    </xf>
    <xf numFmtId="0" fontId="52" fillId="0" borderId="12" xfId="91" applyFont="1" applyBorder="1">
      <alignment/>
      <protection/>
    </xf>
    <xf numFmtId="0" fontId="12" fillId="0" borderId="0" xfId="91" applyFont="1">
      <alignment/>
      <protection/>
    </xf>
    <xf numFmtId="0" fontId="53" fillId="0" borderId="0" xfId="73" applyFont="1">
      <alignment/>
      <protection/>
    </xf>
    <xf numFmtId="0" fontId="53" fillId="0" borderId="28" xfId="73" applyFont="1" applyBorder="1">
      <alignment/>
      <protection/>
    </xf>
    <xf numFmtId="0" fontId="35" fillId="0" borderId="28" xfId="73" applyFont="1" applyBorder="1" applyAlignment="1">
      <alignment horizontal="right"/>
      <protection/>
    </xf>
    <xf numFmtId="0" fontId="37" fillId="0" borderId="10" xfId="73" applyFont="1" applyBorder="1" applyAlignment="1">
      <alignment horizontal="center" vertical="center" wrapText="1"/>
      <protection/>
    </xf>
    <xf numFmtId="0" fontId="37" fillId="0" borderId="13" xfId="73" applyFont="1" applyBorder="1" applyAlignment="1">
      <alignment horizontal="center" vertical="center"/>
      <protection/>
    </xf>
    <xf numFmtId="0" fontId="37" fillId="0" borderId="26" xfId="73" applyFont="1" applyBorder="1" applyAlignment="1">
      <alignment horizontal="centerContinuous" vertical="center" wrapText="1"/>
      <protection/>
    </xf>
    <xf numFmtId="0" fontId="42" fillId="0" borderId="31" xfId="73" applyFont="1" applyBorder="1" applyAlignment="1">
      <alignment horizontal="centerContinuous"/>
      <protection/>
    </xf>
    <xf numFmtId="0" fontId="42" fillId="0" borderId="23" xfId="73" applyFont="1" applyBorder="1">
      <alignment/>
      <protection/>
    </xf>
    <xf numFmtId="0" fontId="37" fillId="0" borderId="12" xfId="73" applyFont="1" applyBorder="1">
      <alignment/>
      <protection/>
    </xf>
    <xf numFmtId="0" fontId="37" fillId="0" borderId="32" xfId="73" applyFont="1" applyBorder="1" applyAlignment="1">
      <alignment horizontal="centerContinuous"/>
      <protection/>
    </xf>
    <xf numFmtId="0" fontId="37" fillId="0" borderId="32" xfId="73" applyFont="1" applyBorder="1" applyAlignment="1">
      <alignment horizontal="left"/>
      <protection/>
    </xf>
    <xf numFmtId="0" fontId="3" fillId="0" borderId="12" xfId="73" applyFont="1" applyBorder="1" applyAlignment="1">
      <alignment horizontal="center" wrapText="1"/>
      <protection/>
    </xf>
    <xf numFmtId="0" fontId="42" fillId="0" borderId="13" xfId="73" applyFont="1" applyBorder="1">
      <alignment/>
      <protection/>
    </xf>
    <xf numFmtId="0" fontId="42" fillId="0" borderId="26" xfId="73" applyFont="1" applyBorder="1">
      <alignment/>
      <protection/>
    </xf>
    <xf numFmtId="0" fontId="37" fillId="0" borderId="13" xfId="73" applyFont="1" applyBorder="1">
      <alignment/>
      <protection/>
    </xf>
    <xf numFmtId="0" fontId="37" fillId="0" borderId="31" xfId="73" applyFont="1" applyBorder="1" applyAlignment="1">
      <alignment horizontal="centerContinuous"/>
      <protection/>
    </xf>
    <xf numFmtId="0" fontId="37" fillId="0" borderId="26" xfId="73" applyFont="1" applyBorder="1" applyAlignment="1">
      <alignment horizontal="center"/>
      <protection/>
    </xf>
    <xf numFmtId="0" fontId="37" fillId="0" borderId="31" xfId="73" applyFont="1" applyBorder="1" applyAlignment="1">
      <alignment horizontal="center"/>
      <protection/>
    </xf>
    <xf numFmtId="0" fontId="37" fillId="0" borderId="13" xfId="73" applyFont="1" applyBorder="1" applyAlignment="1">
      <alignment horizontal="center"/>
      <protection/>
    </xf>
    <xf numFmtId="0" fontId="42" fillId="0" borderId="10" xfId="73" applyFont="1" applyBorder="1">
      <alignment/>
      <protection/>
    </xf>
    <xf numFmtId="0" fontId="42" fillId="0" borderId="10" xfId="73" applyFont="1" applyBorder="1">
      <alignment/>
      <protection/>
    </xf>
    <xf numFmtId="3" fontId="42" fillId="0" borderId="10" xfId="73" applyNumberFormat="1" applyFont="1" applyBorder="1">
      <alignment/>
      <protection/>
    </xf>
    <xf numFmtId="3" fontId="42" fillId="0" borderId="10" xfId="73" applyNumberFormat="1" applyFont="1" applyBorder="1" applyAlignment="1">
      <alignment horizontal="right"/>
      <protection/>
    </xf>
    <xf numFmtId="3" fontId="42" fillId="0" borderId="11" xfId="73" applyNumberFormat="1" applyFont="1" applyBorder="1">
      <alignment/>
      <protection/>
    </xf>
    <xf numFmtId="0" fontId="42" fillId="0" borderId="11" xfId="73" applyFont="1" applyBorder="1">
      <alignment/>
      <protection/>
    </xf>
    <xf numFmtId="0" fontId="42" fillId="0" borderId="11" xfId="73" applyFont="1" applyBorder="1">
      <alignment/>
      <protection/>
    </xf>
    <xf numFmtId="3" fontId="42" fillId="0" borderId="11" xfId="73" applyNumberFormat="1" applyFont="1" applyBorder="1" applyAlignment="1">
      <alignment horizontal="right"/>
      <protection/>
    </xf>
    <xf numFmtId="0" fontId="42" fillId="0" borderId="11" xfId="73" applyFont="1" applyBorder="1" applyAlignment="1">
      <alignment/>
      <protection/>
    </xf>
    <xf numFmtId="3" fontId="42" fillId="0" borderId="11" xfId="73" applyNumberFormat="1" applyFont="1" applyFill="1" applyBorder="1">
      <alignment/>
      <protection/>
    </xf>
    <xf numFmtId="0" fontId="42" fillId="0" borderId="12" xfId="73" applyFont="1" applyBorder="1">
      <alignment/>
      <protection/>
    </xf>
    <xf numFmtId="0" fontId="42" fillId="0" borderId="12" xfId="73" applyFont="1" applyBorder="1">
      <alignment/>
      <protection/>
    </xf>
    <xf numFmtId="3" fontId="42" fillId="0" borderId="12" xfId="73" applyNumberFormat="1" applyFont="1" applyBorder="1">
      <alignment/>
      <protection/>
    </xf>
    <xf numFmtId="0" fontId="42" fillId="0" borderId="20" xfId="73" applyFont="1" applyBorder="1">
      <alignment/>
      <protection/>
    </xf>
    <xf numFmtId="3" fontId="42" fillId="0" borderId="33" xfId="73" applyNumberFormat="1" applyFont="1" applyBorder="1">
      <alignment/>
      <protection/>
    </xf>
    <xf numFmtId="3" fontId="37" fillId="0" borderId="31" xfId="73" applyNumberFormat="1" applyFont="1" applyBorder="1" applyAlignment="1">
      <alignment vertical="center" wrapText="1"/>
      <protection/>
    </xf>
    <xf numFmtId="3" fontId="42" fillId="0" borderId="11" xfId="73" applyNumberFormat="1" applyFont="1" applyBorder="1">
      <alignment/>
      <protection/>
    </xf>
    <xf numFmtId="3" fontId="42" fillId="0" borderId="11" xfId="73" applyNumberFormat="1" applyFont="1" applyFill="1" applyBorder="1">
      <alignment/>
      <protection/>
    </xf>
    <xf numFmtId="3" fontId="0" fillId="0" borderId="11" xfId="73" applyNumberFormat="1" applyBorder="1">
      <alignment/>
      <protection/>
    </xf>
    <xf numFmtId="3" fontId="42" fillId="0" borderId="20" xfId="73" applyNumberFormat="1" applyFont="1" applyBorder="1">
      <alignment/>
      <protection/>
    </xf>
    <xf numFmtId="3" fontId="0" fillId="0" borderId="20" xfId="73" applyNumberFormat="1" applyBorder="1">
      <alignment/>
      <protection/>
    </xf>
    <xf numFmtId="3" fontId="42" fillId="0" borderId="12" xfId="73" applyNumberFormat="1" applyFont="1" applyBorder="1">
      <alignment/>
      <protection/>
    </xf>
    <xf numFmtId="3" fontId="42" fillId="0" borderId="12" xfId="73" applyNumberFormat="1" applyFont="1" applyFill="1" applyBorder="1">
      <alignment/>
      <protection/>
    </xf>
    <xf numFmtId="3" fontId="0" fillId="0" borderId="12" xfId="73" applyNumberFormat="1" applyBorder="1">
      <alignment/>
      <protection/>
    </xf>
    <xf numFmtId="3" fontId="37" fillId="0" borderId="12" xfId="73" applyNumberFormat="1" applyFont="1" applyBorder="1">
      <alignment/>
      <protection/>
    </xf>
    <xf numFmtId="3" fontId="37" fillId="0" borderId="12" xfId="73" applyNumberFormat="1" applyFont="1" applyFill="1" applyBorder="1">
      <alignment/>
      <protection/>
    </xf>
    <xf numFmtId="3" fontId="47" fillId="0" borderId="13" xfId="73" applyNumberFormat="1" applyFont="1" applyBorder="1">
      <alignment/>
      <protection/>
    </xf>
    <xf numFmtId="0" fontId="53" fillId="0" borderId="11" xfId="73" applyFont="1" applyBorder="1">
      <alignment/>
      <protection/>
    </xf>
    <xf numFmtId="3" fontId="37" fillId="0" borderId="11" xfId="73" applyNumberFormat="1" applyFont="1" applyBorder="1">
      <alignment/>
      <protection/>
    </xf>
    <xf numFmtId="3" fontId="47" fillId="0" borderId="11" xfId="73" applyNumberFormat="1" applyFont="1" applyBorder="1">
      <alignment/>
      <protection/>
    </xf>
    <xf numFmtId="3" fontId="48" fillId="0" borderId="11" xfId="73" applyNumberFormat="1" applyFont="1" applyBorder="1">
      <alignment/>
      <protection/>
    </xf>
    <xf numFmtId="0" fontId="42" fillId="0" borderId="20" xfId="73" applyFont="1" applyBorder="1">
      <alignment/>
      <protection/>
    </xf>
    <xf numFmtId="0" fontId="53" fillId="0" borderId="20" xfId="73" applyFont="1" applyBorder="1">
      <alignment/>
      <protection/>
    </xf>
    <xf numFmtId="0" fontId="47" fillId="0" borderId="26" xfId="73" applyFont="1" applyBorder="1" applyAlignment="1">
      <alignment/>
      <protection/>
    </xf>
    <xf numFmtId="0" fontId="0" fillId="0" borderId="50" xfId="73" applyBorder="1" applyAlignment="1">
      <alignment/>
      <protection/>
    </xf>
    <xf numFmtId="0" fontId="42" fillId="0" borderId="13" xfId="73" applyFont="1" applyBorder="1" applyAlignment="1">
      <alignment/>
      <protection/>
    </xf>
    <xf numFmtId="3" fontId="37" fillId="0" borderId="13" xfId="73" applyNumberFormat="1" applyFont="1" applyBorder="1" applyAlignment="1">
      <alignment/>
      <protection/>
    </xf>
    <xf numFmtId="3" fontId="47" fillId="0" borderId="13" xfId="73" applyNumberFormat="1" applyFont="1" applyBorder="1">
      <alignment/>
      <protection/>
    </xf>
    <xf numFmtId="0" fontId="54" fillId="0" borderId="26" xfId="73" applyFont="1" applyBorder="1" applyAlignment="1">
      <alignment/>
      <protection/>
    </xf>
    <xf numFmtId="0" fontId="48" fillId="0" borderId="28" xfId="73" applyFont="1" applyBorder="1">
      <alignment/>
      <protection/>
    </xf>
    <xf numFmtId="3" fontId="37" fillId="0" borderId="13" xfId="73" applyNumberFormat="1" applyFont="1" applyBorder="1">
      <alignment/>
      <protection/>
    </xf>
    <xf numFmtId="3" fontId="47" fillId="0" borderId="28" xfId="73" applyNumberFormat="1" applyFont="1" applyBorder="1">
      <alignment/>
      <protection/>
    </xf>
    <xf numFmtId="3" fontId="47" fillId="0" borderId="32" xfId="73" applyNumberFormat="1" applyFont="1" applyBorder="1">
      <alignment/>
      <protection/>
    </xf>
    <xf numFmtId="0" fontId="48" fillId="0" borderId="0" xfId="84" applyFont="1" applyAlignment="1">
      <alignment horizontal="centerContinuous"/>
      <protection/>
    </xf>
    <xf numFmtId="0" fontId="0" fillId="0" borderId="0" xfId="84" applyAlignment="1">
      <alignment horizontal="centerContinuous"/>
      <protection/>
    </xf>
    <xf numFmtId="3" fontId="0" fillId="0" borderId="0" xfId="84" applyNumberFormat="1" applyAlignment="1">
      <alignment horizontal="centerContinuous"/>
      <protection/>
    </xf>
    <xf numFmtId="0" fontId="56" fillId="0" borderId="0" xfId="84" applyFont="1">
      <alignment/>
      <protection/>
    </xf>
    <xf numFmtId="0" fontId="56" fillId="0" borderId="0" xfId="84" applyFont="1" applyAlignment="1">
      <alignment/>
      <protection/>
    </xf>
    <xf numFmtId="3" fontId="56" fillId="0" borderId="0" xfId="84" applyNumberFormat="1" applyFont="1">
      <alignment/>
      <protection/>
    </xf>
    <xf numFmtId="3" fontId="57" fillId="0" borderId="0" xfId="84" applyNumberFormat="1" applyFont="1">
      <alignment/>
      <protection/>
    </xf>
    <xf numFmtId="0" fontId="43" fillId="0" borderId="10" xfId="84" applyFont="1" applyBorder="1" applyAlignment="1">
      <alignment horizontal="center"/>
      <protection/>
    </xf>
    <xf numFmtId="3" fontId="43" fillId="0" borderId="10" xfId="84" applyNumberFormat="1" applyFont="1" applyBorder="1" applyAlignment="1">
      <alignment horizontal="center"/>
      <protection/>
    </xf>
    <xf numFmtId="0" fontId="44" fillId="0" borderId="11" xfId="84" applyFont="1" applyBorder="1" applyAlignment="1">
      <alignment horizontal="center"/>
      <protection/>
    </xf>
    <xf numFmtId="0" fontId="43" fillId="0" borderId="11" xfId="84" applyFont="1" applyBorder="1" applyAlignment="1">
      <alignment horizontal="center"/>
      <protection/>
    </xf>
    <xf numFmtId="3" fontId="43" fillId="0" borderId="11" xfId="84" applyNumberFormat="1" applyFont="1" applyBorder="1" applyAlignment="1">
      <alignment horizontal="center"/>
      <protection/>
    </xf>
    <xf numFmtId="0" fontId="43" fillId="0" borderId="20" xfId="84" applyFont="1" applyBorder="1" applyAlignment="1">
      <alignment horizontal="center"/>
      <protection/>
    </xf>
    <xf numFmtId="3" fontId="43" fillId="0" borderId="0" xfId="84" applyNumberFormat="1" applyFont="1" applyBorder="1" applyAlignment="1">
      <alignment horizontal="center"/>
      <protection/>
    </xf>
    <xf numFmtId="0" fontId="43" fillId="0" borderId="11" xfId="84" applyFont="1" applyBorder="1" applyAlignment="1">
      <alignment/>
      <protection/>
    </xf>
    <xf numFmtId="3" fontId="43" fillId="0" borderId="12" xfId="84" applyNumberFormat="1" applyFont="1" applyBorder="1" applyAlignment="1">
      <alignment horizontal="center"/>
      <protection/>
    </xf>
    <xf numFmtId="0" fontId="43" fillId="0" borderId="23" xfId="84" applyFont="1" applyBorder="1" applyAlignment="1">
      <alignment horizontal="center"/>
      <protection/>
    </xf>
    <xf numFmtId="0" fontId="43" fillId="0" borderId="12" xfId="84" applyFont="1" applyBorder="1" applyAlignment="1">
      <alignment horizontal="center"/>
      <protection/>
    </xf>
    <xf numFmtId="3" fontId="44" fillId="0" borderId="12" xfId="84" applyNumberFormat="1" applyFont="1" applyBorder="1">
      <alignment/>
      <protection/>
    </xf>
    <xf numFmtId="3" fontId="43" fillId="0" borderId="0" xfId="84" applyNumberFormat="1" applyFont="1" applyBorder="1" applyAlignment="1">
      <alignment horizontal="left"/>
      <protection/>
    </xf>
    <xf numFmtId="0" fontId="43" fillId="0" borderId="13" xfId="84" applyFont="1" applyBorder="1" applyAlignment="1">
      <alignment horizontal="center"/>
      <protection/>
    </xf>
    <xf numFmtId="3" fontId="43" fillId="0" borderId="13" xfId="84" applyNumberFormat="1" applyFont="1" applyBorder="1" applyAlignment="1">
      <alignment horizontal="center"/>
      <protection/>
    </xf>
    <xf numFmtId="3" fontId="43" fillId="0" borderId="31" xfId="84" applyNumberFormat="1" applyFont="1" applyBorder="1" applyAlignment="1">
      <alignment horizontal="center"/>
      <protection/>
    </xf>
    <xf numFmtId="0" fontId="43" fillId="0" borderId="13" xfId="84" applyFont="1" applyBorder="1" applyAlignment="1">
      <alignment horizontal="left"/>
      <protection/>
    </xf>
    <xf numFmtId="3" fontId="43" fillId="0" borderId="13" xfId="84" applyNumberFormat="1" applyFont="1" applyBorder="1" applyAlignment="1">
      <alignment horizontal="right"/>
      <protection/>
    </xf>
    <xf numFmtId="0" fontId="44" fillId="0" borderId="13" xfId="84" applyFont="1" applyBorder="1">
      <alignment/>
      <protection/>
    </xf>
    <xf numFmtId="3" fontId="44" fillId="0" borderId="13" xfId="84" applyNumberFormat="1" applyFont="1" applyBorder="1" applyAlignment="1">
      <alignment/>
      <protection/>
    </xf>
    <xf numFmtId="3" fontId="43" fillId="0" borderId="13" xfId="84" applyNumberFormat="1" applyFont="1" applyBorder="1">
      <alignment/>
      <protection/>
    </xf>
    <xf numFmtId="3" fontId="44" fillId="0" borderId="13" xfId="84" applyNumberFormat="1" applyFont="1" applyBorder="1">
      <alignment/>
      <protection/>
    </xf>
    <xf numFmtId="3" fontId="43" fillId="0" borderId="13" xfId="84" applyNumberFormat="1" applyFont="1" applyBorder="1" applyAlignment="1">
      <alignment/>
      <protection/>
    </xf>
    <xf numFmtId="0" fontId="44" fillId="0" borderId="23" xfId="88" applyFont="1" applyBorder="1">
      <alignment/>
      <protection/>
    </xf>
    <xf numFmtId="0" fontId="44" fillId="0" borderId="13" xfId="88" applyFont="1" applyBorder="1">
      <alignment/>
      <protection/>
    </xf>
    <xf numFmtId="0" fontId="43" fillId="0" borderId="13" xfId="84" applyFont="1" applyBorder="1" applyAlignment="1">
      <alignment/>
      <protection/>
    </xf>
    <xf numFmtId="0" fontId="43" fillId="0" borderId="13" xfId="84" applyFont="1" applyBorder="1">
      <alignment/>
      <protection/>
    </xf>
    <xf numFmtId="0" fontId="43" fillId="0" borderId="12" xfId="84" applyFont="1" applyBorder="1">
      <alignment/>
      <protection/>
    </xf>
    <xf numFmtId="3" fontId="43" fillId="0" borderId="12" xfId="84" applyNumberFormat="1" applyFont="1" applyBorder="1" applyAlignment="1">
      <alignment horizontal="right"/>
      <protection/>
    </xf>
    <xf numFmtId="0" fontId="44" fillId="0" borderId="13" xfId="84" applyFont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71">
      <alignment/>
      <protection/>
    </xf>
    <xf numFmtId="0" fontId="0" fillId="0" borderId="28" xfId="71" applyBorder="1">
      <alignment/>
      <protection/>
    </xf>
    <xf numFmtId="0" fontId="0" fillId="0" borderId="28" xfId="71" applyFont="1" applyBorder="1" applyAlignment="1">
      <alignment horizontal="right"/>
      <protection/>
    </xf>
    <xf numFmtId="0" fontId="3" fillId="0" borderId="13" xfId="71" applyFont="1" applyBorder="1">
      <alignment/>
      <protection/>
    </xf>
    <xf numFmtId="0" fontId="3" fillId="0" borderId="12" xfId="71" applyFont="1" applyBorder="1" applyAlignment="1">
      <alignment horizontal="center"/>
      <protection/>
    </xf>
    <xf numFmtId="0" fontId="0" fillId="0" borderId="13" xfId="71" applyFont="1" applyBorder="1">
      <alignment/>
      <protection/>
    </xf>
    <xf numFmtId="3" fontId="12" fillId="0" borderId="13" xfId="84" applyNumberFormat="1" applyFont="1" applyBorder="1">
      <alignment/>
      <protection/>
    </xf>
    <xf numFmtId="3" fontId="0" fillId="0" borderId="13" xfId="71" applyNumberFormat="1" applyFont="1" applyBorder="1">
      <alignment/>
      <protection/>
    </xf>
    <xf numFmtId="0" fontId="0" fillId="0" borderId="13" xfId="71" applyFont="1" applyBorder="1">
      <alignment/>
      <protection/>
    </xf>
    <xf numFmtId="0" fontId="0" fillId="0" borderId="13" xfId="71" applyFont="1" applyFill="1" applyBorder="1">
      <alignment/>
      <protection/>
    </xf>
    <xf numFmtId="3" fontId="0" fillId="0" borderId="13" xfId="71" applyNumberFormat="1" applyFont="1" applyBorder="1">
      <alignment/>
      <protection/>
    </xf>
    <xf numFmtId="0" fontId="3" fillId="0" borderId="13" xfId="71" applyFont="1" applyFill="1" applyBorder="1">
      <alignment/>
      <protection/>
    </xf>
    <xf numFmtId="3" fontId="3" fillId="0" borderId="13" xfId="71" applyNumberFormat="1" applyFont="1" applyBorder="1">
      <alignment/>
      <protection/>
    </xf>
    <xf numFmtId="0" fontId="3" fillId="0" borderId="13" xfId="71" applyFont="1" applyBorder="1">
      <alignment/>
      <protection/>
    </xf>
    <xf numFmtId="0" fontId="3" fillId="0" borderId="13" xfId="71" applyFont="1" applyFill="1" applyBorder="1">
      <alignment/>
      <protection/>
    </xf>
    <xf numFmtId="3" fontId="3" fillId="0" borderId="13" xfId="71" applyNumberFormat="1" applyFont="1" applyBorder="1">
      <alignment/>
      <protection/>
    </xf>
    <xf numFmtId="0" fontId="0" fillId="0" borderId="13" xfId="71" applyFont="1" applyFill="1" applyBorder="1">
      <alignment/>
      <protection/>
    </xf>
    <xf numFmtId="3" fontId="2" fillId="0" borderId="13" xfId="71" applyNumberFormat="1" applyFont="1" applyBorder="1">
      <alignment/>
      <protection/>
    </xf>
    <xf numFmtId="0" fontId="2" fillId="0" borderId="13" xfId="71" applyFont="1" applyBorder="1">
      <alignment/>
      <protection/>
    </xf>
    <xf numFmtId="0" fontId="2" fillId="0" borderId="13" xfId="71" applyFont="1" applyFill="1" applyBorder="1">
      <alignment/>
      <protection/>
    </xf>
    <xf numFmtId="0" fontId="2" fillId="0" borderId="13" xfId="79" applyFont="1" applyBorder="1" applyAlignment="1">
      <alignment/>
      <protection/>
    </xf>
    <xf numFmtId="0" fontId="0" fillId="0" borderId="13" xfId="79" applyFont="1" applyBorder="1" applyAlignment="1">
      <alignment horizontal="right"/>
      <protection/>
    </xf>
    <xf numFmtId="0" fontId="0" fillId="0" borderId="13" xfId="79" applyFont="1" applyBorder="1" applyAlignment="1">
      <alignment/>
      <protection/>
    </xf>
    <xf numFmtId="0" fontId="0" fillId="0" borderId="0" xfId="71" applyFont="1">
      <alignment/>
      <protection/>
    </xf>
    <xf numFmtId="0" fontId="1" fillId="0" borderId="13" xfId="79" applyFont="1" applyBorder="1" applyAlignment="1">
      <alignment/>
      <protection/>
    </xf>
    <xf numFmtId="0" fontId="2" fillId="0" borderId="13" xfId="79" applyFont="1" applyBorder="1" applyAlignment="1">
      <alignment/>
      <protection/>
    </xf>
    <xf numFmtId="0" fontId="0" fillId="0" borderId="0" xfId="71" applyBorder="1">
      <alignment/>
      <protection/>
    </xf>
    <xf numFmtId="0" fontId="46" fillId="0" borderId="0" xfId="71" applyFont="1">
      <alignment/>
      <protection/>
    </xf>
    <xf numFmtId="0" fontId="54" fillId="0" borderId="0" xfId="84" applyFont="1" applyAlignment="1">
      <alignment horizontal="centerContinuous"/>
      <protection/>
    </xf>
    <xf numFmtId="0" fontId="58" fillId="0" borderId="0" xfId="84" applyFont="1" applyAlignment="1">
      <alignment horizontal="centerContinuous"/>
      <protection/>
    </xf>
    <xf numFmtId="0" fontId="0" fillId="0" borderId="0" xfId="84">
      <alignment/>
      <protection/>
    </xf>
    <xf numFmtId="0" fontId="47" fillId="0" borderId="0" xfId="84" applyFont="1">
      <alignment/>
      <protection/>
    </xf>
    <xf numFmtId="0" fontId="47" fillId="0" borderId="0" xfId="84" applyFont="1" applyAlignment="1">
      <alignment horizontal="right"/>
      <protection/>
    </xf>
    <xf numFmtId="0" fontId="54" fillId="0" borderId="0" xfId="84" applyFont="1" applyBorder="1">
      <alignment/>
      <protection/>
    </xf>
    <xf numFmtId="0" fontId="0" fillId="0" borderId="0" xfId="84" applyBorder="1">
      <alignment/>
      <protection/>
    </xf>
    <xf numFmtId="0" fontId="47" fillId="0" borderId="0" xfId="84" applyFont="1" applyBorder="1" applyAlignment="1">
      <alignment horizontal="center"/>
      <protection/>
    </xf>
    <xf numFmtId="0" fontId="48" fillId="0" borderId="0" xfId="84" applyFont="1" applyBorder="1">
      <alignment/>
      <protection/>
    </xf>
    <xf numFmtId="3" fontId="0" fillId="0" borderId="0" xfId="84" applyNumberFormat="1" applyBorder="1">
      <alignment/>
      <protection/>
    </xf>
    <xf numFmtId="0" fontId="47" fillId="0" borderId="0" xfId="84" applyFont="1" applyBorder="1">
      <alignment/>
      <protection/>
    </xf>
    <xf numFmtId="3" fontId="47" fillId="0" borderId="0" xfId="84" applyNumberFormat="1" applyFont="1" applyBorder="1">
      <alignment/>
      <protection/>
    </xf>
    <xf numFmtId="3" fontId="59" fillId="0" borderId="0" xfId="84" applyNumberFormat="1" applyFont="1" applyBorder="1">
      <alignment/>
      <protection/>
    </xf>
    <xf numFmtId="0" fontId="59" fillId="0" borderId="0" xfId="84" applyFont="1" applyBorder="1">
      <alignment/>
      <protection/>
    </xf>
    <xf numFmtId="0" fontId="0" fillId="0" borderId="0" xfId="84" applyFont="1" applyBorder="1">
      <alignment/>
      <protection/>
    </xf>
    <xf numFmtId="0" fontId="60" fillId="0" borderId="0" xfId="84" applyFont="1" applyBorder="1">
      <alignment/>
      <protection/>
    </xf>
    <xf numFmtId="0" fontId="61" fillId="0" borderId="0" xfId="84" applyFont="1" applyBorder="1">
      <alignment/>
      <protection/>
    </xf>
    <xf numFmtId="3" fontId="60" fillId="0" borderId="0" xfId="84" applyNumberFormat="1" applyFont="1" applyBorder="1">
      <alignment/>
      <protection/>
    </xf>
    <xf numFmtId="3" fontId="0" fillId="0" borderId="0" xfId="84" applyNumberFormat="1" applyFill="1" applyBorder="1">
      <alignment/>
      <protection/>
    </xf>
    <xf numFmtId="0" fontId="48" fillId="0" borderId="0" xfId="84" applyFont="1" applyBorder="1">
      <alignment/>
      <protection/>
    </xf>
    <xf numFmtId="3" fontId="48" fillId="0" borderId="0" xfId="84" applyNumberFormat="1" applyFont="1" applyBorder="1">
      <alignment/>
      <protection/>
    </xf>
    <xf numFmtId="0" fontId="47" fillId="0" borderId="0" xfId="84" applyFont="1" applyBorder="1">
      <alignment/>
      <protection/>
    </xf>
    <xf numFmtId="3" fontId="47" fillId="0" borderId="0" xfId="84" applyNumberFormat="1" applyFont="1" applyBorder="1">
      <alignment/>
      <protection/>
    </xf>
    <xf numFmtId="0" fontId="64" fillId="0" borderId="0" xfId="64" applyFont="1" applyAlignment="1">
      <alignment vertical="center"/>
      <protection/>
    </xf>
    <xf numFmtId="0" fontId="65" fillId="0" borderId="0" xfId="64" applyFont="1" applyAlignment="1">
      <alignment vertical="center"/>
      <protection/>
    </xf>
    <xf numFmtId="0" fontId="66" fillId="0" borderId="0" xfId="64" applyFont="1" applyAlignment="1">
      <alignment horizontal="center" vertical="center" wrapText="1"/>
      <protection/>
    </xf>
    <xf numFmtId="0" fontId="66" fillId="0" borderId="0" xfId="64" applyFont="1" applyAlignment="1">
      <alignment horizontal="center" vertical="center"/>
      <protection/>
    </xf>
    <xf numFmtId="0" fontId="67" fillId="0" borderId="0" xfId="64" applyFont="1" applyAlignment="1">
      <alignment horizontal="right" vertical="center"/>
      <protection/>
    </xf>
    <xf numFmtId="0" fontId="64" fillId="0" borderId="0" xfId="64" applyFont="1" applyFill="1" applyAlignment="1">
      <alignment vertical="center"/>
      <protection/>
    </xf>
    <xf numFmtId="0" fontId="67" fillId="0" borderId="54" xfId="95" applyFont="1" applyFill="1" applyBorder="1" applyAlignment="1">
      <alignment vertical="center"/>
      <protection/>
    </xf>
    <xf numFmtId="0" fontId="67" fillId="0" borderId="55" xfId="95" applyNumberFormat="1" applyFont="1" applyFill="1" applyBorder="1" applyAlignment="1">
      <alignment horizontal="center" vertical="center"/>
      <protection/>
    </xf>
    <xf numFmtId="3" fontId="67" fillId="0" borderId="55" xfId="95" applyNumberFormat="1" applyFont="1" applyFill="1" applyBorder="1" applyAlignment="1">
      <alignment vertical="center"/>
      <protection/>
    </xf>
    <xf numFmtId="0" fontId="67" fillId="16" borderId="56" xfId="64" applyFont="1" applyFill="1" applyBorder="1" applyAlignment="1">
      <alignment vertical="center"/>
      <protection/>
    </xf>
    <xf numFmtId="0" fontId="67" fillId="16" borderId="57" xfId="95" applyNumberFormat="1" applyFont="1" applyFill="1" applyBorder="1" applyAlignment="1">
      <alignment horizontal="center" vertical="center"/>
      <protection/>
    </xf>
    <xf numFmtId="0" fontId="68" fillId="16" borderId="56" xfId="64" applyFont="1" applyFill="1" applyBorder="1" applyAlignment="1">
      <alignment vertical="center"/>
      <protection/>
    </xf>
    <xf numFmtId="0" fontId="69" fillId="16" borderId="57" xfId="95" applyNumberFormat="1" applyFont="1" applyFill="1" applyBorder="1" applyAlignment="1">
      <alignment horizontal="center" vertical="center"/>
      <protection/>
    </xf>
    <xf numFmtId="16" fontId="64" fillId="0" borderId="0" xfId="64" applyNumberFormat="1" applyFont="1" applyAlignment="1">
      <alignment vertical="center"/>
      <protection/>
    </xf>
    <xf numFmtId="49" fontId="64" fillId="16" borderId="56" xfId="64" applyNumberFormat="1" applyFont="1" applyFill="1" applyBorder="1" applyAlignment="1">
      <alignment vertical="center"/>
      <protection/>
    </xf>
    <xf numFmtId="0" fontId="67" fillId="0" borderId="58" xfId="64" applyFont="1" applyFill="1" applyBorder="1" applyAlignment="1">
      <alignment vertical="center"/>
      <protection/>
    </xf>
    <xf numFmtId="0" fontId="67" fillId="0" borderId="59" xfId="95" applyNumberFormat="1" applyFont="1" applyFill="1" applyBorder="1" applyAlignment="1">
      <alignment horizontal="center" vertical="center"/>
      <protection/>
    </xf>
    <xf numFmtId="0" fontId="67" fillId="0" borderId="59" xfId="64" applyFont="1" applyFill="1" applyBorder="1" applyAlignment="1">
      <alignment vertical="center"/>
      <protection/>
    </xf>
    <xf numFmtId="49" fontId="65" fillId="16" borderId="56" xfId="64" applyNumberFormat="1" applyFont="1" applyFill="1" applyBorder="1" applyAlignment="1">
      <alignment vertical="center"/>
      <protection/>
    </xf>
    <xf numFmtId="49" fontId="70" fillId="0" borderId="60" xfId="93" applyNumberFormat="1" applyFont="1" applyFill="1" applyBorder="1" applyAlignment="1" applyProtection="1">
      <alignment horizontal="left" vertical="center" wrapText="1" indent="1"/>
      <protection/>
    </xf>
    <xf numFmtId="0" fontId="67" fillId="0" borderId="59" xfId="64" applyFont="1" applyBorder="1" applyAlignment="1" applyProtection="1">
      <alignment horizontal="left" vertical="center" wrapText="1"/>
      <protection/>
    </xf>
    <xf numFmtId="49" fontId="65" fillId="0" borderId="60" xfId="93" applyNumberFormat="1" applyFont="1" applyFill="1" applyBorder="1" applyAlignment="1" applyProtection="1">
      <alignment horizontal="center" vertical="center" wrapText="1"/>
      <protection/>
    </xf>
    <xf numFmtId="0" fontId="67" fillId="16" borderId="61" xfId="64" applyFont="1" applyFill="1" applyBorder="1" applyAlignment="1">
      <alignment vertical="center"/>
      <protection/>
    </xf>
    <xf numFmtId="0" fontId="67" fillId="16" borderId="0" xfId="95" applyNumberFormat="1" applyFont="1" applyFill="1" applyBorder="1" applyAlignment="1">
      <alignment horizontal="center" vertical="center"/>
      <protection/>
    </xf>
    <xf numFmtId="0" fontId="67" fillId="16" borderId="0" xfId="64" applyFont="1" applyFill="1" applyBorder="1" applyAlignment="1">
      <alignment vertical="center"/>
      <protection/>
    </xf>
    <xf numFmtId="0" fontId="64" fillId="0" borderId="55" xfId="64" applyFont="1" applyBorder="1" applyAlignment="1" applyProtection="1">
      <alignment horizontal="left" vertical="center" wrapText="1"/>
      <protection/>
    </xf>
    <xf numFmtId="0" fontId="68" fillId="16" borderId="61" xfId="64" applyFont="1" applyFill="1" applyBorder="1" applyAlignment="1">
      <alignment vertical="center"/>
      <protection/>
    </xf>
    <xf numFmtId="0" fontId="69" fillId="16" borderId="0" xfId="95" applyNumberFormat="1" applyFont="1" applyFill="1" applyBorder="1" applyAlignment="1">
      <alignment horizontal="center" vertical="center"/>
      <protection/>
    </xf>
    <xf numFmtId="0" fontId="68" fillId="16" borderId="0" xfId="64" applyFont="1" applyFill="1" applyBorder="1" applyAlignment="1">
      <alignment vertical="center"/>
      <protection/>
    </xf>
    <xf numFmtId="0" fontId="67" fillId="0" borderId="62" xfId="95" applyNumberFormat="1" applyFont="1" applyFill="1" applyBorder="1" applyAlignment="1">
      <alignment horizontal="center" vertical="center"/>
      <protection/>
    </xf>
    <xf numFmtId="0" fontId="67" fillId="0" borderId="62" xfId="64" applyFont="1" applyFill="1" applyBorder="1" applyAlignment="1">
      <alignment vertical="center"/>
      <protection/>
    </xf>
    <xf numFmtId="0" fontId="69" fillId="0" borderId="62" xfId="95" applyNumberFormat="1" applyFont="1" applyFill="1" applyBorder="1" applyAlignment="1">
      <alignment horizontal="center" vertical="center"/>
      <protection/>
    </xf>
    <xf numFmtId="0" fontId="68" fillId="0" borderId="0" xfId="64" applyFont="1" applyAlignment="1">
      <alignment vertical="center"/>
      <protection/>
    </xf>
    <xf numFmtId="0" fontId="64" fillId="0" borderId="62" xfId="64" applyFont="1" applyBorder="1" applyAlignment="1" applyProtection="1">
      <alignment horizontal="left" vertical="center" wrapText="1"/>
      <protection/>
    </xf>
    <xf numFmtId="49" fontId="64" fillId="16" borderId="61" xfId="64" applyNumberFormat="1" applyFont="1" applyFill="1" applyBorder="1" applyAlignment="1">
      <alignment vertical="center"/>
      <protection/>
    </xf>
    <xf numFmtId="0" fontId="64" fillId="16" borderId="0" xfId="64" applyFont="1" applyFill="1" applyBorder="1" applyAlignment="1">
      <alignment vertical="center"/>
      <protection/>
    </xf>
    <xf numFmtId="0" fontId="64" fillId="0" borderId="57" xfId="64" applyFont="1" applyBorder="1" applyAlignment="1" applyProtection="1">
      <alignment horizontal="left" vertical="center" wrapText="1"/>
      <protection/>
    </xf>
    <xf numFmtId="0" fontId="67" fillId="0" borderId="57" xfId="95" applyNumberFormat="1" applyFont="1" applyFill="1" applyBorder="1" applyAlignment="1">
      <alignment horizontal="center" vertical="center"/>
      <protection/>
    </xf>
    <xf numFmtId="0" fontId="67" fillId="0" borderId="57" xfId="64" applyFont="1" applyFill="1" applyBorder="1" applyAlignment="1">
      <alignment vertical="center"/>
      <protection/>
    </xf>
    <xf numFmtId="0" fontId="64" fillId="0" borderId="63" xfId="64" applyFont="1" applyBorder="1" applyAlignment="1" applyProtection="1">
      <alignment horizontal="left" vertical="center" wrapText="1"/>
      <protection/>
    </xf>
    <xf numFmtId="0" fontId="67" fillId="0" borderId="63" xfId="95" applyNumberFormat="1" applyFont="1" applyFill="1" applyBorder="1" applyAlignment="1">
      <alignment horizontal="center" vertical="center"/>
      <protection/>
    </xf>
    <xf numFmtId="0" fontId="64" fillId="0" borderId="0" xfId="64" applyFont="1" applyBorder="1" applyAlignment="1" applyProtection="1">
      <alignment horizontal="left" vertical="center" wrapText="1"/>
      <protection/>
    </xf>
    <xf numFmtId="0" fontId="67" fillId="0" borderId="0" xfId="95" applyFont="1" applyFill="1" applyBorder="1" applyAlignment="1">
      <alignment horizontal="center" vertical="center"/>
      <protection/>
    </xf>
    <xf numFmtId="0" fontId="67" fillId="0" borderId="0" xfId="64" applyFont="1" applyFill="1" applyAlignment="1">
      <alignment vertical="center"/>
      <protection/>
    </xf>
    <xf numFmtId="0" fontId="67" fillId="0" borderId="62" xfId="95" applyFont="1" applyFill="1" applyBorder="1" applyAlignment="1">
      <alignment vertical="center"/>
      <protection/>
    </xf>
    <xf numFmtId="0" fontId="67" fillId="0" borderId="62" xfId="95" applyFont="1" applyFill="1" applyBorder="1" applyAlignment="1">
      <alignment horizontal="center" vertical="center"/>
      <protection/>
    </xf>
    <xf numFmtId="0" fontId="67" fillId="0" borderId="57" xfId="95" applyFont="1" applyFill="1" applyBorder="1" applyAlignment="1">
      <alignment vertical="center"/>
      <protection/>
    </xf>
    <xf numFmtId="0" fontId="67" fillId="0" borderId="57" xfId="95" applyFont="1" applyFill="1" applyBorder="1" applyAlignment="1">
      <alignment horizontal="center" vertical="center"/>
      <protection/>
    </xf>
    <xf numFmtId="0" fontId="67" fillId="0" borderId="64" xfId="95" applyFont="1" applyFill="1" applyBorder="1" applyAlignment="1">
      <alignment vertical="center"/>
      <protection/>
    </xf>
    <xf numFmtId="0" fontId="67" fillId="0" borderId="64" xfId="95" applyFont="1" applyFill="1" applyBorder="1" applyAlignment="1">
      <alignment horizontal="center" vertical="center"/>
      <protection/>
    </xf>
    <xf numFmtId="0" fontId="67" fillId="0" borderId="64" xfId="64" applyFont="1" applyFill="1" applyBorder="1" applyAlignment="1">
      <alignment vertical="center"/>
      <protection/>
    </xf>
    <xf numFmtId="0" fontId="65" fillId="0" borderId="0" xfId="95" applyFont="1" applyFill="1" applyBorder="1" applyAlignment="1">
      <alignment vertical="center"/>
      <protection/>
    </xf>
    <xf numFmtId="0" fontId="67" fillId="0" borderId="58" xfId="64" applyFont="1" applyBorder="1" applyAlignment="1">
      <alignment vertical="center"/>
      <protection/>
    </xf>
    <xf numFmtId="0" fontId="67" fillId="0" borderId="59" xfId="95" applyFont="1" applyFill="1" applyBorder="1" applyAlignment="1">
      <alignment horizontal="center" vertical="center"/>
      <protection/>
    </xf>
    <xf numFmtId="0" fontId="64" fillId="0" borderId="65" xfId="64" applyFont="1" applyBorder="1" applyAlignment="1">
      <alignment vertical="center"/>
      <protection/>
    </xf>
    <xf numFmtId="0" fontId="64" fillId="0" borderId="62" xfId="95" applyFont="1" applyFill="1" applyBorder="1" applyAlignment="1">
      <alignment horizontal="center" vertical="center"/>
      <protection/>
    </xf>
    <xf numFmtId="0" fontId="65" fillId="0" borderId="62" xfId="64" applyFont="1" applyBorder="1" applyAlignment="1">
      <alignment vertical="center"/>
      <protection/>
    </xf>
    <xf numFmtId="0" fontId="64" fillId="0" borderId="66" xfId="64" applyFont="1" applyBorder="1" applyAlignment="1">
      <alignment vertical="center"/>
      <protection/>
    </xf>
    <xf numFmtId="0" fontId="64" fillId="0" borderId="64" xfId="95" applyFont="1" applyFill="1" applyBorder="1" applyAlignment="1">
      <alignment horizontal="center" vertical="center"/>
      <protection/>
    </xf>
    <xf numFmtId="0" fontId="64" fillId="0" borderId="54" xfId="64" applyFont="1" applyBorder="1" applyAlignment="1">
      <alignment vertical="center"/>
      <protection/>
    </xf>
    <xf numFmtId="0" fontId="64" fillId="0" borderId="55" xfId="95" applyFont="1" applyFill="1" applyBorder="1" applyAlignment="1">
      <alignment horizontal="center" vertical="center"/>
      <protection/>
    </xf>
    <xf numFmtId="0" fontId="64" fillId="0" borderId="56" xfId="64" applyFont="1" applyBorder="1" applyAlignment="1">
      <alignment vertical="center"/>
      <protection/>
    </xf>
    <xf numFmtId="0" fontId="64" fillId="0" borderId="57" xfId="95" applyFont="1" applyFill="1" applyBorder="1" applyAlignment="1">
      <alignment horizontal="center" vertical="center"/>
      <protection/>
    </xf>
    <xf numFmtId="0" fontId="65" fillId="0" borderId="57" xfId="64" applyFont="1" applyBorder="1" applyAlignment="1">
      <alignment vertical="center"/>
      <protection/>
    </xf>
    <xf numFmtId="0" fontId="67" fillId="0" borderId="58" xfId="64" applyFont="1" applyBorder="1" applyAlignment="1">
      <alignment vertical="center" wrapText="1"/>
      <protection/>
    </xf>
    <xf numFmtId="0" fontId="64" fillId="0" borderId="67" xfId="64" applyFont="1" applyBorder="1" applyAlignment="1">
      <alignment vertical="center"/>
      <protection/>
    </xf>
    <xf numFmtId="0" fontId="64" fillId="0" borderId="63" xfId="95" applyFont="1" applyFill="1" applyBorder="1" applyAlignment="1">
      <alignment horizontal="center" vertical="center"/>
      <protection/>
    </xf>
    <xf numFmtId="0" fontId="72" fillId="0" borderId="0" xfId="94" applyFont="1" applyFill="1" applyBorder="1" applyAlignment="1">
      <alignment horizontal="left" vertical="center"/>
      <protection/>
    </xf>
    <xf numFmtId="0" fontId="64" fillId="0" borderId="62" xfId="64" applyFont="1" applyBorder="1" applyAlignment="1">
      <alignment vertical="center"/>
      <protection/>
    </xf>
    <xf numFmtId="0" fontId="67" fillId="0" borderId="62" xfId="64" applyFont="1" applyBorder="1" applyAlignment="1">
      <alignment horizontal="center" vertical="center"/>
      <protection/>
    </xf>
    <xf numFmtId="3" fontId="64" fillId="0" borderId="68" xfId="64" applyNumberFormat="1" applyFont="1" applyFill="1" applyBorder="1" applyAlignment="1">
      <alignment vertical="center"/>
      <protection/>
    </xf>
    <xf numFmtId="0" fontId="64" fillId="0" borderId="57" xfId="64" applyFont="1" applyBorder="1" applyAlignment="1">
      <alignment vertical="center"/>
      <protection/>
    </xf>
    <xf numFmtId="0" fontId="67" fillId="0" borderId="57" xfId="64" applyFont="1" applyBorder="1" applyAlignment="1">
      <alignment horizontal="center" vertical="center"/>
      <protection/>
    </xf>
    <xf numFmtId="3" fontId="64" fillId="0" borderId="69" xfId="64" applyNumberFormat="1" applyFont="1" applyFill="1" applyBorder="1" applyAlignment="1">
      <alignment vertical="center"/>
      <protection/>
    </xf>
    <xf numFmtId="11" fontId="64" fillId="0" borderId="57" xfId="64" applyNumberFormat="1" applyFont="1" applyBorder="1" applyAlignment="1">
      <alignment vertical="center"/>
      <protection/>
    </xf>
    <xf numFmtId="0" fontId="65" fillId="0" borderId="0" xfId="64" applyFont="1" applyFill="1" applyAlignment="1">
      <alignment vertical="center"/>
      <protection/>
    </xf>
    <xf numFmtId="0" fontId="72" fillId="0" borderId="0" xfId="94" applyFont="1" applyFill="1" applyBorder="1" applyAlignment="1">
      <alignment vertical="center"/>
      <protection/>
    </xf>
    <xf numFmtId="0" fontId="12" fillId="0" borderId="0" xfId="85">
      <alignment/>
      <protection/>
    </xf>
    <xf numFmtId="0" fontId="12" fillId="0" borderId="28" xfId="85" applyBorder="1">
      <alignment/>
      <protection/>
    </xf>
    <xf numFmtId="0" fontId="37" fillId="0" borderId="13" xfId="85" applyFont="1" applyBorder="1" applyAlignment="1">
      <alignment horizontal="center" vertical="center"/>
      <protection/>
    </xf>
    <xf numFmtId="0" fontId="37" fillId="0" borderId="13" xfId="85" applyFont="1" applyFill="1" applyBorder="1" applyAlignment="1">
      <alignment horizontal="center" vertical="center"/>
      <protection/>
    </xf>
    <xf numFmtId="0" fontId="0" fillId="0" borderId="0" xfId="77">
      <alignment/>
      <protection/>
    </xf>
    <xf numFmtId="0" fontId="0" fillId="0" borderId="70" xfId="77" applyBorder="1" applyAlignment="1">
      <alignment horizontal="left" vertical="center"/>
      <protection/>
    </xf>
    <xf numFmtId="0" fontId="0" fillId="0" borderId="71" xfId="77" applyBorder="1" applyAlignment="1">
      <alignment horizontal="left" vertical="center"/>
      <protection/>
    </xf>
    <xf numFmtId="0" fontId="3" fillId="0" borderId="71" xfId="77" applyFont="1" applyBorder="1" applyAlignment="1">
      <alignment horizontal="left" vertical="center"/>
      <protection/>
    </xf>
    <xf numFmtId="0" fontId="3" fillId="0" borderId="72" xfId="77" applyFont="1" applyBorder="1" applyAlignment="1">
      <alignment horizontal="left" vertical="center"/>
      <protection/>
    </xf>
    <xf numFmtId="0" fontId="3" fillId="0" borderId="73" xfId="77" applyFont="1" applyBorder="1" applyAlignment="1">
      <alignment horizontal="left" vertical="center"/>
      <protection/>
    </xf>
    <xf numFmtId="9" fontId="2" fillId="0" borderId="13" xfId="81" applyNumberFormat="1" applyFont="1" applyBorder="1" applyAlignment="1">
      <alignment/>
      <protection/>
    </xf>
    <xf numFmtId="9" fontId="4" fillId="0" borderId="12" xfId="81" applyNumberFormat="1" applyFont="1" applyBorder="1" applyAlignment="1">
      <alignment/>
      <protection/>
    </xf>
    <xf numFmtId="9" fontId="4" fillId="0" borderId="18" xfId="81" applyNumberFormat="1" applyFont="1" applyBorder="1" applyAlignment="1">
      <alignment/>
      <protection/>
    </xf>
    <xf numFmtId="9" fontId="4" fillId="0" borderId="14" xfId="81" applyNumberFormat="1" applyFont="1" applyBorder="1" applyAlignment="1">
      <alignment/>
      <protection/>
    </xf>
    <xf numFmtId="9" fontId="2" fillId="0" borderId="18" xfId="81" applyNumberFormat="1" applyFont="1" applyBorder="1" applyAlignment="1">
      <alignment/>
      <protection/>
    </xf>
    <xf numFmtId="9" fontId="1" fillId="0" borderId="14" xfId="81" applyNumberFormat="1" applyFont="1" applyBorder="1" applyAlignment="1">
      <alignment/>
      <protection/>
    </xf>
    <xf numFmtId="9" fontId="5" fillId="0" borderId="14" xfId="81" applyNumberFormat="1" applyFont="1" applyBorder="1" applyAlignment="1">
      <alignment/>
      <protection/>
    </xf>
    <xf numFmtId="9" fontId="1" fillId="0" borderId="18" xfId="81" applyNumberFormat="1" applyFont="1" applyBorder="1" applyAlignment="1">
      <alignment/>
      <protection/>
    </xf>
    <xf numFmtId="9" fontId="1" fillId="0" borderId="16" xfId="81" applyNumberFormat="1" applyFont="1" applyBorder="1" applyAlignment="1">
      <alignment/>
      <protection/>
    </xf>
    <xf numFmtId="9" fontId="2" fillId="0" borderId="14" xfId="81" applyNumberFormat="1" applyFont="1" applyBorder="1" applyAlignment="1">
      <alignment/>
      <protection/>
    </xf>
    <xf numFmtId="9" fontId="1" fillId="0" borderId="11" xfId="81" applyNumberFormat="1" applyFont="1" applyBorder="1" applyAlignment="1">
      <alignment/>
      <protection/>
    </xf>
    <xf numFmtId="9" fontId="4" fillId="0" borderId="11" xfId="81" applyNumberFormat="1" applyFont="1" applyBorder="1" applyAlignment="1">
      <alignment/>
      <protection/>
    </xf>
    <xf numFmtId="9" fontId="4" fillId="0" borderId="16" xfId="81" applyNumberFormat="1" applyFont="1" applyBorder="1" applyAlignment="1">
      <alignment/>
      <protection/>
    </xf>
    <xf numFmtId="0" fontId="3" fillId="0" borderId="0" xfId="71" applyFont="1" applyAlignment="1">
      <alignment horizontal="center"/>
      <protection/>
    </xf>
    <xf numFmtId="0" fontId="0" fillId="0" borderId="0" xfId="74" applyAlignment="1">
      <alignment/>
      <protection/>
    </xf>
    <xf numFmtId="0" fontId="3" fillId="0" borderId="0" xfId="71" applyFont="1" applyBorder="1" applyAlignment="1">
      <alignment horizontal="center"/>
      <protection/>
    </xf>
    <xf numFmtId="0" fontId="0" fillId="0" borderId="0" xfId="74" applyAlignment="1">
      <alignment horizontal="center"/>
      <protection/>
    </xf>
    <xf numFmtId="3" fontId="1" fillId="0" borderId="21" xfId="0" applyNumberFormat="1" applyFont="1" applyBorder="1" applyAlignment="1">
      <alignment horizontal="right"/>
    </xf>
    <xf numFmtId="0" fontId="2" fillId="0" borderId="19" xfId="0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 horizontal="right"/>
      <protection locked="0"/>
    </xf>
    <xf numFmtId="3" fontId="2" fillId="0" borderId="19" xfId="0" applyNumberFormat="1" applyFont="1" applyBorder="1" applyAlignment="1" applyProtection="1">
      <alignment horizontal="right"/>
      <protection locked="0"/>
    </xf>
    <xf numFmtId="9" fontId="2" fillId="0" borderId="19" xfId="81" applyNumberFormat="1" applyFont="1" applyBorder="1" applyAlignment="1">
      <alignment/>
      <protection/>
    </xf>
    <xf numFmtId="0" fontId="0" fillId="0" borderId="20" xfId="0" applyBorder="1" applyAlignment="1">
      <alignment/>
    </xf>
    <xf numFmtId="9" fontId="2" fillId="0" borderId="17" xfId="81" applyNumberFormat="1" applyFont="1" applyBorder="1" applyAlignment="1">
      <alignment/>
      <protection/>
    </xf>
    <xf numFmtId="9" fontId="1" fillId="0" borderId="12" xfId="81" applyNumberFormat="1" applyFont="1" applyBorder="1" applyAlignment="1">
      <alignment/>
      <protection/>
    </xf>
    <xf numFmtId="9" fontId="1" fillId="0" borderId="18" xfId="81" applyNumberFormat="1" applyFont="1" applyBorder="1" applyAlignment="1">
      <alignment/>
      <protection/>
    </xf>
    <xf numFmtId="9" fontId="1" fillId="0" borderId="14" xfId="81" applyNumberFormat="1" applyFont="1" applyBorder="1" applyAlignment="1">
      <alignment/>
      <protection/>
    </xf>
    <xf numFmtId="3" fontId="9" fillId="0" borderId="14" xfId="90" applyNumberFormat="1" applyFont="1" applyBorder="1" applyAlignment="1">
      <alignment horizontal="right"/>
      <protection/>
    </xf>
    <xf numFmtId="0" fontId="73" fillId="0" borderId="13" xfId="71" applyFont="1" applyBorder="1">
      <alignment/>
      <protection/>
    </xf>
    <xf numFmtId="3" fontId="73" fillId="0" borderId="13" xfId="71" applyNumberFormat="1" applyFont="1" applyBorder="1">
      <alignment/>
      <protection/>
    </xf>
    <xf numFmtId="3" fontId="73" fillId="0" borderId="13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9" fontId="1" fillId="0" borderId="16" xfId="81" applyNumberFormat="1" applyFont="1" applyBorder="1" applyAlignment="1">
      <alignment/>
      <protection/>
    </xf>
    <xf numFmtId="3" fontId="1" fillId="0" borderId="5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0" fillId="0" borderId="0" xfId="84" applyNumberFormat="1" applyFont="1" applyBorder="1">
      <alignment/>
      <protection/>
    </xf>
    <xf numFmtId="0" fontId="3" fillId="0" borderId="0" xfId="84" applyFont="1" applyBorder="1">
      <alignment/>
      <protection/>
    </xf>
    <xf numFmtId="0" fontId="67" fillId="0" borderId="67" xfId="64" applyFont="1" applyFill="1" applyBorder="1" applyAlignment="1">
      <alignment vertical="center"/>
      <protection/>
    </xf>
    <xf numFmtId="0" fontId="0" fillId="0" borderId="13" xfId="81" applyFont="1" applyBorder="1" applyAlignment="1">
      <alignment/>
      <protection/>
    </xf>
    <xf numFmtId="0" fontId="73" fillId="0" borderId="17" xfId="81" applyFont="1" applyBorder="1" applyAlignment="1">
      <alignment/>
      <protection/>
    </xf>
    <xf numFmtId="3" fontId="4" fillId="0" borderId="17" xfId="81" applyNumberFormat="1" applyFont="1" applyBorder="1" applyAlignment="1">
      <alignment/>
      <protection/>
    </xf>
    <xf numFmtId="9" fontId="1" fillId="0" borderId="17" xfId="81" applyNumberFormat="1" applyFont="1" applyBorder="1" applyAlignment="1">
      <alignment/>
      <protection/>
    </xf>
    <xf numFmtId="0" fontId="73" fillId="0" borderId="13" xfId="81" applyFont="1" applyBorder="1" applyAlignment="1">
      <alignment/>
      <protection/>
    </xf>
    <xf numFmtId="0" fontId="73" fillId="0" borderId="18" xfId="81" applyFont="1" applyBorder="1" applyAlignment="1">
      <alignment/>
      <protection/>
    </xf>
    <xf numFmtId="3" fontId="4" fillId="0" borderId="18" xfId="81" applyNumberFormat="1" applyFont="1" applyBorder="1" applyAlignment="1">
      <alignment/>
      <protection/>
    </xf>
    <xf numFmtId="0" fontId="73" fillId="0" borderId="12" xfId="81" applyFont="1" applyBorder="1" applyAlignment="1">
      <alignment/>
      <protection/>
    </xf>
    <xf numFmtId="9" fontId="1" fillId="0" borderId="10" xfId="81" applyNumberFormat="1" applyFont="1" applyBorder="1" applyAlignment="1">
      <alignment/>
      <protection/>
    </xf>
    <xf numFmtId="0" fontId="3" fillId="0" borderId="18" xfId="81" applyFont="1" applyBorder="1" applyAlignment="1">
      <alignment/>
      <protection/>
    </xf>
    <xf numFmtId="3" fontId="2" fillId="0" borderId="28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44" fillId="0" borderId="34" xfId="80" applyFont="1" applyBorder="1">
      <alignment/>
      <protection/>
    </xf>
    <xf numFmtId="0" fontId="44" fillId="0" borderId="0" xfId="80" applyFont="1" applyBorder="1">
      <alignment/>
      <protection/>
    </xf>
    <xf numFmtId="0" fontId="44" fillId="0" borderId="47" xfId="80" applyFont="1" applyBorder="1">
      <alignment/>
      <protection/>
    </xf>
    <xf numFmtId="3" fontId="45" fillId="0" borderId="13" xfId="80" applyNumberFormat="1" applyFont="1" applyBorder="1">
      <alignment/>
      <protection/>
    </xf>
    <xf numFmtId="3" fontId="45" fillId="0" borderId="31" xfId="80" applyNumberFormat="1" applyFont="1" applyBorder="1">
      <alignment/>
      <protection/>
    </xf>
    <xf numFmtId="3" fontId="44" fillId="0" borderId="13" xfId="0" applyNumberFormat="1" applyFont="1" applyBorder="1" applyAlignment="1">
      <alignment/>
    </xf>
    <xf numFmtId="3" fontId="44" fillId="0" borderId="26" xfId="80" applyNumberFormat="1" applyFont="1" applyBorder="1">
      <alignment/>
      <protection/>
    </xf>
    <xf numFmtId="3" fontId="44" fillId="0" borderId="15" xfId="80" applyNumberFormat="1" applyFont="1" applyBorder="1">
      <alignment/>
      <protection/>
    </xf>
    <xf numFmtId="3" fontId="43" fillId="0" borderId="44" xfId="80" applyNumberFormat="1" applyFont="1" applyBorder="1">
      <alignment/>
      <protection/>
    </xf>
    <xf numFmtId="3" fontId="43" fillId="0" borderId="20" xfId="80" applyNumberFormat="1" applyFont="1" applyBorder="1">
      <alignment/>
      <protection/>
    </xf>
    <xf numFmtId="3" fontId="44" fillId="0" borderId="45" xfId="80" applyNumberFormat="1" applyFont="1" applyBorder="1">
      <alignment/>
      <protection/>
    </xf>
    <xf numFmtId="3" fontId="44" fillId="0" borderId="0" xfId="80" applyNumberFormat="1" applyFont="1">
      <alignment/>
      <protection/>
    </xf>
    <xf numFmtId="3" fontId="2" fillId="0" borderId="38" xfId="81" applyNumberFormat="1" applyFont="1" applyBorder="1" applyAlignment="1">
      <alignment/>
      <protection/>
    </xf>
    <xf numFmtId="3" fontId="1" fillId="0" borderId="38" xfId="81" applyNumberFormat="1" applyFont="1" applyBorder="1" applyAlignment="1">
      <alignment/>
      <protection/>
    </xf>
    <xf numFmtId="9" fontId="4" fillId="0" borderId="38" xfId="81" applyNumberFormat="1" applyFont="1" applyBorder="1" applyAlignment="1">
      <alignment/>
      <protection/>
    </xf>
    <xf numFmtId="0" fontId="0" fillId="0" borderId="11" xfId="0" applyBorder="1" applyAlignment="1">
      <alignment horizontal="center" wrapText="1"/>
    </xf>
    <xf numFmtId="3" fontId="42" fillId="0" borderId="12" xfId="73" applyNumberFormat="1" applyFont="1" applyFill="1" applyBorder="1">
      <alignment/>
      <protection/>
    </xf>
    <xf numFmtId="49" fontId="67" fillId="16" borderId="57" xfId="95" applyNumberFormat="1" applyFont="1" applyFill="1" applyBorder="1" applyAlignment="1">
      <alignment horizontal="center" vertical="center"/>
      <protection/>
    </xf>
    <xf numFmtId="0" fontId="67" fillId="0" borderId="54" xfId="64" applyFont="1" applyBorder="1" applyAlignment="1" applyProtection="1">
      <alignment horizontal="left" vertical="center" wrapText="1"/>
      <protection/>
    </xf>
    <xf numFmtId="49" fontId="67" fillId="0" borderId="74" xfId="95" applyNumberFormat="1" applyFont="1" applyFill="1" applyBorder="1" applyAlignment="1">
      <alignment horizontal="center" vertical="center"/>
      <protection/>
    </xf>
    <xf numFmtId="49" fontId="69" fillId="16" borderId="57" xfId="95" applyNumberFormat="1" applyFont="1" applyFill="1" applyBorder="1" applyAlignment="1">
      <alignment horizontal="center" vertical="center"/>
      <protection/>
    </xf>
    <xf numFmtId="49" fontId="74" fillId="16" borderId="66" xfId="64" applyNumberFormat="1" applyFont="1" applyFill="1" applyBorder="1" applyAlignment="1">
      <alignment vertical="center"/>
      <protection/>
    </xf>
    <xf numFmtId="49" fontId="69" fillId="0" borderId="62" xfId="95" applyNumberFormat="1" applyFont="1" applyFill="1" applyBorder="1" applyAlignment="1">
      <alignment horizontal="center" vertical="center"/>
      <protection/>
    </xf>
    <xf numFmtId="3" fontId="67" fillId="16" borderId="57" xfId="64" applyNumberFormat="1" applyFont="1" applyFill="1" applyBorder="1" applyAlignment="1">
      <alignment vertical="center"/>
      <protection/>
    </xf>
    <xf numFmtId="3" fontId="68" fillId="16" borderId="57" xfId="64" applyNumberFormat="1" applyFont="1" applyFill="1" applyBorder="1" applyAlignment="1">
      <alignment vertical="center"/>
      <protection/>
    </xf>
    <xf numFmtId="3" fontId="64" fillId="16" borderId="57" xfId="64" applyNumberFormat="1" applyFont="1" applyFill="1" applyBorder="1" applyAlignment="1">
      <alignment vertical="center"/>
      <protection/>
    </xf>
    <xf numFmtId="3" fontId="67" fillId="0" borderId="59" xfId="64" applyNumberFormat="1" applyFont="1" applyFill="1" applyBorder="1" applyAlignment="1">
      <alignment vertical="center"/>
      <protection/>
    </xf>
    <xf numFmtId="3" fontId="64" fillId="0" borderId="57" xfId="64" applyNumberFormat="1" applyFont="1" applyFill="1" applyBorder="1" applyAlignment="1">
      <alignment vertical="center"/>
      <protection/>
    </xf>
    <xf numFmtId="3" fontId="67" fillId="0" borderId="55" xfId="64" applyNumberFormat="1" applyFont="1" applyFill="1" applyBorder="1" applyAlignment="1">
      <alignment vertical="center"/>
      <protection/>
    </xf>
    <xf numFmtId="3" fontId="67" fillId="0" borderId="74" xfId="64" applyNumberFormat="1" applyFont="1" applyFill="1" applyBorder="1" applyAlignment="1">
      <alignment vertical="center"/>
      <protection/>
    </xf>
    <xf numFmtId="3" fontId="67" fillId="0" borderId="62" xfId="64" applyNumberFormat="1" applyFont="1" applyFill="1" applyBorder="1" applyAlignment="1">
      <alignment vertical="center"/>
      <protection/>
    </xf>
    <xf numFmtId="3" fontId="69" fillId="0" borderId="62" xfId="64" applyNumberFormat="1" applyFont="1" applyFill="1" applyBorder="1" applyAlignment="1">
      <alignment vertical="center"/>
      <protection/>
    </xf>
    <xf numFmtId="3" fontId="70" fillId="0" borderId="62" xfId="64" applyNumberFormat="1" applyFont="1" applyFill="1" applyBorder="1" applyAlignment="1">
      <alignment vertical="center"/>
      <protection/>
    </xf>
    <xf numFmtId="3" fontId="70" fillId="0" borderId="74" xfId="64" applyNumberFormat="1" applyFont="1" applyFill="1" applyBorder="1" applyAlignment="1">
      <alignment vertical="center"/>
      <protection/>
    </xf>
    <xf numFmtId="3" fontId="67" fillId="0" borderId="57" xfId="64" applyNumberFormat="1" applyFont="1" applyFill="1" applyBorder="1" applyAlignment="1">
      <alignment vertical="center"/>
      <protection/>
    </xf>
    <xf numFmtId="3" fontId="67" fillId="0" borderId="63" xfId="64" applyNumberFormat="1" applyFont="1" applyFill="1" applyBorder="1" applyAlignment="1">
      <alignment vertical="center"/>
      <protection/>
    </xf>
    <xf numFmtId="0" fontId="67" fillId="0" borderId="59" xfId="64" applyFont="1" applyFill="1" applyBorder="1" applyAlignment="1">
      <alignment horizontal="left" vertical="center"/>
      <protection/>
    </xf>
    <xf numFmtId="3" fontId="70" fillId="0" borderId="59" xfId="64" applyNumberFormat="1" applyFont="1" applyBorder="1" applyAlignment="1">
      <alignment vertical="center"/>
      <protection/>
    </xf>
    <xf numFmtId="3" fontId="70" fillId="0" borderId="75" xfId="64" applyNumberFormat="1" applyFont="1" applyBorder="1" applyAlignment="1">
      <alignment vertical="center"/>
      <protection/>
    </xf>
    <xf numFmtId="3" fontId="65" fillId="0" borderId="64" xfId="64" applyNumberFormat="1" applyFont="1" applyBorder="1" applyAlignment="1">
      <alignment vertical="center"/>
      <protection/>
    </xf>
    <xf numFmtId="3" fontId="64" fillId="0" borderId="76" xfId="64" applyNumberFormat="1" applyFont="1" applyBorder="1" applyAlignment="1">
      <alignment vertical="center"/>
      <protection/>
    </xf>
    <xf numFmtId="3" fontId="65" fillId="0" borderId="55" xfId="64" applyNumberFormat="1" applyFont="1" applyBorder="1" applyAlignment="1">
      <alignment vertical="center"/>
      <protection/>
    </xf>
    <xf numFmtId="3" fontId="65" fillId="0" borderId="77" xfId="64" applyNumberFormat="1" applyFont="1" applyBorder="1" applyAlignment="1">
      <alignment vertical="center"/>
      <protection/>
    </xf>
    <xf numFmtId="3" fontId="65" fillId="0" borderId="57" xfId="64" applyNumberFormat="1" applyFont="1" applyBorder="1" applyAlignment="1">
      <alignment vertical="center"/>
      <protection/>
    </xf>
    <xf numFmtId="3" fontId="64" fillId="0" borderId="69" xfId="64" applyNumberFormat="1" applyFont="1" applyBorder="1" applyAlignment="1">
      <alignment vertical="center"/>
      <protection/>
    </xf>
    <xf numFmtId="3" fontId="65" fillId="0" borderId="78" xfId="64" applyNumberFormat="1" applyFont="1" applyBorder="1" applyAlignment="1">
      <alignment vertical="center"/>
      <protection/>
    </xf>
    <xf numFmtId="3" fontId="65" fillId="0" borderId="62" xfId="64" applyNumberFormat="1" applyFont="1" applyBorder="1" applyAlignment="1">
      <alignment vertical="center"/>
      <protection/>
    </xf>
    <xf numFmtId="3" fontId="64" fillId="0" borderId="68" xfId="64" applyNumberFormat="1" applyFont="1" applyBorder="1" applyAlignment="1">
      <alignment vertical="center"/>
      <protection/>
    </xf>
    <xf numFmtId="3" fontId="65" fillId="0" borderId="63" xfId="64" applyNumberFormat="1" applyFont="1" applyBorder="1" applyAlignment="1">
      <alignment vertical="center"/>
      <protection/>
    </xf>
    <xf numFmtId="3" fontId="64" fillId="0" borderId="79" xfId="64" applyNumberFormat="1" applyFont="1" applyBorder="1" applyAlignment="1">
      <alignment vertical="center"/>
      <protection/>
    </xf>
    <xf numFmtId="3" fontId="67" fillId="0" borderId="75" xfId="64" applyNumberFormat="1" applyFont="1" applyFill="1" applyBorder="1" applyAlignment="1">
      <alignment vertical="center"/>
      <protection/>
    </xf>
    <xf numFmtId="3" fontId="64" fillId="0" borderId="63" xfId="64" applyNumberFormat="1" applyFont="1" applyFill="1" applyBorder="1" applyAlignment="1">
      <alignment vertical="center"/>
      <protection/>
    </xf>
    <xf numFmtId="0" fontId="12" fillId="0" borderId="26" xfId="83" applyBorder="1">
      <alignment/>
      <protection/>
    </xf>
    <xf numFmtId="0" fontId="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3" fillId="0" borderId="40" xfId="0" applyNumberFormat="1" applyFont="1" applyBorder="1" applyAlignment="1">
      <alignment/>
    </xf>
    <xf numFmtId="0" fontId="0" fillId="0" borderId="28" xfId="0" applyBorder="1" applyAlignment="1">
      <alignment/>
    </xf>
    <xf numFmtId="49" fontId="3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12" fillId="0" borderId="11" xfId="0" applyFont="1" applyBorder="1" applyAlignment="1">
      <alignment horizontal="left"/>
    </xf>
    <xf numFmtId="0" fontId="42" fillId="0" borderId="33" xfId="73" applyFont="1" applyBorder="1">
      <alignment/>
      <protection/>
    </xf>
    <xf numFmtId="3" fontId="42" fillId="0" borderId="11" xfId="85" applyNumberFormat="1" applyFont="1" applyBorder="1" applyAlignment="1">
      <alignment vertical="center"/>
      <protection/>
    </xf>
    <xf numFmtId="3" fontId="43" fillId="0" borderId="12" xfId="84" applyNumberFormat="1" applyFont="1" applyBorder="1">
      <alignment/>
      <protection/>
    </xf>
    <xf numFmtId="3" fontId="11" fillId="0" borderId="41" xfId="80" applyNumberFormat="1" applyFont="1" applyBorder="1">
      <alignment/>
      <protection/>
    </xf>
    <xf numFmtId="0" fontId="12" fillId="0" borderId="0" xfId="83" applyFont="1">
      <alignment/>
      <protection/>
    </xf>
    <xf numFmtId="0" fontId="3" fillId="0" borderId="0" xfId="77" applyFont="1" applyAlignment="1">
      <alignment horizontal="right"/>
      <protection/>
    </xf>
    <xf numFmtId="3" fontId="45" fillId="0" borderId="43" xfId="80" applyNumberFormat="1" applyFont="1" applyBorder="1">
      <alignment/>
      <protection/>
    </xf>
    <xf numFmtId="0" fontId="39" fillId="0" borderId="0" xfId="63" applyFont="1" applyAlignment="1">
      <alignment horizontal="center"/>
      <protection/>
    </xf>
    <xf numFmtId="0" fontId="39" fillId="0" borderId="0" xfId="63" applyFont="1" applyAlignment="1">
      <alignment/>
      <protection/>
    </xf>
    <xf numFmtId="0" fontId="36" fillId="0" borderId="0" xfId="63" applyFont="1" applyAlignment="1">
      <alignment vertical="center"/>
      <protection/>
    </xf>
    <xf numFmtId="0" fontId="38" fillId="0" borderId="0" xfId="63" applyFont="1" applyAlignment="1">
      <alignment horizontal="right" vertical="center"/>
      <protection/>
    </xf>
    <xf numFmtId="0" fontId="43" fillId="0" borderId="59" xfId="94" applyFont="1" applyBorder="1" applyAlignment="1" quotePrefix="1">
      <alignment horizontal="center" vertical="center" wrapText="1"/>
      <protection/>
    </xf>
    <xf numFmtId="0" fontId="43" fillId="0" borderId="59" xfId="94" applyFont="1" applyBorder="1" applyAlignment="1">
      <alignment horizontal="center" vertical="center"/>
      <protection/>
    </xf>
    <xf numFmtId="0" fontId="43" fillId="0" borderId="29" xfId="94" applyFont="1" applyBorder="1" applyAlignment="1">
      <alignment horizontal="center" vertical="center" wrapText="1"/>
      <protection/>
    </xf>
    <xf numFmtId="0" fontId="43" fillId="0" borderId="21" xfId="94" applyFont="1" applyBorder="1" applyAlignment="1">
      <alignment horizontal="center" vertical="center" wrapText="1"/>
      <protection/>
    </xf>
    <xf numFmtId="166" fontId="63" fillId="0" borderId="80" xfId="94" applyNumberFormat="1" applyFont="1" applyBorder="1" applyAlignment="1">
      <alignment horizontal="center" vertical="center"/>
      <protection/>
    </xf>
    <xf numFmtId="0" fontId="44" fillId="0" borderId="80" xfId="94" applyFont="1" applyBorder="1" applyAlignment="1">
      <alignment horizontal="left" vertical="center" wrapText="1"/>
      <protection/>
    </xf>
    <xf numFmtId="3" fontId="53" fillId="18" borderId="32" xfId="63" applyNumberFormat="1" applyFont="1" applyFill="1" applyBorder="1" applyAlignment="1">
      <alignment vertical="center"/>
      <protection/>
    </xf>
    <xf numFmtId="3" fontId="53" fillId="0" borderId="23" xfId="45" applyNumberFormat="1" applyFont="1" applyBorder="1" applyAlignment="1" applyProtection="1">
      <alignment horizontal="right" vertical="center"/>
      <protection locked="0"/>
    </xf>
    <xf numFmtId="0" fontId="44" fillId="0" borderId="57" xfId="94" applyFont="1" applyBorder="1" applyAlignment="1" quotePrefix="1">
      <alignment horizontal="left" vertical="center" wrapText="1"/>
      <protection/>
    </xf>
    <xf numFmtId="3" fontId="53" fillId="18" borderId="31" xfId="63" applyNumberFormat="1" applyFont="1" applyFill="1" applyBorder="1" applyAlignment="1">
      <alignment vertical="center"/>
      <protection/>
    </xf>
    <xf numFmtId="3" fontId="53" fillId="0" borderId="26" xfId="45" applyNumberFormat="1" applyFont="1" applyBorder="1" applyAlignment="1" applyProtection="1">
      <alignment horizontal="right" vertical="center"/>
      <protection locked="0"/>
    </xf>
    <xf numFmtId="0" fontId="44" fillId="0" borderId="81" xfId="94" applyFont="1" applyBorder="1" applyAlignment="1" quotePrefix="1">
      <alignment horizontal="left" vertical="center" wrapText="1"/>
      <protection/>
    </xf>
    <xf numFmtId="3" fontId="53" fillId="18" borderId="35" xfId="63" applyNumberFormat="1" applyFont="1" applyFill="1" applyBorder="1" applyAlignment="1">
      <alignment vertical="center"/>
      <protection/>
    </xf>
    <xf numFmtId="3" fontId="53" fillId="0" borderId="15" xfId="45" applyNumberFormat="1" applyFont="1" applyBorder="1" applyAlignment="1" applyProtection="1">
      <alignment horizontal="right" vertical="center"/>
      <protection locked="0"/>
    </xf>
    <xf numFmtId="0" fontId="44" fillId="0" borderId="80" xfId="94" applyFont="1" applyBorder="1" applyAlignment="1" quotePrefix="1">
      <alignment horizontal="left" vertical="center" wrapText="1"/>
      <protection/>
    </xf>
    <xf numFmtId="0" fontId="44" fillId="0" borderId="57" xfId="94" applyFont="1" applyBorder="1" applyAlignment="1">
      <alignment horizontal="left" vertical="center" wrapText="1"/>
      <protection/>
    </xf>
    <xf numFmtId="0" fontId="44" fillId="0" borderId="80" xfId="94" applyFont="1" applyFill="1" applyBorder="1" applyAlignment="1">
      <alignment horizontal="left" vertical="center" wrapText="1"/>
      <protection/>
    </xf>
    <xf numFmtId="3" fontId="53" fillId="0" borderId="23" xfId="94" applyNumberFormat="1" applyFont="1" applyFill="1" applyBorder="1" applyAlignment="1">
      <alignment horizontal="right" vertical="center"/>
      <protection/>
    </xf>
    <xf numFmtId="0" fontId="44" fillId="0" borderId="57" xfId="94" applyFont="1" applyFill="1" applyBorder="1" applyAlignment="1" quotePrefix="1">
      <alignment horizontal="left" vertical="center" wrapText="1"/>
      <protection/>
    </xf>
    <xf numFmtId="3" fontId="53" fillId="0" borderId="26" xfId="94" applyNumberFormat="1" applyFont="1" applyFill="1" applyBorder="1" applyAlignment="1">
      <alignment horizontal="right" vertical="center"/>
      <protection/>
    </xf>
    <xf numFmtId="166" fontId="63" fillId="0" borderId="82" xfId="94" applyNumberFormat="1" applyFont="1" applyBorder="1" applyAlignment="1">
      <alignment horizontal="center" vertical="center"/>
      <protection/>
    </xf>
    <xf numFmtId="0" fontId="44" fillId="0" borderId="63" xfId="94" applyFont="1" applyBorder="1" applyAlignment="1" quotePrefix="1">
      <alignment horizontal="left" vertical="center" wrapText="1"/>
      <protection/>
    </xf>
    <xf numFmtId="3" fontId="53" fillId="18" borderId="30" xfId="63" applyNumberFormat="1" applyFont="1" applyFill="1" applyBorder="1" applyAlignment="1">
      <alignment vertical="center"/>
      <protection/>
    </xf>
    <xf numFmtId="3" fontId="53" fillId="0" borderId="83" xfId="94" applyNumberFormat="1" applyFont="1" applyFill="1" applyBorder="1" applyAlignment="1">
      <alignment horizontal="right" vertical="center"/>
      <protection/>
    </xf>
    <xf numFmtId="3" fontId="53" fillId="18" borderId="83" xfId="63" applyNumberFormat="1" applyFont="1" applyFill="1" applyBorder="1" applyAlignment="1">
      <alignment vertical="center"/>
      <protection/>
    </xf>
    <xf numFmtId="3" fontId="36" fillId="0" borderId="0" xfId="63" applyNumberFormat="1" applyFont="1" applyAlignment="1">
      <alignment vertical="center"/>
      <protection/>
    </xf>
    <xf numFmtId="0" fontId="42" fillId="0" borderId="0" xfId="86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42" fillId="0" borderId="0" xfId="63" applyFont="1" applyAlignment="1">
      <alignment vertical="center"/>
      <protection/>
    </xf>
    <xf numFmtId="0" fontId="43" fillId="0" borderId="59" xfId="94" applyFont="1" applyFill="1" applyBorder="1" applyAlignment="1" quotePrefix="1">
      <alignment horizontal="center" vertical="center" wrapText="1"/>
      <protection/>
    </xf>
    <xf numFmtId="0" fontId="43" fillId="0" borderId="59" xfId="94" applyFont="1" applyFill="1" applyBorder="1" applyAlignment="1" quotePrefix="1">
      <alignment horizontal="left" vertical="center" wrapText="1"/>
      <protection/>
    </xf>
    <xf numFmtId="3" fontId="35" fillId="0" borderId="29" xfId="94" applyNumberFormat="1" applyFont="1" applyFill="1" applyBorder="1" applyAlignment="1" applyProtection="1">
      <alignment horizontal="right" vertical="center"/>
      <protection/>
    </xf>
    <xf numFmtId="3" fontId="35" fillId="0" borderId="53" xfId="94" applyNumberFormat="1" applyFont="1" applyFill="1" applyBorder="1" applyAlignment="1" applyProtection="1">
      <alignment horizontal="right" vertical="center"/>
      <protection/>
    </xf>
    <xf numFmtId="3" fontId="35" fillId="0" borderId="59" xfId="94" applyNumberFormat="1" applyFont="1" applyFill="1" applyBorder="1" applyAlignment="1" applyProtection="1">
      <alignment horizontal="right" vertical="center"/>
      <protection/>
    </xf>
    <xf numFmtId="0" fontId="43" fillId="0" borderId="59" xfId="94" applyFont="1" applyFill="1" applyBorder="1" applyAlignment="1">
      <alignment horizontal="center" vertical="center" wrapText="1"/>
      <protection/>
    </xf>
    <xf numFmtId="3" fontId="53" fillId="0" borderId="80" xfId="94" applyNumberFormat="1" applyFont="1" applyFill="1" applyBorder="1" applyAlignment="1">
      <alignment horizontal="right" vertical="center"/>
      <protection/>
    </xf>
    <xf numFmtId="3" fontId="53" fillId="0" borderId="57" xfId="94" applyNumberFormat="1" applyFont="1" applyFill="1" applyBorder="1" applyAlignment="1">
      <alignment horizontal="right" vertical="center"/>
      <protection/>
    </xf>
    <xf numFmtId="3" fontId="53" fillId="0" borderId="81" xfId="94" applyNumberFormat="1" applyFont="1" applyFill="1" applyBorder="1" applyAlignment="1">
      <alignment horizontal="right" vertical="center"/>
      <protection/>
    </xf>
    <xf numFmtId="3" fontId="35" fillId="0" borderId="59" xfId="94" applyNumberFormat="1" applyFont="1" applyFill="1" applyBorder="1" applyAlignment="1">
      <alignment horizontal="right" vertical="center"/>
      <protection/>
    </xf>
    <xf numFmtId="3" fontId="53" fillId="0" borderId="63" xfId="94" applyNumberFormat="1" applyFont="1" applyFill="1" applyBorder="1" applyAlignment="1">
      <alignment horizontal="right" vertical="center"/>
      <protection/>
    </xf>
    <xf numFmtId="3" fontId="35" fillId="0" borderId="29" xfId="94" applyNumberFormat="1" applyFont="1" applyFill="1" applyBorder="1" applyAlignment="1">
      <alignment horizontal="right" vertical="center"/>
      <protection/>
    </xf>
    <xf numFmtId="3" fontId="35" fillId="0" borderId="53" xfId="94" applyNumberFormat="1" applyFont="1" applyFill="1" applyBorder="1" applyAlignment="1">
      <alignment horizontal="right" vertical="center"/>
      <protection/>
    </xf>
    <xf numFmtId="0" fontId="38" fillId="0" borderId="0" xfId="86" applyFont="1" applyAlignment="1">
      <alignment horizontal="center" vertical="center"/>
      <protection/>
    </xf>
    <xf numFmtId="0" fontId="53" fillId="0" borderId="0" xfId="86" applyFont="1" applyAlignment="1">
      <alignment vertical="center"/>
      <protection/>
    </xf>
    <xf numFmtId="0" fontId="43" fillId="0" borderId="70" xfId="63" applyFont="1" applyBorder="1" applyAlignment="1">
      <alignment horizontal="center" vertical="center"/>
      <protection/>
    </xf>
    <xf numFmtId="0" fontId="43" fillId="0" borderId="84" xfId="63" applyFont="1" applyBorder="1" applyAlignment="1">
      <alignment horizontal="center" vertical="center"/>
      <protection/>
    </xf>
    <xf numFmtId="0" fontId="43" fillId="0" borderId="85" xfId="63" applyFont="1" applyBorder="1" applyAlignment="1">
      <alignment horizontal="center" vertical="center"/>
      <protection/>
    </xf>
    <xf numFmtId="0" fontId="43" fillId="0" borderId="80" xfId="63" applyFont="1" applyBorder="1" applyAlignment="1">
      <alignment horizontal="center" vertical="center"/>
      <protection/>
    </xf>
    <xf numFmtId="0" fontId="44" fillId="0" borderId="57" xfId="63" applyFont="1" applyBorder="1" applyAlignment="1">
      <alignment horizontal="center" vertical="center"/>
      <protection/>
    </xf>
    <xf numFmtId="0" fontId="44" fillId="0" borderId="57" xfId="63" applyFont="1" applyBorder="1" applyAlignment="1">
      <alignment vertical="center"/>
      <protection/>
    </xf>
    <xf numFmtId="3" fontId="44" fillId="0" borderId="73" xfId="84" applyNumberFormat="1" applyFont="1" applyBorder="1">
      <alignment/>
      <protection/>
    </xf>
    <xf numFmtId="3" fontId="44" fillId="0" borderId="86" xfId="84" applyNumberFormat="1" applyFont="1" applyBorder="1">
      <alignment/>
      <protection/>
    </xf>
    <xf numFmtId="3" fontId="44" fillId="0" borderId="87" xfId="84" applyNumberFormat="1" applyFont="1" applyFill="1" applyBorder="1">
      <alignment/>
      <protection/>
    </xf>
    <xf numFmtId="3" fontId="44" fillId="0" borderId="71" xfId="84" applyNumberFormat="1" applyFont="1" applyBorder="1">
      <alignment/>
      <protection/>
    </xf>
    <xf numFmtId="3" fontId="44" fillId="0" borderId="88" xfId="84" applyNumberFormat="1" applyFont="1" applyBorder="1">
      <alignment/>
      <protection/>
    </xf>
    <xf numFmtId="3" fontId="44" fillId="0" borderId="85" xfId="84" applyNumberFormat="1" applyFont="1" applyFill="1" applyBorder="1">
      <alignment/>
      <protection/>
    </xf>
    <xf numFmtId="3" fontId="44" fillId="0" borderId="71" xfId="84" applyNumberFormat="1" applyFont="1" applyFill="1" applyBorder="1">
      <alignment/>
      <protection/>
    </xf>
    <xf numFmtId="3" fontId="44" fillId="0" borderId="88" xfId="84" applyNumberFormat="1" applyFont="1" applyFill="1" applyBorder="1">
      <alignment/>
      <protection/>
    </xf>
    <xf numFmtId="3" fontId="44" fillId="0" borderId="71" xfId="63" applyNumberFormat="1" applyFont="1" applyBorder="1" applyAlignment="1">
      <alignment vertical="center"/>
      <protection/>
    </xf>
    <xf numFmtId="3" fontId="44" fillId="0" borderId="88" xfId="63" applyNumberFormat="1" applyFont="1" applyBorder="1" applyAlignment="1">
      <alignment vertical="center"/>
      <protection/>
    </xf>
    <xf numFmtId="3" fontId="44" fillId="0" borderId="85" xfId="63" applyNumberFormat="1" applyFont="1" applyBorder="1" applyAlignment="1">
      <alignment vertical="center"/>
      <protection/>
    </xf>
    <xf numFmtId="3" fontId="53" fillId="0" borderId="0" xfId="63" applyNumberFormat="1" applyFont="1" applyAlignment="1">
      <alignment vertical="center"/>
      <protection/>
    </xf>
    <xf numFmtId="0" fontId="53" fillId="0" borderId="0" xfId="63" applyFont="1" applyAlignment="1">
      <alignment vertical="center"/>
      <protection/>
    </xf>
    <xf numFmtId="3" fontId="44" fillId="0" borderId="85" xfId="84" applyNumberFormat="1" applyFont="1" applyBorder="1">
      <alignment/>
      <protection/>
    </xf>
    <xf numFmtId="0" fontId="44" fillId="0" borderId="81" xfId="63" applyFont="1" applyBorder="1" applyAlignment="1">
      <alignment horizontal="center" vertical="center"/>
      <protection/>
    </xf>
    <xf numFmtId="0" fontId="44" fillId="0" borderId="81" xfId="63" applyFont="1" applyBorder="1" applyAlignment="1">
      <alignment vertical="center"/>
      <protection/>
    </xf>
    <xf numFmtId="3" fontId="35" fillId="0" borderId="0" xfId="63" applyNumberFormat="1" applyFont="1" applyAlignment="1">
      <alignment vertical="center"/>
      <protection/>
    </xf>
    <xf numFmtId="0" fontId="44" fillId="0" borderId="80" xfId="63" applyFont="1" applyBorder="1" applyAlignment="1">
      <alignment horizontal="center" vertical="center"/>
      <protection/>
    </xf>
    <xf numFmtId="0" fontId="44" fillId="0" borderId="80" xfId="63" applyFont="1" applyBorder="1" applyAlignment="1">
      <alignment vertical="center"/>
      <protection/>
    </xf>
    <xf numFmtId="165" fontId="53" fillId="0" borderId="0" xfId="44" applyNumberFormat="1" applyFont="1" applyAlignment="1">
      <alignment vertical="center"/>
    </xf>
    <xf numFmtId="3" fontId="44" fillId="0" borderId="71" xfId="63" applyNumberFormat="1" applyFont="1" applyBorder="1" applyAlignment="1">
      <alignment horizontal="right" vertical="center"/>
      <protection/>
    </xf>
    <xf numFmtId="3" fontId="44" fillId="0" borderId="88" xfId="63" applyNumberFormat="1" applyFont="1" applyBorder="1" applyAlignment="1">
      <alignment horizontal="right" vertical="center"/>
      <protection/>
    </xf>
    <xf numFmtId="3" fontId="44" fillId="0" borderId="85" xfId="63" applyNumberFormat="1" applyFont="1" applyBorder="1" applyAlignment="1">
      <alignment horizontal="right" vertical="center"/>
      <protection/>
    </xf>
    <xf numFmtId="3" fontId="44" fillId="0" borderId="89" xfId="63" applyNumberFormat="1" applyFont="1" applyBorder="1" applyAlignment="1">
      <alignment vertical="center"/>
      <protection/>
    </xf>
    <xf numFmtId="0" fontId="43" fillId="0" borderId="57" xfId="63" applyFont="1" applyFill="1" applyBorder="1" applyAlignment="1">
      <alignment horizontal="center" vertical="center"/>
      <protection/>
    </xf>
    <xf numFmtId="0" fontId="43" fillId="0" borderId="57" xfId="63" applyFont="1" applyFill="1" applyBorder="1" applyAlignment="1">
      <alignment vertical="center"/>
      <protection/>
    </xf>
    <xf numFmtId="3" fontId="43" fillId="0" borderId="71" xfId="63" applyNumberFormat="1" applyFont="1" applyFill="1" applyBorder="1" applyAlignment="1">
      <alignment vertical="center"/>
      <protection/>
    </xf>
    <xf numFmtId="3" fontId="43" fillId="0" borderId="88" xfId="63" applyNumberFormat="1" applyFont="1" applyFill="1" applyBorder="1" applyAlignment="1">
      <alignment vertical="center"/>
      <protection/>
    </xf>
    <xf numFmtId="3" fontId="43" fillId="0" borderId="85" xfId="63" applyNumberFormat="1" applyFont="1" applyFill="1" applyBorder="1" applyAlignment="1">
      <alignment vertical="center"/>
      <protection/>
    </xf>
    <xf numFmtId="0" fontId="43" fillId="0" borderId="59" xfId="63" applyFont="1" applyFill="1" applyBorder="1" applyAlignment="1">
      <alignment horizontal="center" vertical="center"/>
      <protection/>
    </xf>
    <xf numFmtId="0" fontId="43" fillId="0" borderId="59" xfId="63" applyFont="1" applyFill="1" applyBorder="1" applyAlignment="1">
      <alignment vertical="center"/>
      <protection/>
    </xf>
    <xf numFmtId="3" fontId="43" fillId="0" borderId="90" xfId="63" applyNumberFormat="1" applyFont="1" applyFill="1" applyBorder="1" applyAlignment="1">
      <alignment vertical="center"/>
      <protection/>
    </xf>
    <xf numFmtId="3" fontId="43" fillId="0" borderId="91" xfId="63" applyNumberFormat="1" applyFont="1" applyFill="1" applyBorder="1" applyAlignment="1">
      <alignment vertical="center"/>
      <protection/>
    </xf>
    <xf numFmtId="0" fontId="43" fillId="0" borderId="80" xfId="63" applyFont="1" applyFill="1" applyBorder="1" applyAlignment="1">
      <alignment horizontal="center" vertical="center"/>
      <protection/>
    </xf>
    <xf numFmtId="0" fontId="43" fillId="0" borderId="80" xfId="63" applyFont="1" applyFill="1" applyBorder="1" applyAlignment="1">
      <alignment vertical="center" wrapText="1"/>
      <protection/>
    </xf>
    <xf numFmtId="3" fontId="43" fillId="0" borderId="73" xfId="63" applyNumberFormat="1" applyFont="1" applyFill="1" applyBorder="1" applyAlignment="1">
      <alignment vertical="center"/>
      <protection/>
    </xf>
    <xf numFmtId="3" fontId="43" fillId="0" borderId="87" xfId="63" applyNumberFormat="1" applyFont="1" applyFill="1" applyBorder="1" applyAlignment="1">
      <alignment vertical="center"/>
      <protection/>
    </xf>
    <xf numFmtId="0" fontId="43" fillId="0" borderId="63" xfId="63" applyFont="1" applyFill="1" applyBorder="1" applyAlignment="1">
      <alignment horizontal="center" vertical="center"/>
      <protection/>
    </xf>
    <xf numFmtId="0" fontId="43" fillId="0" borderId="63" xfId="63" applyFont="1" applyFill="1" applyBorder="1" applyAlignment="1">
      <alignment vertical="center"/>
      <protection/>
    </xf>
    <xf numFmtId="3" fontId="43" fillId="0" borderId="72" xfId="63" applyNumberFormat="1" applyFont="1" applyFill="1" applyBorder="1" applyAlignment="1">
      <alignment horizontal="right" vertical="center"/>
      <protection/>
    </xf>
    <xf numFmtId="3" fontId="43" fillId="0" borderId="92" xfId="63" applyNumberFormat="1" applyFont="1" applyFill="1" applyBorder="1" applyAlignment="1">
      <alignment horizontal="right" vertical="center"/>
      <protection/>
    </xf>
    <xf numFmtId="3" fontId="43" fillId="0" borderId="92" xfId="63" applyNumberFormat="1" applyFont="1" applyFill="1" applyBorder="1" applyAlignment="1">
      <alignment vertical="center"/>
      <protection/>
    </xf>
    <xf numFmtId="0" fontId="43" fillId="0" borderId="73" xfId="63" applyFont="1" applyBorder="1" applyAlignment="1">
      <alignment horizontal="center" vertical="center"/>
      <protection/>
    </xf>
    <xf numFmtId="0" fontId="43" fillId="0" borderId="86" xfId="63" applyFont="1" applyBorder="1" applyAlignment="1">
      <alignment horizontal="center" vertical="center"/>
      <protection/>
    </xf>
    <xf numFmtId="0" fontId="36" fillId="0" borderId="0" xfId="63" applyFont="1">
      <alignment/>
      <protection/>
    </xf>
    <xf numFmtId="0" fontId="38" fillId="0" borderId="0" xfId="63" applyFont="1" applyAlignment="1">
      <alignment horizontal="right"/>
      <protection/>
    </xf>
    <xf numFmtId="0" fontId="43" fillId="0" borderId="14" xfId="94" applyFont="1" applyBorder="1" applyAlignment="1">
      <alignment horizontal="center" vertical="center" wrapText="1"/>
      <protection/>
    </xf>
    <xf numFmtId="0" fontId="44" fillId="0" borderId="73" xfId="94" applyFont="1" applyFill="1" applyBorder="1" applyAlignment="1">
      <alignment horizontal="center"/>
      <protection/>
    </xf>
    <xf numFmtId="0" fontId="44" fillId="0" borderId="12" xfId="94" applyFont="1" applyBorder="1" applyAlignment="1">
      <alignment horizontal="left" indent="1"/>
      <protection/>
    </xf>
    <xf numFmtId="3" fontId="44" fillId="0" borderId="12" xfId="44" applyNumberFormat="1" applyFont="1" applyBorder="1" applyAlignment="1" applyProtection="1" quotePrefix="1">
      <alignment horizontal="right" vertical="center"/>
      <protection locked="0"/>
    </xf>
    <xf numFmtId="3" fontId="44" fillId="0" borderId="23" xfId="44" applyNumberFormat="1" applyFont="1" applyBorder="1" applyAlignment="1" applyProtection="1" quotePrefix="1">
      <alignment horizontal="right" vertical="center"/>
      <protection locked="0"/>
    </xf>
    <xf numFmtId="3" fontId="44" fillId="0" borderId="32" xfId="44" applyNumberFormat="1" applyFont="1" applyBorder="1" applyAlignment="1" applyProtection="1" quotePrefix="1">
      <alignment horizontal="right" vertical="center"/>
      <protection locked="0"/>
    </xf>
    <xf numFmtId="0" fontId="44" fillId="0" borderId="71" xfId="94" applyFont="1" applyFill="1" applyBorder="1" applyAlignment="1">
      <alignment horizontal="center"/>
      <protection/>
    </xf>
    <xf numFmtId="0" fontId="44" fillId="0" borderId="13" xfId="94" applyFont="1" applyBorder="1" applyAlignment="1">
      <alignment horizontal="left" indent="1"/>
      <protection/>
    </xf>
    <xf numFmtId="3" fontId="44" fillId="0" borderId="13" xfId="44" applyNumberFormat="1" applyFont="1" applyBorder="1" applyAlignment="1" applyProtection="1">
      <alignment vertical="center"/>
      <protection locked="0"/>
    </xf>
    <xf numFmtId="3" fontId="44" fillId="0" borderId="26" xfId="44" applyNumberFormat="1" applyFont="1" applyBorder="1" applyAlignment="1" applyProtection="1">
      <alignment vertical="center"/>
      <protection locked="0"/>
    </xf>
    <xf numFmtId="3" fontId="44" fillId="0" borderId="31" xfId="44" applyNumberFormat="1" applyFont="1" applyBorder="1" applyAlignment="1" applyProtection="1" quotePrefix="1">
      <alignment horizontal="right" vertical="center"/>
      <protection locked="0"/>
    </xf>
    <xf numFmtId="0" fontId="44" fillId="0" borderId="71" xfId="94" applyFont="1" applyFill="1" applyBorder="1" applyAlignment="1">
      <alignment horizontal="center" vertical="center"/>
      <protection/>
    </xf>
    <xf numFmtId="3" fontId="44" fillId="0" borderId="13" xfId="94" applyNumberFormat="1" applyFont="1" applyBorder="1" applyAlignment="1" applyProtection="1">
      <alignment vertical="center"/>
      <protection locked="0"/>
    </xf>
    <xf numFmtId="3" fontId="44" fillId="0" borderId="26" xfId="94" applyNumberFormat="1" applyFont="1" applyBorder="1" applyAlignment="1" applyProtection="1">
      <alignment vertical="center"/>
      <protection locked="0"/>
    </xf>
    <xf numFmtId="0" fontId="44" fillId="0" borderId="93" xfId="94" applyFont="1" applyFill="1" applyBorder="1" applyAlignment="1">
      <alignment horizontal="center" vertical="center"/>
      <protection/>
    </xf>
    <xf numFmtId="0" fontId="44" fillId="0" borderId="10" xfId="94" applyFont="1" applyBorder="1" applyAlignment="1">
      <alignment horizontal="left" vertical="center" wrapText="1" indent="1"/>
      <protection/>
    </xf>
    <xf numFmtId="3" fontId="44" fillId="0" borderId="10" xfId="94" applyNumberFormat="1" applyFont="1" applyBorder="1" applyAlignment="1" applyProtection="1">
      <alignment horizontal="right" vertical="center"/>
      <protection locked="0"/>
    </xf>
    <xf numFmtId="3" fontId="44" fillId="0" borderId="15" xfId="94" applyNumberFormat="1" applyFont="1" applyBorder="1" applyAlignment="1" applyProtection="1">
      <alignment horizontal="right" vertical="center"/>
      <protection locked="0"/>
    </xf>
    <xf numFmtId="3" fontId="44" fillId="0" borderId="35" xfId="44" applyNumberFormat="1" applyFont="1" applyBorder="1" applyAlignment="1" applyProtection="1" quotePrefix="1">
      <alignment horizontal="right" vertical="center"/>
      <protection locked="0"/>
    </xf>
    <xf numFmtId="0" fontId="44" fillId="0" borderId="0" xfId="94" applyFont="1" applyBorder="1" applyAlignment="1">
      <alignment vertical="center" wrapText="1"/>
      <protection/>
    </xf>
    <xf numFmtId="0" fontId="44" fillId="0" borderId="0" xfId="94" applyFont="1" applyBorder="1" applyAlignment="1">
      <alignment horizontal="left" vertical="center" wrapText="1"/>
      <protection/>
    </xf>
    <xf numFmtId="0" fontId="44" fillId="0" borderId="73" xfId="94" applyFont="1" applyFill="1" applyBorder="1" applyAlignment="1">
      <alignment horizontal="center" vertical="center"/>
      <protection/>
    </xf>
    <xf numFmtId="3" fontId="44" fillId="0" borderId="12" xfId="94" applyNumberFormat="1" applyFont="1" applyBorder="1" applyAlignment="1" applyProtection="1">
      <alignment vertical="center"/>
      <protection locked="0"/>
    </xf>
    <xf numFmtId="3" fontId="44" fillId="0" borderId="23" xfId="94" applyNumberFormat="1" applyFont="1" applyBorder="1" applyAlignment="1" applyProtection="1">
      <alignment vertical="center"/>
      <protection locked="0"/>
    </xf>
    <xf numFmtId="0" fontId="44" fillId="0" borderId="93" xfId="94" applyFont="1" applyFill="1" applyBorder="1" applyAlignment="1">
      <alignment horizontal="center"/>
      <protection/>
    </xf>
    <xf numFmtId="0" fontId="44" fillId="0" borderId="10" xfId="94" applyFont="1" applyBorder="1" applyAlignment="1">
      <alignment horizontal="left" indent="1"/>
      <protection/>
    </xf>
    <xf numFmtId="3" fontId="44" fillId="0" borderId="10" xfId="94" applyNumberFormat="1" applyFont="1" applyBorder="1" applyAlignment="1" applyProtection="1">
      <alignment vertical="center"/>
      <protection locked="0"/>
    </xf>
    <xf numFmtId="3" fontId="44" fillId="0" borderId="15" xfId="94" applyNumberFormat="1" applyFont="1" applyBorder="1" applyAlignment="1" applyProtection="1">
      <alignment vertical="center"/>
      <protection locked="0"/>
    </xf>
    <xf numFmtId="167" fontId="43" fillId="0" borderId="11" xfId="94" applyNumberFormat="1" applyFont="1" applyBorder="1" applyAlignment="1">
      <alignment horizontal="center" vertical="center" wrapText="1"/>
      <protection/>
    </xf>
    <xf numFmtId="167" fontId="43" fillId="0" borderId="20" xfId="94" applyNumberFormat="1" applyFont="1" applyBorder="1" applyAlignment="1">
      <alignment horizontal="center" vertical="center" wrapText="1"/>
      <protection/>
    </xf>
    <xf numFmtId="167" fontId="43" fillId="0" borderId="33" xfId="94" applyNumberFormat="1" applyFont="1" applyBorder="1" applyAlignment="1">
      <alignment horizontal="center" vertical="center" wrapText="1"/>
      <protection/>
    </xf>
    <xf numFmtId="0" fontId="36" fillId="3" borderId="0" xfId="63" applyFont="1" applyFill="1">
      <alignment/>
      <protection/>
    </xf>
    <xf numFmtId="0" fontId="44" fillId="0" borderId="73" xfId="94" applyFont="1" applyBorder="1" applyAlignment="1">
      <alignment horizontal="center"/>
      <protection/>
    </xf>
    <xf numFmtId="3" fontId="44" fillId="0" borderId="32" xfId="94" applyNumberFormat="1" applyFont="1" applyBorder="1" applyAlignment="1" applyProtection="1">
      <alignment vertical="center"/>
      <protection locked="0"/>
    </xf>
    <xf numFmtId="0" fontId="44" fillId="0" borderId="71" xfId="94" applyFont="1" applyBorder="1" applyAlignment="1">
      <alignment horizontal="center"/>
      <protection/>
    </xf>
    <xf numFmtId="3" fontId="44" fillId="0" borderId="31" xfId="94" applyNumberFormat="1" applyFont="1" applyBorder="1" applyAlignment="1" applyProtection="1">
      <alignment vertical="center"/>
      <protection locked="0"/>
    </xf>
    <xf numFmtId="0" fontId="36" fillId="7" borderId="0" xfId="63" applyFont="1" applyFill="1">
      <alignment/>
      <protection/>
    </xf>
    <xf numFmtId="0" fontId="44" fillId="0" borderId="93" xfId="94" applyFont="1" applyBorder="1" applyAlignment="1">
      <alignment horizontal="center"/>
      <protection/>
    </xf>
    <xf numFmtId="3" fontId="44" fillId="0" borderId="35" xfId="94" applyNumberFormat="1" applyFont="1" applyBorder="1" applyAlignment="1" applyProtection="1">
      <alignment vertical="center"/>
      <protection locked="0"/>
    </xf>
    <xf numFmtId="165" fontId="36" fillId="0" borderId="0" xfId="44" applyNumberFormat="1" applyFont="1" applyAlignment="1">
      <alignment/>
    </xf>
    <xf numFmtId="0" fontId="43" fillId="0" borderId="90" xfId="94" applyFont="1" applyFill="1" applyBorder="1" applyAlignment="1">
      <alignment horizontal="center"/>
      <protection/>
    </xf>
    <xf numFmtId="0" fontId="43" fillId="0" borderId="14" xfId="94" applyFont="1" applyFill="1" applyBorder="1" applyAlignment="1">
      <alignment horizontal="left" vertical="center" indent="1"/>
      <protection/>
    </xf>
    <xf numFmtId="3" fontId="43" fillId="0" borderId="14" xfId="94" applyNumberFormat="1" applyFont="1" applyFill="1" applyBorder="1" applyAlignment="1">
      <alignment vertical="center"/>
      <protection/>
    </xf>
    <xf numFmtId="3" fontId="43" fillId="0" borderId="21" xfId="94" applyNumberFormat="1" applyFont="1" applyFill="1" applyBorder="1" applyAlignment="1">
      <alignment vertical="center"/>
      <protection/>
    </xf>
    <xf numFmtId="3" fontId="43" fillId="0" borderId="59" xfId="94" applyNumberFormat="1" applyFont="1" applyFill="1" applyBorder="1" applyAlignment="1">
      <alignment vertical="center"/>
      <protection/>
    </xf>
    <xf numFmtId="3" fontId="43" fillId="0" borderId="29" xfId="94" applyNumberFormat="1" applyFont="1" applyFill="1" applyBorder="1" applyAlignment="1">
      <alignment vertical="center"/>
      <protection/>
    </xf>
    <xf numFmtId="3" fontId="44" fillId="0" borderId="80" xfId="94" applyNumberFormat="1" applyFont="1" applyFill="1" applyBorder="1" applyAlignment="1">
      <alignment vertical="center"/>
      <protection/>
    </xf>
    <xf numFmtId="3" fontId="44" fillId="0" borderId="57" xfId="94" applyNumberFormat="1" applyFont="1" applyFill="1" applyBorder="1" applyAlignment="1">
      <alignment vertical="center"/>
      <protection/>
    </xf>
    <xf numFmtId="3" fontId="44" fillId="0" borderId="81" xfId="94" applyNumberFormat="1" applyFont="1" applyFill="1" applyBorder="1" applyAlignment="1">
      <alignment horizontal="right" vertical="center"/>
      <protection/>
    </xf>
    <xf numFmtId="3" fontId="44" fillId="0" borderId="81" xfId="94" applyNumberFormat="1" applyFont="1" applyFill="1" applyBorder="1" applyAlignment="1">
      <alignment vertical="center"/>
      <protection/>
    </xf>
    <xf numFmtId="167" fontId="43" fillId="0" borderId="74" xfId="94" applyNumberFormat="1" applyFont="1" applyFill="1" applyBorder="1" applyAlignment="1">
      <alignment horizontal="center" vertical="center" wrapText="1"/>
      <protection/>
    </xf>
    <xf numFmtId="3" fontId="44" fillId="0" borderId="80" xfId="44" applyNumberFormat="1" applyFont="1" applyFill="1" applyBorder="1" applyAlignment="1" applyProtection="1" quotePrefix="1">
      <alignment horizontal="right" vertical="center"/>
      <protection locked="0"/>
    </xf>
    <xf numFmtId="3" fontId="44" fillId="0" borderId="57" xfId="44" applyNumberFormat="1" applyFont="1" applyFill="1" applyBorder="1" applyAlignment="1" applyProtection="1" quotePrefix="1">
      <alignment horizontal="right" vertical="center"/>
      <protection locked="0"/>
    </xf>
    <xf numFmtId="3" fontId="44" fillId="0" borderId="81" xfId="44" applyNumberFormat="1" applyFont="1" applyFill="1" applyBorder="1" applyAlignment="1" applyProtection="1" quotePrefix="1">
      <alignment horizontal="right" vertical="center"/>
      <protection locked="0"/>
    </xf>
    <xf numFmtId="3" fontId="44" fillId="0" borderId="80" xfId="94" applyNumberFormat="1" applyFont="1" applyFill="1" applyBorder="1" applyAlignment="1" applyProtection="1">
      <alignment vertical="center"/>
      <protection locked="0"/>
    </xf>
    <xf numFmtId="3" fontId="44" fillId="0" borderId="57" xfId="94" applyNumberFormat="1" applyFont="1" applyFill="1" applyBorder="1" applyAlignment="1" applyProtection="1">
      <alignment vertical="center"/>
      <protection locked="0"/>
    </xf>
    <xf numFmtId="3" fontId="44" fillId="0" borderId="81" xfId="94" applyNumberFormat="1" applyFont="1" applyFill="1" applyBorder="1" applyAlignment="1" applyProtection="1">
      <alignment vertical="center"/>
      <protection locked="0"/>
    </xf>
    <xf numFmtId="3" fontId="43" fillId="0" borderId="94" xfId="94" applyNumberFormat="1" applyFont="1" applyFill="1" applyBorder="1" applyAlignment="1">
      <alignment vertical="center"/>
      <protection/>
    </xf>
    <xf numFmtId="0" fontId="43" fillId="0" borderId="90" xfId="94" applyFont="1" applyFill="1" applyBorder="1" applyAlignment="1">
      <alignment horizontal="center" vertical="center"/>
      <protection/>
    </xf>
    <xf numFmtId="3" fontId="43" fillId="0" borderId="14" xfId="94" applyNumberFormat="1" applyFont="1" applyFill="1" applyBorder="1" applyAlignment="1">
      <alignment horizontal="right" vertical="center"/>
      <protection/>
    </xf>
    <xf numFmtId="3" fontId="43" fillId="0" borderId="29" xfId="94" applyNumberFormat="1" applyFont="1" applyFill="1" applyBorder="1" applyAlignment="1">
      <alignment horizontal="right" vertical="center"/>
      <protection/>
    </xf>
    <xf numFmtId="0" fontId="44" fillId="0" borderId="90" xfId="94" applyFont="1" applyFill="1" applyBorder="1" applyAlignment="1">
      <alignment horizontal="center"/>
      <protection/>
    </xf>
    <xf numFmtId="0" fontId="43" fillId="0" borderId="14" xfId="94" applyFont="1" applyFill="1" applyBorder="1" applyAlignment="1" quotePrefix="1">
      <alignment horizontal="left" vertical="center" indent="1"/>
      <protection/>
    </xf>
    <xf numFmtId="3" fontId="43" fillId="0" borderId="14" xfId="94" applyNumberFormat="1" applyFont="1" applyFill="1" applyBorder="1" applyAlignment="1" applyProtection="1">
      <alignment vertical="center"/>
      <protection locked="0"/>
    </xf>
    <xf numFmtId="3" fontId="43" fillId="0" borderId="21" xfId="94" applyNumberFormat="1" applyFont="1" applyFill="1" applyBorder="1" applyAlignment="1" applyProtection="1">
      <alignment vertical="center"/>
      <protection locked="0"/>
    </xf>
    <xf numFmtId="3" fontId="43" fillId="0" borderId="29" xfId="94" applyNumberFormat="1" applyFont="1" applyFill="1" applyBorder="1" applyAlignment="1" applyProtection="1">
      <alignment vertical="center"/>
      <protection locked="0"/>
    </xf>
    <xf numFmtId="0" fontId="44" fillId="0" borderId="12" xfId="94" applyFont="1" applyFill="1" applyBorder="1" applyAlignment="1">
      <alignment horizontal="left" indent="1"/>
      <protection/>
    </xf>
    <xf numFmtId="3" fontId="44" fillId="0" borderId="12" xfId="94" applyNumberFormat="1" applyFont="1" applyFill="1" applyBorder="1" applyAlignment="1" applyProtection="1">
      <alignment vertical="center"/>
      <protection locked="0"/>
    </xf>
    <xf numFmtId="3" fontId="44" fillId="0" borderId="23" xfId="94" applyNumberFormat="1" applyFont="1" applyFill="1" applyBorder="1" applyAlignment="1" applyProtection="1">
      <alignment vertical="center"/>
      <protection locked="0"/>
    </xf>
    <xf numFmtId="3" fontId="44" fillId="0" borderId="32" xfId="94" applyNumberFormat="1" applyFont="1" applyFill="1" applyBorder="1" applyAlignment="1" applyProtection="1">
      <alignment vertical="center"/>
      <protection locked="0"/>
    </xf>
    <xf numFmtId="0" fontId="44" fillId="0" borderId="10" xfId="94" applyFont="1" applyFill="1" applyBorder="1" applyAlignment="1">
      <alignment horizontal="left" indent="1"/>
      <protection/>
    </xf>
    <xf numFmtId="3" fontId="44" fillId="0" borderId="10" xfId="94" applyNumberFormat="1" applyFont="1" applyFill="1" applyBorder="1" applyAlignment="1" applyProtection="1">
      <alignment vertical="center"/>
      <protection locked="0"/>
    </xf>
    <xf numFmtId="3" fontId="44" fillId="0" borderId="15" xfId="94" applyNumberFormat="1" applyFont="1" applyFill="1" applyBorder="1" applyAlignment="1" applyProtection="1">
      <alignment vertical="center"/>
      <protection locked="0"/>
    </xf>
    <xf numFmtId="3" fontId="44" fillId="0" borderId="35" xfId="94" applyNumberFormat="1" applyFont="1" applyFill="1" applyBorder="1" applyAlignment="1" applyProtection="1">
      <alignment vertical="center"/>
      <protection locked="0"/>
    </xf>
    <xf numFmtId="0" fontId="44" fillId="0" borderId="13" xfId="94" applyFont="1" applyFill="1" applyBorder="1" applyAlignment="1">
      <alignment horizontal="left" indent="1"/>
      <protection/>
    </xf>
    <xf numFmtId="3" fontId="44" fillId="0" borderId="13" xfId="94" applyNumberFormat="1" applyFont="1" applyFill="1" applyBorder="1" applyAlignment="1" applyProtection="1">
      <alignment vertical="center"/>
      <protection locked="0"/>
    </xf>
    <xf numFmtId="3" fontId="44" fillId="0" borderId="26" xfId="94" applyNumberFormat="1" applyFont="1" applyFill="1" applyBorder="1" applyAlignment="1" applyProtection="1">
      <alignment vertical="center"/>
      <protection locked="0"/>
    </xf>
    <xf numFmtId="3" fontId="44" fillId="0" borderId="31" xfId="94" applyNumberFormat="1" applyFont="1" applyFill="1" applyBorder="1" applyAlignment="1" applyProtection="1">
      <alignment vertical="center"/>
      <protection locked="0"/>
    </xf>
    <xf numFmtId="0" fontId="15" fillId="0" borderId="28" xfId="85" applyFont="1" applyBorder="1" applyAlignment="1">
      <alignment horizontal="right"/>
      <protection/>
    </xf>
    <xf numFmtId="0" fontId="68" fillId="0" borderId="61" xfId="64" applyFont="1" applyBorder="1" applyAlignment="1" applyProtection="1">
      <alignment horizontal="left" vertical="center" wrapText="1"/>
      <protection/>
    </xf>
    <xf numFmtId="0" fontId="12" fillId="0" borderId="28" xfId="83" applyBorder="1" applyAlignment="1">
      <alignment/>
      <protection/>
    </xf>
    <xf numFmtId="0" fontId="12" fillId="0" borderId="32" xfId="83" applyBorder="1" applyAlignment="1">
      <alignment/>
      <protection/>
    </xf>
    <xf numFmtId="0" fontId="15" fillId="0" borderId="15" xfId="83" applyFont="1" applyBorder="1" applyAlignment="1">
      <alignment horizontal="right" vertical="center"/>
      <protection/>
    </xf>
    <xf numFmtId="0" fontId="15" fillId="0" borderId="23" xfId="83" applyFont="1" applyBorder="1" applyAlignment="1">
      <alignment horizontal="right" vertical="center"/>
      <protection/>
    </xf>
    <xf numFmtId="0" fontId="12" fillId="0" borderId="15" xfId="83" applyBorder="1" applyAlignment="1">
      <alignment horizontal="right" vertical="center"/>
      <protection/>
    </xf>
    <xf numFmtId="0" fontId="12" fillId="0" borderId="34" xfId="83" applyBorder="1" applyAlignment="1">
      <alignment/>
      <protection/>
    </xf>
    <xf numFmtId="0" fontId="12" fillId="0" borderId="35" xfId="83" applyBorder="1" applyAlignment="1">
      <alignment/>
      <protection/>
    </xf>
    <xf numFmtId="0" fontId="12" fillId="0" borderId="23" xfId="83" applyBorder="1" applyAlignment="1">
      <alignment/>
      <protection/>
    </xf>
    <xf numFmtId="0" fontId="12" fillId="0" borderId="12" xfId="83" applyBorder="1" applyAlignment="1">
      <alignment/>
      <protection/>
    </xf>
    <xf numFmtId="0" fontId="12" fillId="0" borderId="15" xfId="83" applyFont="1" applyBorder="1" applyAlignment="1">
      <alignment/>
      <protection/>
    </xf>
    <xf numFmtId="0" fontId="15" fillId="0" borderId="10" xfId="83" applyFont="1" applyBorder="1" applyAlignment="1">
      <alignment horizontal="right" vertical="center"/>
      <protection/>
    </xf>
    <xf numFmtId="0" fontId="15" fillId="0" borderId="12" xfId="83" applyFont="1" applyBorder="1" applyAlignment="1">
      <alignment horizontal="right" vertical="center"/>
      <protection/>
    </xf>
    <xf numFmtId="0" fontId="12" fillId="0" borderId="11" xfId="83" applyFont="1" applyBorder="1" applyAlignment="1">
      <alignment/>
      <protection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10" xfId="83" applyBorder="1" applyAlignment="1">
      <alignment horizontal="right" vertical="center"/>
      <protection/>
    </xf>
    <xf numFmtId="0" fontId="12" fillId="0" borderId="12" xfId="83" applyBorder="1" applyAlignment="1">
      <alignment horizontal="right" vertical="center"/>
      <protection/>
    </xf>
    <xf numFmtId="0" fontId="12" fillId="0" borderId="95" xfId="83" applyBorder="1" applyAlignment="1">
      <alignment horizontal="right" vertical="center"/>
      <protection/>
    </xf>
    <xf numFmtId="0" fontId="12" fillId="0" borderId="96" xfId="83" applyBorder="1" applyAlignment="1">
      <alignment horizontal="right" vertical="center"/>
      <protection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0" xfId="80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49" fontId="1" fillId="0" borderId="10" xfId="81" applyNumberFormat="1" applyFont="1" applyBorder="1" applyAlignment="1">
      <alignment horizontal="center" vertical="center" wrapText="1"/>
      <protection/>
    </xf>
    <xf numFmtId="0" fontId="0" fillId="0" borderId="40" xfId="8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5" fillId="0" borderId="0" xfId="80" applyFont="1" applyAlignment="1">
      <alignment horizontal="center" vertical="center"/>
      <protection/>
    </xf>
    <xf numFmtId="0" fontId="15" fillId="0" borderId="0" xfId="8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81" applyFont="1" applyBorder="1" applyAlignment="1">
      <alignment horizontal="center"/>
      <protection/>
    </xf>
    <xf numFmtId="0" fontId="0" fillId="0" borderId="0" xfId="81" applyAlignment="1">
      <alignment/>
      <protection/>
    </xf>
    <xf numFmtId="0" fontId="0" fillId="0" borderId="0" xfId="0" applyAlignment="1">
      <alignment/>
    </xf>
    <xf numFmtId="0" fontId="0" fillId="0" borderId="12" xfId="81" applyBorder="1" applyAlignment="1">
      <alignment horizontal="center" vertical="center" wrapText="1"/>
      <protection/>
    </xf>
    <xf numFmtId="0" fontId="1" fillId="0" borderId="10" xfId="81" applyFont="1" applyBorder="1" applyAlignment="1">
      <alignment horizontal="center" vertical="center"/>
      <protection/>
    </xf>
    <xf numFmtId="0" fontId="0" fillId="0" borderId="12" xfId="81" applyBorder="1" applyAlignment="1">
      <alignment horizontal="center" vertical="center"/>
      <protection/>
    </xf>
    <xf numFmtId="3" fontId="1" fillId="0" borderId="10" xfId="8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8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90" applyFont="1" applyAlignment="1">
      <alignment horizontal="center"/>
      <protection/>
    </xf>
    <xf numFmtId="0" fontId="16" fillId="0" borderId="0" xfId="90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2" fillId="0" borderId="23" xfId="83" applyBorder="1" applyAlignment="1">
      <alignment horizontal="right" vertical="center"/>
      <protection/>
    </xf>
    <xf numFmtId="0" fontId="12" fillId="0" borderId="11" xfId="83" applyFont="1" applyBorder="1" applyAlignment="1">
      <alignment vertical="center" wrapText="1"/>
      <protection/>
    </xf>
    <xf numFmtId="0" fontId="12" fillId="0" borderId="11" xfId="83" applyBorder="1" applyAlignment="1">
      <alignment vertical="center" wrapText="1"/>
      <protection/>
    </xf>
    <xf numFmtId="0" fontId="12" fillId="0" borderId="12" xfId="83" applyBorder="1" applyAlignment="1">
      <alignment vertical="center" wrapText="1"/>
      <protection/>
    </xf>
    <xf numFmtId="0" fontId="15" fillId="0" borderId="10" xfId="83" applyFont="1" applyBorder="1" applyAlignment="1">
      <alignment vertical="center" wrapText="1"/>
      <protection/>
    </xf>
    <xf numFmtId="0" fontId="12" fillId="0" borderId="11" xfId="83" applyBorder="1" applyAlignment="1">
      <alignment wrapText="1"/>
      <protection/>
    </xf>
    <xf numFmtId="0" fontId="12" fillId="0" borderId="12" xfId="83" applyBorder="1" applyAlignment="1">
      <alignment wrapText="1"/>
      <protection/>
    </xf>
    <xf numFmtId="0" fontId="12" fillId="0" borderId="10" xfId="83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12" fillId="0" borderId="0" xfId="83" applyFont="1" applyBorder="1" applyAlignment="1">
      <alignment vertical="center" wrapText="1"/>
      <protection/>
    </xf>
    <xf numFmtId="0" fontId="12" fillId="0" borderId="28" xfId="83" applyBorder="1" applyAlignment="1">
      <alignment vertical="center" wrapText="1"/>
      <protection/>
    </xf>
    <xf numFmtId="0" fontId="15" fillId="0" borderId="95" xfId="83" applyFont="1" applyBorder="1" applyAlignment="1">
      <alignment horizontal="right" vertical="center"/>
      <protection/>
    </xf>
    <xf numFmtId="0" fontId="15" fillId="0" borderId="96" xfId="83" applyFont="1" applyBorder="1" applyAlignment="1">
      <alignment horizontal="right" vertical="center"/>
      <protection/>
    </xf>
    <xf numFmtId="0" fontId="15" fillId="0" borderId="15" xfId="83" applyFont="1" applyBorder="1" applyAlignment="1">
      <alignment/>
      <protection/>
    </xf>
    <xf numFmtId="0" fontId="15" fillId="0" borderId="34" xfId="83" applyFont="1" applyBorder="1" applyAlignment="1">
      <alignment/>
      <protection/>
    </xf>
    <xf numFmtId="0" fontId="15" fillId="0" borderId="35" xfId="83" applyFont="1" applyBorder="1" applyAlignment="1">
      <alignment/>
      <protection/>
    </xf>
    <xf numFmtId="0" fontId="15" fillId="0" borderId="23" xfId="83" applyFont="1" applyBorder="1" applyAlignment="1">
      <alignment/>
      <protection/>
    </xf>
    <xf numFmtId="0" fontId="15" fillId="0" borderId="28" xfId="83" applyFont="1" applyBorder="1" applyAlignment="1">
      <alignment/>
      <protection/>
    </xf>
    <xf numFmtId="0" fontId="15" fillId="0" borderId="32" xfId="83" applyFont="1" applyBorder="1" applyAlignment="1">
      <alignment/>
      <protection/>
    </xf>
    <xf numFmtId="0" fontId="12" fillId="0" borderId="15" xfId="83" applyFont="1" applyBorder="1" applyAlignment="1">
      <alignment wrapText="1"/>
      <protection/>
    </xf>
    <xf numFmtId="0" fontId="12" fillId="0" borderId="34" xfId="83" applyBorder="1" applyAlignment="1">
      <alignment wrapText="1"/>
      <protection/>
    </xf>
    <xf numFmtId="0" fontId="12" fillId="0" borderId="35" xfId="83" applyBorder="1" applyAlignment="1">
      <alignment wrapText="1"/>
      <protection/>
    </xf>
    <xf numFmtId="0" fontId="12" fillId="0" borderId="23" xfId="83" applyBorder="1" applyAlignment="1">
      <alignment wrapText="1"/>
      <protection/>
    </xf>
    <xf numFmtId="0" fontId="12" fillId="0" borderId="28" xfId="83" applyBorder="1" applyAlignment="1">
      <alignment wrapText="1"/>
      <protection/>
    </xf>
    <xf numFmtId="0" fontId="12" fillId="0" borderId="32" xfId="83" applyBorder="1" applyAlignment="1">
      <alignment wrapText="1"/>
      <protection/>
    </xf>
    <xf numFmtId="0" fontId="15" fillId="0" borderId="0" xfId="83" applyFont="1" applyAlignment="1">
      <alignment horizontal="center"/>
      <protection/>
    </xf>
    <xf numFmtId="0" fontId="12" fillId="0" borderId="95" xfId="83" applyFont="1" applyBorder="1" applyAlignment="1">
      <alignment vertical="center" wrapText="1"/>
      <protection/>
    </xf>
    <xf numFmtId="0" fontId="12" fillId="0" borderId="96" xfId="83" applyBorder="1" applyAlignment="1">
      <alignment vertical="center" wrapText="1"/>
      <protection/>
    </xf>
    <xf numFmtId="0" fontId="0" fillId="0" borderId="96" xfId="0" applyBorder="1" applyAlignment="1">
      <alignment vertical="center" wrapText="1"/>
    </xf>
    <xf numFmtId="0" fontId="15" fillId="0" borderId="97" xfId="83" applyFont="1" applyBorder="1" applyAlignment="1">
      <alignment horizontal="center"/>
      <protection/>
    </xf>
    <xf numFmtId="0" fontId="15" fillId="0" borderId="50" xfId="83" applyFont="1" applyBorder="1" applyAlignment="1">
      <alignment horizontal="center"/>
      <protection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75" applyFont="1" applyAlignment="1">
      <alignment horizontal="center"/>
      <protection/>
    </xf>
    <xf numFmtId="0" fontId="12" fillId="0" borderId="0" xfId="83" applyAlignment="1">
      <alignment/>
      <protection/>
    </xf>
    <xf numFmtId="0" fontId="12" fillId="0" borderId="10" xfId="83" applyFont="1" applyBorder="1" applyAlignment="1">
      <alignment/>
      <protection/>
    </xf>
    <xf numFmtId="0" fontId="15" fillId="0" borderId="15" xfId="83" applyFont="1" applyBorder="1" applyAlignment="1">
      <alignment vertical="center" wrapText="1"/>
      <protection/>
    </xf>
    <xf numFmtId="0" fontId="15" fillId="0" borderId="34" xfId="83" applyFont="1" applyBorder="1" applyAlignment="1">
      <alignment vertical="center" wrapText="1"/>
      <protection/>
    </xf>
    <xf numFmtId="0" fontId="15" fillId="0" borderId="35" xfId="83" applyFont="1" applyBorder="1" applyAlignment="1">
      <alignment vertical="center" wrapText="1"/>
      <protection/>
    </xf>
    <xf numFmtId="0" fontId="15" fillId="0" borderId="20" xfId="83" applyFont="1" applyBorder="1" applyAlignment="1">
      <alignment vertical="center" wrapText="1"/>
      <protection/>
    </xf>
    <xf numFmtId="0" fontId="15" fillId="0" borderId="0" xfId="83" applyFont="1" applyBorder="1" applyAlignment="1">
      <alignment vertical="center" wrapText="1"/>
      <protection/>
    </xf>
    <xf numFmtId="0" fontId="15" fillId="0" borderId="33" xfId="83" applyFont="1" applyBorder="1" applyAlignment="1">
      <alignment vertical="center" wrapText="1"/>
      <protection/>
    </xf>
    <xf numFmtId="0" fontId="15" fillId="0" borderId="10" xfId="83" applyFont="1" applyBorder="1" applyAlignment="1">
      <alignment vertical="center"/>
      <protection/>
    </xf>
    <xf numFmtId="0" fontId="15" fillId="0" borderId="11" xfId="83" applyFont="1" applyBorder="1" applyAlignment="1">
      <alignment vertical="center"/>
      <protection/>
    </xf>
    <xf numFmtId="0" fontId="15" fillId="0" borderId="12" xfId="83" applyFont="1" applyBorder="1" applyAlignment="1">
      <alignment vertical="center"/>
      <protection/>
    </xf>
    <xf numFmtId="0" fontId="12" fillId="0" borderId="50" xfId="83" applyBorder="1" applyAlignment="1">
      <alignment horizontal="center"/>
      <protection/>
    </xf>
    <xf numFmtId="0" fontId="15" fillId="0" borderId="15" xfId="83" applyFont="1" applyBorder="1" applyAlignment="1">
      <alignment wrapText="1"/>
      <protection/>
    </xf>
    <xf numFmtId="0" fontId="15" fillId="0" borderId="34" xfId="83" applyFont="1" applyBorder="1" applyAlignment="1">
      <alignment wrapText="1"/>
      <protection/>
    </xf>
    <xf numFmtId="0" fontId="15" fillId="0" borderId="35" xfId="83" applyFont="1" applyBorder="1" applyAlignment="1">
      <alignment wrapText="1"/>
      <protection/>
    </xf>
    <xf numFmtId="0" fontId="15" fillId="0" borderId="23" xfId="83" applyFont="1" applyBorder="1" applyAlignment="1">
      <alignment wrapText="1"/>
      <protection/>
    </xf>
    <xf numFmtId="0" fontId="15" fillId="0" borderId="28" xfId="83" applyFont="1" applyBorder="1" applyAlignment="1">
      <alignment wrapText="1"/>
      <protection/>
    </xf>
    <xf numFmtId="0" fontId="15" fillId="0" borderId="32" xfId="83" applyFont="1" applyBorder="1" applyAlignment="1">
      <alignment wrapText="1"/>
      <protection/>
    </xf>
    <xf numFmtId="0" fontId="50" fillId="0" borderId="0" xfId="72" applyFont="1" applyAlignment="1">
      <alignment horizontal="center" vertical="center"/>
      <protection/>
    </xf>
    <xf numFmtId="0" fontId="15" fillId="0" borderId="0" xfId="91" applyFont="1" applyAlignment="1">
      <alignment horizontal="center" vertical="center"/>
      <protection/>
    </xf>
    <xf numFmtId="0" fontId="16" fillId="0" borderId="26" xfId="91" applyFont="1" applyBorder="1" applyAlignment="1">
      <alignment horizontal="center" vertical="center"/>
      <protection/>
    </xf>
    <xf numFmtId="0" fontId="16" fillId="0" borderId="31" xfId="91" applyFont="1" applyBorder="1" applyAlignment="1">
      <alignment horizontal="center" vertical="center"/>
      <protection/>
    </xf>
    <xf numFmtId="0" fontId="16" fillId="0" borderId="34" xfId="91" applyFont="1" applyBorder="1" applyAlignment="1">
      <alignment horizontal="center" vertical="center"/>
      <protection/>
    </xf>
    <xf numFmtId="0" fontId="16" fillId="0" borderId="28" xfId="91" applyFont="1" applyBorder="1" applyAlignment="1">
      <alignment horizontal="center" vertical="center"/>
      <protection/>
    </xf>
    <xf numFmtId="0" fontId="15" fillId="0" borderId="10" xfId="91" applyFont="1" applyBorder="1" applyAlignment="1">
      <alignment horizontal="center" vertical="center"/>
      <protection/>
    </xf>
    <xf numFmtId="0" fontId="15" fillId="0" borderId="12" xfId="91" applyFont="1" applyBorder="1" applyAlignment="1">
      <alignment horizontal="center" vertical="center"/>
      <protection/>
    </xf>
    <xf numFmtId="0" fontId="47" fillId="0" borderId="26" xfId="73" applyFont="1" applyBorder="1" applyAlignment="1">
      <alignment vertical="center" wrapText="1"/>
      <protection/>
    </xf>
    <xf numFmtId="0" fontId="0" fillId="0" borderId="31" xfId="73" applyBorder="1" applyAlignment="1">
      <alignment vertical="center" wrapText="1"/>
      <protection/>
    </xf>
    <xf numFmtId="0" fontId="37" fillId="0" borderId="10" xfId="73" applyFont="1" applyBorder="1" applyAlignment="1">
      <alignment horizontal="center" vertical="center" wrapText="1"/>
      <protection/>
    </xf>
    <xf numFmtId="0" fontId="0" fillId="0" borderId="12" xfId="73" applyBorder="1" applyAlignment="1">
      <alignment horizontal="center" vertical="center" wrapText="1"/>
      <protection/>
    </xf>
    <xf numFmtId="0" fontId="37" fillId="0" borderId="0" xfId="73" applyFont="1" applyAlignment="1">
      <alignment horizontal="center"/>
      <protection/>
    </xf>
    <xf numFmtId="0" fontId="0" fillId="0" borderId="0" xfId="84" applyAlignment="1">
      <alignment/>
      <protection/>
    </xf>
    <xf numFmtId="0" fontId="37" fillId="0" borderId="26" xfId="73" applyFont="1" applyBorder="1" applyAlignment="1">
      <alignment horizontal="center" vertical="center"/>
      <protection/>
    </xf>
    <xf numFmtId="0" fontId="0" fillId="0" borderId="50" xfId="73" applyBorder="1" applyAlignment="1">
      <alignment horizontal="center" vertical="center"/>
      <protection/>
    </xf>
    <xf numFmtId="0" fontId="47" fillId="0" borderId="26" xfId="73" applyFont="1" applyBorder="1" applyAlignment="1">
      <alignment horizontal="left"/>
      <protection/>
    </xf>
    <xf numFmtId="0" fontId="0" fillId="0" borderId="31" xfId="73" applyBorder="1" applyAlignment="1">
      <alignment horizontal="left"/>
      <protection/>
    </xf>
    <xf numFmtId="0" fontId="0" fillId="0" borderId="31" xfId="73" applyBorder="1" applyAlignment="1">
      <alignment horizontal="center" vertical="center"/>
      <protection/>
    </xf>
    <xf numFmtId="0" fontId="37" fillId="0" borderId="34" xfId="73" applyFont="1" applyBorder="1" applyAlignment="1">
      <alignment horizontal="center" vertical="center" wrapText="1"/>
      <protection/>
    </xf>
    <xf numFmtId="0" fontId="0" fillId="0" borderId="28" xfId="73" applyBorder="1" applyAlignment="1">
      <alignment/>
      <protection/>
    </xf>
    <xf numFmtId="0" fontId="37" fillId="0" borderId="26" xfId="73" applyFont="1" applyBorder="1" applyAlignment="1">
      <alignment horizontal="center"/>
      <protection/>
    </xf>
    <xf numFmtId="0" fontId="37" fillId="0" borderId="31" xfId="73" applyFont="1" applyBorder="1" applyAlignment="1">
      <alignment horizontal="center"/>
      <protection/>
    </xf>
    <xf numFmtId="0" fontId="43" fillId="0" borderId="15" xfId="84" applyFont="1" applyBorder="1" applyAlignment="1">
      <alignment horizontal="center"/>
      <protection/>
    </xf>
    <xf numFmtId="0" fontId="43" fillId="0" borderId="35" xfId="84" applyFont="1" applyBorder="1" applyAlignment="1">
      <alignment horizontal="center"/>
      <protection/>
    </xf>
    <xf numFmtId="3" fontId="43" fillId="0" borderId="10" xfId="8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43" fillId="0" borderId="23" xfId="84" applyFont="1" applyBorder="1" applyAlignment="1">
      <alignment horizontal="center"/>
      <protection/>
    </xf>
    <xf numFmtId="0" fontId="43" fillId="0" borderId="32" xfId="84" applyFont="1" applyBorder="1" applyAlignment="1">
      <alignment horizontal="center"/>
      <protection/>
    </xf>
    <xf numFmtId="3" fontId="43" fillId="0" borderId="23" xfId="84" applyNumberFormat="1" applyFont="1" applyBorder="1" applyAlignment="1">
      <alignment horizontal="center"/>
      <protection/>
    </xf>
    <xf numFmtId="0" fontId="44" fillId="0" borderId="28" xfId="84" applyFont="1" applyBorder="1" applyAlignment="1">
      <alignment horizontal="center"/>
      <protection/>
    </xf>
    <xf numFmtId="0" fontId="35" fillId="0" borderId="0" xfId="84" applyFont="1" applyAlignment="1">
      <alignment horizontal="center"/>
      <protection/>
    </xf>
    <xf numFmtId="0" fontId="0" fillId="0" borderId="0" xfId="84" applyAlignment="1">
      <alignment horizontal="center"/>
      <protection/>
    </xf>
    <xf numFmtId="0" fontId="55" fillId="0" borderId="0" xfId="84" applyFont="1" applyAlignment="1">
      <alignment horizontal="center"/>
      <protection/>
    </xf>
    <xf numFmtId="0" fontId="43" fillId="0" borderId="10" xfId="8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3" fillId="0" borderId="26" xfId="84" applyNumberFormat="1" applyFont="1" applyBorder="1" applyAlignment="1">
      <alignment horizontal="center"/>
      <protection/>
    </xf>
    <xf numFmtId="0" fontId="44" fillId="0" borderId="50" xfId="84" applyFont="1" applyBorder="1" applyAlignment="1">
      <alignment horizontal="center"/>
      <protection/>
    </xf>
    <xf numFmtId="0" fontId="0" fillId="0" borderId="50" xfId="84" applyBorder="1" applyAlignment="1">
      <alignment/>
      <protection/>
    </xf>
    <xf numFmtId="0" fontId="0" fillId="0" borderId="31" xfId="84" applyBorder="1" applyAlignment="1">
      <alignment/>
      <protection/>
    </xf>
    <xf numFmtId="0" fontId="3" fillId="0" borderId="0" xfId="71" applyFont="1" applyAlignment="1">
      <alignment horizontal="center"/>
      <protection/>
    </xf>
    <xf numFmtId="0" fontId="0" fillId="0" borderId="0" xfId="74" applyAlignment="1">
      <alignment/>
      <protection/>
    </xf>
    <xf numFmtId="0" fontId="3" fillId="0" borderId="0" xfId="71" applyFont="1" applyBorder="1" applyAlignment="1">
      <alignment horizontal="center"/>
      <protection/>
    </xf>
    <xf numFmtId="0" fontId="0" fillId="0" borderId="0" xfId="74" applyAlignment="1">
      <alignment horizontal="center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7" fillId="0" borderId="0" xfId="64" applyFont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71" fillId="0" borderId="55" xfId="95" applyFont="1" applyFill="1" applyBorder="1" applyAlignment="1">
      <alignment horizontal="center" vertical="center"/>
      <protection/>
    </xf>
    <xf numFmtId="0" fontId="71" fillId="0" borderId="63" xfId="95" applyFont="1" applyFill="1" applyBorder="1" applyAlignment="1">
      <alignment horizontal="center" vertical="center"/>
      <protection/>
    </xf>
    <xf numFmtId="0" fontId="71" fillId="0" borderId="55" xfId="95" applyFont="1" applyFill="1" applyBorder="1" applyAlignment="1">
      <alignment horizontal="center" vertical="center" wrapText="1"/>
      <protection/>
    </xf>
    <xf numFmtId="0" fontId="71" fillId="0" borderId="98" xfId="95" applyFont="1" applyFill="1" applyBorder="1" applyAlignment="1">
      <alignment horizontal="center" vertical="center" wrapText="1"/>
      <protection/>
    </xf>
    <xf numFmtId="0" fontId="71" fillId="0" borderId="79" xfId="95" applyFont="1" applyFill="1" applyBorder="1" applyAlignment="1">
      <alignment horizontal="center" vertical="center"/>
      <protection/>
    </xf>
    <xf numFmtId="3" fontId="64" fillId="0" borderId="99" xfId="95" applyNumberFormat="1" applyFont="1" applyFill="1" applyBorder="1" applyAlignment="1">
      <alignment horizontal="right" vertical="center"/>
      <protection/>
    </xf>
    <xf numFmtId="3" fontId="64" fillId="0" borderId="100" xfId="95" applyNumberFormat="1" applyFont="1" applyFill="1" applyBorder="1" applyAlignment="1">
      <alignment horizontal="right" vertical="center"/>
      <protection/>
    </xf>
    <xf numFmtId="3" fontId="67" fillId="0" borderId="58" xfId="64" applyNumberFormat="1" applyFont="1" applyFill="1" applyBorder="1" applyAlignment="1">
      <alignment horizontal="right" vertical="center"/>
      <protection/>
    </xf>
    <xf numFmtId="3" fontId="67" fillId="0" borderId="75" xfId="64" applyNumberFormat="1" applyFont="1" applyFill="1" applyBorder="1" applyAlignment="1">
      <alignment horizontal="right" vertical="center"/>
      <protection/>
    </xf>
    <xf numFmtId="0" fontId="66" fillId="0" borderId="0" xfId="64" applyFont="1" applyAlignment="1">
      <alignment horizontal="center" vertical="center" wrapText="1"/>
      <protection/>
    </xf>
    <xf numFmtId="3" fontId="64" fillId="0" borderId="56" xfId="95" applyNumberFormat="1" applyFont="1" applyFill="1" applyBorder="1" applyAlignment="1">
      <alignment horizontal="right" vertical="center"/>
      <protection/>
    </xf>
    <xf numFmtId="3" fontId="64" fillId="0" borderId="69" xfId="95" applyNumberFormat="1" applyFont="1" applyFill="1" applyBorder="1" applyAlignment="1">
      <alignment horizontal="right" vertical="center"/>
      <protection/>
    </xf>
    <xf numFmtId="0" fontId="71" fillId="0" borderId="70" xfId="95" applyFont="1" applyFill="1" applyBorder="1" applyAlignment="1">
      <alignment horizontal="center" vertical="center" wrapText="1"/>
      <protection/>
    </xf>
    <xf numFmtId="0" fontId="71" fillId="0" borderId="84" xfId="95" applyFont="1" applyFill="1" applyBorder="1" applyAlignment="1">
      <alignment horizontal="center" vertical="center" wrapText="1"/>
      <protection/>
    </xf>
    <xf numFmtId="0" fontId="71" fillId="0" borderId="72" xfId="95" applyFont="1" applyFill="1" applyBorder="1" applyAlignment="1">
      <alignment horizontal="center" vertical="center" wrapText="1"/>
      <protection/>
    </xf>
    <xf numFmtId="0" fontId="71" fillId="0" borderId="101" xfId="95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center" vertical="center" wrapText="1"/>
      <protection/>
    </xf>
    <xf numFmtId="0" fontId="67" fillId="0" borderId="54" xfId="95" applyFont="1" applyFill="1" applyBorder="1" applyAlignment="1">
      <alignment horizontal="center" vertical="center"/>
      <protection/>
    </xf>
    <xf numFmtId="0" fontId="67" fillId="0" borderId="67" xfId="95" applyFont="1" applyFill="1" applyBorder="1" applyAlignment="1">
      <alignment horizontal="center" vertical="center"/>
      <protection/>
    </xf>
    <xf numFmtId="0" fontId="67" fillId="0" borderId="55" xfId="95" applyFont="1" applyFill="1" applyBorder="1" applyAlignment="1">
      <alignment horizontal="center" vertical="center" wrapText="1"/>
      <protection/>
    </xf>
    <xf numFmtId="0" fontId="67" fillId="0" borderId="63" xfId="95" applyFont="1" applyFill="1" applyBorder="1" applyAlignment="1">
      <alignment horizontal="center" vertical="center"/>
      <protection/>
    </xf>
    <xf numFmtId="0" fontId="67" fillId="0" borderId="55" xfId="95" applyFont="1" applyFill="1" applyBorder="1" applyAlignment="1">
      <alignment horizontal="center" vertical="center"/>
      <protection/>
    </xf>
    <xf numFmtId="0" fontId="67" fillId="0" borderId="63" xfId="95" applyFont="1" applyFill="1" applyBorder="1" applyAlignment="1">
      <alignment horizontal="center" vertical="center" wrapText="1"/>
      <protection/>
    </xf>
    <xf numFmtId="3" fontId="64" fillId="0" borderId="60" xfId="95" applyNumberFormat="1" applyFont="1" applyFill="1" applyBorder="1" applyAlignment="1">
      <alignment horizontal="right" vertical="center"/>
      <protection/>
    </xf>
    <xf numFmtId="3" fontId="64" fillId="0" borderId="102" xfId="95" applyNumberFormat="1" applyFont="1" applyFill="1" applyBorder="1" applyAlignment="1">
      <alignment horizontal="right" vertical="center"/>
      <protection/>
    </xf>
    <xf numFmtId="3" fontId="64" fillId="0" borderId="71" xfId="95" applyNumberFormat="1" applyFont="1" applyFill="1" applyBorder="1" applyAlignment="1">
      <alignment horizontal="right" vertical="center"/>
      <protection/>
    </xf>
    <xf numFmtId="3" fontId="64" fillId="0" borderId="88" xfId="95" applyNumberFormat="1" applyFont="1" applyFill="1" applyBorder="1" applyAlignment="1">
      <alignment horizontal="right" vertical="center"/>
      <protection/>
    </xf>
    <xf numFmtId="0" fontId="67" fillId="0" borderId="98" xfId="95" applyFont="1" applyFill="1" applyBorder="1" applyAlignment="1">
      <alignment horizontal="center" vertical="center" wrapText="1"/>
      <protection/>
    </xf>
    <xf numFmtId="0" fontId="67" fillId="0" borderId="79" xfId="95" applyFont="1" applyFill="1" applyBorder="1" applyAlignment="1">
      <alignment horizontal="center" vertical="center" wrapText="1"/>
      <protection/>
    </xf>
    <xf numFmtId="0" fontId="38" fillId="0" borderId="0" xfId="63" applyFont="1" applyAlignment="1">
      <alignment horizontal="center" vertical="center"/>
      <protection/>
    </xf>
    <xf numFmtId="0" fontId="36" fillId="0" borderId="0" xfId="63" applyFont="1" applyAlignment="1">
      <alignment horizontal="left"/>
      <protection/>
    </xf>
    <xf numFmtId="0" fontId="39" fillId="0" borderId="0" xfId="63" applyFont="1" applyAlignment="1">
      <alignment horizontal="center"/>
      <protection/>
    </xf>
    <xf numFmtId="0" fontId="39" fillId="0" borderId="90" xfId="94" applyFont="1" applyBorder="1" applyAlignment="1">
      <alignment horizontal="center" vertical="center"/>
      <protection/>
    </xf>
    <xf numFmtId="0" fontId="39" fillId="0" borderId="14" xfId="94" applyFont="1" applyBorder="1" applyAlignment="1">
      <alignment horizontal="center" vertical="center"/>
      <protection/>
    </xf>
    <xf numFmtId="0" fontId="39" fillId="0" borderId="103" xfId="94" applyFont="1" applyBorder="1" applyAlignment="1">
      <alignment horizontal="center" vertical="center"/>
      <protection/>
    </xf>
    <xf numFmtId="0" fontId="39" fillId="0" borderId="11" xfId="94" applyFont="1" applyBorder="1" applyAlignment="1">
      <alignment horizontal="center" vertical="center"/>
      <protection/>
    </xf>
    <xf numFmtId="0" fontId="38" fillId="0" borderId="0" xfId="63" applyFont="1" applyAlignment="1">
      <alignment horizontal="center"/>
      <protection/>
    </xf>
    <xf numFmtId="0" fontId="38" fillId="0" borderId="0" xfId="86" applyFont="1" applyAlignment="1">
      <alignment horizontal="center" vertical="center"/>
      <protection/>
    </xf>
    <xf numFmtId="0" fontId="43" fillId="0" borderId="55" xfId="63" applyFont="1" applyBorder="1" applyAlignment="1">
      <alignment horizontal="center" vertical="center"/>
      <protection/>
    </xf>
    <xf numFmtId="0" fontId="43" fillId="0" borderId="63" xfId="63" applyFont="1" applyBorder="1" applyAlignment="1">
      <alignment horizontal="center" vertical="center"/>
      <protection/>
    </xf>
    <xf numFmtId="0" fontId="43" fillId="0" borderId="104" xfId="63" applyFont="1" applyBorder="1" applyAlignment="1">
      <alignment horizontal="center" vertical="center"/>
      <protection/>
    </xf>
    <xf numFmtId="0" fontId="43" fillId="0" borderId="85" xfId="63" applyFont="1" applyBorder="1" applyAlignment="1">
      <alignment horizontal="center" vertical="center"/>
      <protection/>
    </xf>
    <xf numFmtId="0" fontId="43" fillId="0" borderId="72" xfId="63" applyFont="1" applyBorder="1" applyAlignment="1">
      <alignment horizontal="center" vertical="center"/>
      <protection/>
    </xf>
    <xf numFmtId="0" fontId="43" fillId="0" borderId="101" xfId="63" applyFont="1" applyBorder="1" applyAlignment="1">
      <alignment horizontal="center" vertical="center"/>
      <protection/>
    </xf>
    <xf numFmtId="0" fontId="36" fillId="0" borderId="0" xfId="63" applyFont="1" applyAlignment="1">
      <alignment horizontal="left" vertical="center"/>
      <protection/>
    </xf>
    <xf numFmtId="0" fontId="36" fillId="0" borderId="19" xfId="87" applyFont="1" applyBorder="1" applyAlignment="1">
      <alignment horizontal="center" vertical="center"/>
      <protection/>
    </xf>
    <xf numFmtId="0" fontId="12" fillId="0" borderId="11" xfId="87" applyBorder="1" applyAlignment="1">
      <alignment horizontal="center" vertical="center"/>
      <protection/>
    </xf>
    <xf numFmtId="0" fontId="12" fillId="0" borderId="16" xfId="87" applyBorder="1" applyAlignment="1">
      <alignment horizontal="center" vertical="center"/>
      <protection/>
    </xf>
    <xf numFmtId="0" fontId="36" fillId="0" borderId="24" xfId="87" applyFont="1" applyBorder="1" applyAlignment="1">
      <alignment horizontal="center" vertical="center" wrapText="1"/>
      <protection/>
    </xf>
    <xf numFmtId="0" fontId="36" fillId="0" borderId="39" xfId="87" applyFont="1" applyBorder="1" applyAlignment="1">
      <alignment horizontal="center" vertical="center" wrapText="1"/>
      <protection/>
    </xf>
    <xf numFmtId="0" fontId="36" fillId="0" borderId="20" xfId="87" applyFont="1" applyBorder="1" applyAlignment="1">
      <alignment horizontal="center" vertical="center" wrapText="1"/>
      <protection/>
    </xf>
    <xf numFmtId="0" fontId="36" fillId="0" borderId="33" xfId="87" applyFont="1" applyBorder="1" applyAlignment="1">
      <alignment horizontal="center" vertical="center" wrapText="1"/>
      <protection/>
    </xf>
    <xf numFmtId="0" fontId="12" fillId="0" borderId="20" xfId="87" applyBorder="1" applyAlignment="1">
      <alignment horizontal="center" vertical="center" wrapText="1"/>
      <protection/>
    </xf>
    <xf numFmtId="0" fontId="12" fillId="0" borderId="33" xfId="87" applyBorder="1" applyAlignment="1">
      <alignment horizontal="center" vertical="center" wrapText="1"/>
      <protection/>
    </xf>
    <xf numFmtId="0" fontId="12" fillId="0" borderId="22" xfId="87" applyBorder="1" applyAlignment="1">
      <alignment horizontal="center" vertical="center" wrapText="1"/>
      <protection/>
    </xf>
    <xf numFmtId="0" fontId="12" fillId="0" borderId="37" xfId="87" applyBorder="1" applyAlignment="1">
      <alignment horizontal="center" vertical="center" wrapText="1"/>
      <protection/>
    </xf>
    <xf numFmtId="0" fontId="36" fillId="0" borderId="12" xfId="87" applyFont="1" applyBorder="1" applyAlignment="1">
      <alignment horizontal="center" vertical="center"/>
      <protection/>
    </xf>
    <xf numFmtId="0" fontId="36" fillId="0" borderId="10" xfId="87" applyFont="1" applyBorder="1" applyAlignment="1">
      <alignment horizontal="center" vertical="center"/>
      <protection/>
    </xf>
    <xf numFmtId="0" fontId="36" fillId="0" borderId="11" xfId="87" applyFont="1" applyBorder="1" applyAlignment="1">
      <alignment horizontal="center" vertical="center"/>
      <protection/>
    </xf>
    <xf numFmtId="0" fontId="36" fillId="0" borderId="16" xfId="87" applyFont="1" applyBorder="1" applyAlignment="1">
      <alignment horizontal="center" vertical="center"/>
      <protection/>
    </xf>
    <xf numFmtId="0" fontId="36" fillId="0" borderId="15" xfId="87" applyFont="1" applyBorder="1" applyAlignment="1">
      <alignment horizontal="center" vertical="center" wrapText="1"/>
      <protection/>
    </xf>
    <xf numFmtId="0" fontId="36" fillId="0" borderId="35" xfId="87" applyFont="1" applyBorder="1" applyAlignment="1">
      <alignment horizontal="center" vertical="center" wrapText="1"/>
      <protection/>
    </xf>
    <xf numFmtId="0" fontId="0" fillId="0" borderId="11" xfId="78" applyBorder="1" applyAlignment="1">
      <alignment/>
      <protection/>
    </xf>
    <xf numFmtId="0" fontId="0" fillId="0" borderId="16" xfId="78" applyBorder="1" applyAlignment="1">
      <alignment/>
      <protection/>
    </xf>
    <xf numFmtId="0" fontId="0" fillId="0" borderId="39" xfId="78" applyBorder="1" applyAlignment="1">
      <alignment/>
      <protection/>
    </xf>
    <xf numFmtId="0" fontId="0" fillId="0" borderId="20" xfId="78" applyBorder="1" applyAlignment="1">
      <alignment/>
      <protection/>
    </xf>
    <xf numFmtId="0" fontId="0" fillId="0" borderId="33" xfId="78" applyBorder="1" applyAlignment="1">
      <alignment/>
      <protection/>
    </xf>
    <xf numFmtId="0" fontId="0" fillId="0" borderId="22" xfId="78" applyBorder="1" applyAlignment="1">
      <alignment/>
      <protection/>
    </xf>
    <xf numFmtId="0" fontId="0" fillId="0" borderId="37" xfId="78" applyBorder="1" applyAlignment="1">
      <alignment/>
      <protection/>
    </xf>
    <xf numFmtId="0" fontId="38" fillId="0" borderId="10" xfId="87" applyFont="1" applyBorder="1" applyAlignment="1">
      <alignment horizontal="center" vertical="center" wrapText="1"/>
      <protection/>
    </xf>
    <xf numFmtId="0" fontId="38" fillId="0" borderId="12" xfId="87" applyFont="1" applyBorder="1" applyAlignment="1">
      <alignment horizontal="center" vertical="center" wrapText="1"/>
      <protection/>
    </xf>
    <xf numFmtId="0" fontId="15" fillId="0" borderId="0" xfId="87" applyFont="1" applyAlignment="1">
      <alignment horizontal="center"/>
      <protection/>
    </xf>
    <xf numFmtId="0" fontId="37" fillId="0" borderId="0" xfId="87" applyFont="1" applyAlignment="1">
      <alignment horizontal="center"/>
      <protection/>
    </xf>
    <xf numFmtId="0" fontId="38" fillId="0" borderId="10" xfId="87" applyFont="1" applyBorder="1" applyAlignment="1">
      <alignment horizontal="center" vertical="center"/>
      <protection/>
    </xf>
    <xf numFmtId="0" fontId="38" fillId="0" borderId="12" xfId="87" applyFont="1" applyBorder="1" applyAlignment="1">
      <alignment horizontal="center" vertical="center"/>
      <protection/>
    </xf>
    <xf numFmtId="0" fontId="38" fillId="0" borderId="15" xfId="87" applyFont="1" applyBorder="1" applyAlignment="1">
      <alignment horizontal="center" vertical="center"/>
      <protection/>
    </xf>
    <xf numFmtId="0" fontId="38" fillId="0" borderId="35" xfId="87" applyFont="1" applyBorder="1" applyAlignment="1">
      <alignment horizontal="center" vertical="center"/>
      <protection/>
    </xf>
    <xf numFmtId="0" fontId="38" fillId="0" borderId="23" xfId="87" applyFont="1" applyBorder="1" applyAlignment="1">
      <alignment horizontal="center" vertical="center"/>
      <protection/>
    </xf>
    <xf numFmtId="0" fontId="38" fillId="0" borderId="32" xfId="87" applyFont="1" applyBorder="1" applyAlignment="1">
      <alignment horizontal="center" vertical="center"/>
      <protection/>
    </xf>
    <xf numFmtId="0" fontId="38" fillId="0" borderId="34" xfId="87" applyFont="1" applyBorder="1" applyAlignment="1">
      <alignment horizontal="center" vertical="center"/>
      <protection/>
    </xf>
    <xf numFmtId="0" fontId="38" fillId="0" borderId="28" xfId="87" applyFont="1" applyBorder="1" applyAlignment="1">
      <alignment horizontal="center" vertical="center"/>
      <protection/>
    </xf>
    <xf numFmtId="0" fontId="12" fillId="0" borderId="0" xfId="87" applyAlignment="1">
      <alignment/>
      <protection/>
    </xf>
    <xf numFmtId="0" fontId="36" fillId="0" borderId="24" xfId="87" applyFont="1" applyBorder="1" applyAlignment="1">
      <alignment horizontal="center" vertical="center"/>
      <protection/>
    </xf>
    <xf numFmtId="0" fontId="12" fillId="0" borderId="20" xfId="87" applyBorder="1" applyAlignment="1">
      <alignment horizontal="center" vertical="center"/>
      <protection/>
    </xf>
    <xf numFmtId="0" fontId="12" fillId="0" borderId="22" xfId="87" applyBorder="1" applyAlignment="1">
      <alignment horizontal="center" vertical="center"/>
      <protection/>
    </xf>
    <xf numFmtId="0" fontId="39" fillId="0" borderId="38" xfId="87" applyFont="1" applyBorder="1" applyAlignment="1">
      <alignment horizontal="center" vertical="center" wrapText="1"/>
      <protection/>
    </xf>
    <xf numFmtId="0" fontId="39" fillId="0" borderId="39" xfId="87" applyFont="1" applyBorder="1" applyAlignment="1">
      <alignment horizontal="center" vertical="center" wrapText="1"/>
      <protection/>
    </xf>
    <xf numFmtId="0" fontId="39" fillId="0" borderId="0" xfId="87" applyFont="1" applyBorder="1" applyAlignment="1">
      <alignment horizontal="center" vertical="center" wrapText="1"/>
      <protection/>
    </xf>
    <xf numFmtId="0" fontId="39" fillId="0" borderId="33" xfId="87" applyFont="1" applyBorder="1" applyAlignment="1">
      <alignment horizontal="center" vertical="center" wrapText="1"/>
      <protection/>
    </xf>
    <xf numFmtId="0" fontId="40" fillId="0" borderId="0" xfId="87" applyFont="1" applyBorder="1" applyAlignment="1">
      <alignment horizontal="center" vertical="center" wrapText="1"/>
      <protection/>
    </xf>
    <xf numFmtId="0" fontId="40" fillId="0" borderId="33" xfId="87" applyFont="1" applyBorder="1" applyAlignment="1">
      <alignment horizontal="center" vertical="center" wrapText="1"/>
      <protection/>
    </xf>
    <xf numFmtId="0" fontId="40" fillId="0" borderId="36" xfId="87" applyFont="1" applyBorder="1" applyAlignment="1">
      <alignment horizontal="center" vertical="center" wrapText="1"/>
      <protection/>
    </xf>
    <xf numFmtId="0" fontId="40" fillId="0" borderId="37" xfId="87" applyFont="1" applyBorder="1" applyAlignment="1">
      <alignment horizontal="center" vertical="center" wrapText="1"/>
      <protection/>
    </xf>
    <xf numFmtId="0" fontId="12" fillId="0" borderId="12" xfId="87" applyBorder="1" applyAlignment="1">
      <alignment horizontal="center" vertical="center"/>
      <protection/>
    </xf>
    <xf numFmtId="0" fontId="12" fillId="0" borderId="23" xfId="87" applyBorder="1" applyAlignment="1">
      <alignment horizontal="center" vertical="center" wrapText="1"/>
      <protection/>
    </xf>
    <xf numFmtId="0" fontId="12" fillId="0" borderId="32" xfId="87" applyBorder="1" applyAlignment="1">
      <alignment horizontal="center" vertical="center" wrapText="1"/>
      <protection/>
    </xf>
    <xf numFmtId="3" fontId="42" fillId="0" borderId="10" xfId="85" applyNumberFormat="1" applyFont="1" applyBorder="1" applyAlignment="1">
      <alignment vertical="center"/>
      <protection/>
    </xf>
    <xf numFmtId="3" fontId="42" fillId="0" borderId="12" xfId="85" applyNumberFormat="1" applyFont="1" applyBorder="1" applyAlignment="1">
      <alignment vertical="center"/>
      <protection/>
    </xf>
    <xf numFmtId="3" fontId="37" fillId="0" borderId="10" xfId="85" applyNumberFormat="1" applyFont="1" applyBorder="1" applyAlignment="1">
      <alignment vertical="center"/>
      <protection/>
    </xf>
    <xf numFmtId="3" fontId="37" fillId="0" borderId="12" xfId="85" applyNumberFormat="1" applyFont="1" applyBorder="1" applyAlignment="1">
      <alignment vertical="center"/>
      <protection/>
    </xf>
    <xf numFmtId="0" fontId="38" fillId="0" borderId="0" xfId="85" applyFont="1" applyAlignment="1">
      <alignment horizontal="center" vertical="center"/>
      <protection/>
    </xf>
    <xf numFmtId="0" fontId="38" fillId="0" borderId="0" xfId="85" applyFont="1" applyAlignment="1">
      <alignment horizontal="center"/>
      <protection/>
    </xf>
    <xf numFmtId="0" fontId="42" fillId="0" borderId="26" xfId="85" applyFont="1" applyBorder="1" applyAlignment="1">
      <alignment vertical="center" wrapText="1"/>
      <protection/>
    </xf>
    <xf numFmtId="0" fontId="42" fillId="0" borderId="50" xfId="85" applyFont="1" applyBorder="1" applyAlignment="1">
      <alignment vertical="center" wrapText="1"/>
      <protection/>
    </xf>
    <xf numFmtId="0" fontId="42" fillId="0" borderId="31" xfId="85" applyFont="1" applyBorder="1" applyAlignment="1">
      <alignment vertical="center" wrapText="1"/>
      <protection/>
    </xf>
    <xf numFmtId="0" fontId="37" fillId="0" borderId="26" xfId="85" applyFont="1" applyBorder="1" applyAlignment="1">
      <alignment horizontal="center" vertical="center"/>
      <protection/>
    </xf>
    <xf numFmtId="0" fontId="15" fillId="0" borderId="50" xfId="85" applyFont="1" applyBorder="1" applyAlignment="1">
      <alignment horizontal="center" vertical="center"/>
      <protection/>
    </xf>
    <xf numFmtId="0" fontId="15" fillId="0" borderId="31" xfId="85" applyFont="1" applyBorder="1" applyAlignment="1">
      <alignment horizontal="center" vertical="center"/>
      <protection/>
    </xf>
    <xf numFmtId="3" fontId="42" fillId="0" borderId="15" xfId="85" applyNumberFormat="1" applyFont="1" applyBorder="1" applyAlignment="1">
      <alignment vertical="center"/>
      <protection/>
    </xf>
    <xf numFmtId="3" fontId="42" fillId="0" borderId="20" xfId="85" applyNumberFormat="1" applyFont="1" applyBorder="1" applyAlignment="1">
      <alignment vertical="center"/>
      <protection/>
    </xf>
    <xf numFmtId="0" fontId="37" fillId="0" borderId="13" xfId="85" applyFont="1" applyBorder="1" applyAlignment="1">
      <alignment vertical="center" wrapText="1"/>
      <protection/>
    </xf>
    <xf numFmtId="3" fontId="42" fillId="0" borderId="13" xfId="85" applyNumberFormat="1" applyFont="1" applyBorder="1" applyAlignment="1">
      <alignment vertical="center"/>
      <protection/>
    </xf>
    <xf numFmtId="0" fontId="37" fillId="0" borderId="26" xfId="85" applyFont="1" applyBorder="1" applyAlignment="1">
      <alignment vertical="center" wrapText="1"/>
      <protection/>
    </xf>
    <xf numFmtId="0" fontId="37" fillId="0" borderId="50" xfId="85" applyFont="1" applyBorder="1" applyAlignment="1">
      <alignment vertical="center" wrapText="1"/>
      <protection/>
    </xf>
    <xf numFmtId="0" fontId="37" fillId="0" borderId="31" xfId="85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7" xfId="77" applyBorder="1" applyAlignment="1">
      <alignment horizontal="left" vertical="center" wrapText="1"/>
      <protection/>
    </xf>
    <xf numFmtId="0" fontId="0" fillId="0" borderId="13" xfId="77" applyBorder="1" applyAlignment="1">
      <alignment horizontal="left" vertical="center" wrapText="1"/>
      <protection/>
    </xf>
    <xf numFmtId="0" fontId="3" fillId="0" borderId="13" xfId="77" applyFont="1" applyBorder="1" applyAlignment="1">
      <alignment horizontal="left" vertical="center" wrapText="1"/>
      <protection/>
    </xf>
    <xf numFmtId="0" fontId="3" fillId="0" borderId="18" xfId="77" applyFont="1" applyBorder="1" applyAlignment="1">
      <alignment horizontal="left" vertical="center" wrapText="1"/>
      <protection/>
    </xf>
    <xf numFmtId="0" fontId="3" fillId="0" borderId="12" xfId="77" applyFont="1" applyBorder="1" applyAlignment="1">
      <alignment horizontal="left" vertical="center" wrapText="1"/>
      <protection/>
    </xf>
    <xf numFmtId="0" fontId="0" fillId="0" borderId="0" xfId="77" applyAlignment="1">
      <alignment horizontal="center" wrapText="1"/>
      <protection/>
    </xf>
    <xf numFmtId="0" fontId="0" fillId="0" borderId="17" xfId="77" applyBorder="1" applyAlignment="1">
      <alignment horizontal="right"/>
      <protection/>
    </xf>
    <xf numFmtId="0" fontId="0" fillId="0" borderId="84" xfId="77" applyBorder="1" applyAlignment="1">
      <alignment horizontal="right"/>
      <protection/>
    </xf>
    <xf numFmtId="0" fontId="3" fillId="0" borderId="19" xfId="77" applyFont="1" applyBorder="1" applyAlignment="1">
      <alignment horizontal="center" vertical="center" wrapText="1"/>
      <protection/>
    </xf>
    <xf numFmtId="0" fontId="3" fillId="0" borderId="16" xfId="77" applyFont="1" applyBorder="1" applyAlignment="1">
      <alignment horizontal="center" vertical="center" wrapText="1"/>
      <protection/>
    </xf>
    <xf numFmtId="0" fontId="0" fillId="0" borderId="13" xfId="77" applyBorder="1" applyAlignment="1">
      <alignment horizontal="right"/>
      <protection/>
    </xf>
    <xf numFmtId="0" fontId="3" fillId="0" borderId="13" xfId="77" applyFont="1" applyBorder="1" applyAlignment="1">
      <alignment horizontal="right"/>
      <protection/>
    </xf>
    <xf numFmtId="0" fontId="0" fillId="0" borderId="88" xfId="77" applyBorder="1" applyAlignment="1">
      <alignment horizontal="right"/>
      <protection/>
    </xf>
    <xf numFmtId="0" fontId="3" fillId="0" borderId="88" xfId="77" applyFont="1" applyBorder="1" applyAlignment="1">
      <alignment horizontal="right"/>
      <protection/>
    </xf>
    <xf numFmtId="0" fontId="3" fillId="0" borderId="18" xfId="77" applyFont="1" applyBorder="1" applyAlignment="1">
      <alignment horizontal="right"/>
      <protection/>
    </xf>
    <xf numFmtId="0" fontId="3" fillId="0" borderId="12" xfId="77" applyFont="1" applyBorder="1" applyAlignment="1">
      <alignment horizontal="right"/>
      <protection/>
    </xf>
    <xf numFmtId="0" fontId="3" fillId="0" borderId="101" xfId="77" applyFont="1" applyBorder="1" applyAlignment="1">
      <alignment horizontal="right"/>
      <protection/>
    </xf>
    <xf numFmtId="0" fontId="3" fillId="0" borderId="86" xfId="77" applyFont="1" applyBorder="1" applyAlignment="1">
      <alignment horizontal="right"/>
      <protection/>
    </xf>
    <xf numFmtId="0" fontId="3" fillId="0" borderId="0" xfId="77" applyFont="1" applyAlignment="1">
      <alignment horizontal="center"/>
      <protection/>
    </xf>
    <xf numFmtId="0" fontId="3" fillId="0" borderId="105" xfId="77" applyFont="1" applyBorder="1" applyAlignment="1">
      <alignment horizontal="center" vertical="center"/>
      <protection/>
    </xf>
    <xf numFmtId="0" fontId="3" fillId="0" borderId="106" xfId="77" applyFont="1" applyBorder="1" applyAlignment="1">
      <alignment horizontal="center" vertical="center"/>
      <protection/>
    </xf>
    <xf numFmtId="0" fontId="3" fillId="0" borderId="19" xfId="77" applyFont="1" applyBorder="1" applyAlignment="1">
      <alignment horizontal="center" vertical="center"/>
      <protection/>
    </xf>
    <xf numFmtId="0" fontId="3" fillId="0" borderId="16" xfId="77" applyFont="1" applyBorder="1" applyAlignment="1">
      <alignment horizontal="center" vertical="center"/>
      <protection/>
    </xf>
    <xf numFmtId="0" fontId="3" fillId="0" borderId="107" xfId="77" applyFont="1" applyBorder="1" applyAlignment="1">
      <alignment horizontal="center" vertical="center" wrapText="1"/>
      <protection/>
    </xf>
    <xf numFmtId="0" fontId="3" fillId="0" borderId="108" xfId="77" applyFont="1" applyBorder="1" applyAlignment="1">
      <alignment horizontal="center" vertical="center" wrapText="1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Followed Hyperlink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2006évvégeteljesítés" xfId="71"/>
    <cellStyle name="Normál_2007eredetiköltségvetés" xfId="72"/>
    <cellStyle name="Normál_2007zárszámadásjan18" xfId="73"/>
    <cellStyle name="Normál_2008éviI-XII.hóteljfebr11" xfId="74"/>
    <cellStyle name="Normál_2008évivéglegesköltségvetésfebr13" xfId="75"/>
    <cellStyle name="Normál_20097-11-igmellékelt" xfId="76"/>
    <cellStyle name="Normál_2010évvégiteljmárc9" xfId="77"/>
    <cellStyle name="Normál_2010koltsegvetesjan13" xfId="78"/>
    <cellStyle name="Normál_2011évivéglegesteljesítésápr21" xfId="79"/>
    <cellStyle name="Normál_2011müködésifelhalmérlegfebr17" xfId="80"/>
    <cellStyle name="Normál_2012éviköltségvetésjan19este" xfId="81"/>
    <cellStyle name="Normál_2012évizárszámadásáprilis16" xfId="82"/>
    <cellStyle name="Normál_2012létszám tábla" xfId="83"/>
    <cellStyle name="Normál_7-2009-2008évizárszámadásjavított" xfId="84"/>
    <cellStyle name="Normál_Adósságállomány" xfId="85"/>
    <cellStyle name="Normál_egyszerűsített beszámoló" xfId="86"/>
    <cellStyle name="Normál_eus tábla" xfId="87"/>
    <cellStyle name="Normál_Júniusi finansz" xfId="88"/>
    <cellStyle name="Normal_KARSZJ3" xfId="89"/>
    <cellStyle name="Normál_közterület" xfId="90"/>
    <cellStyle name="Normál_közvetett támogatás" xfId="91"/>
    <cellStyle name="Normal_KTRSZJ" xfId="92"/>
    <cellStyle name="Normál_KVRENMUNKA" xfId="93"/>
    <cellStyle name="Normál_minta" xfId="94"/>
    <cellStyle name="Normál_vagyonkimutatás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Százalék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V.%20ker&#252;let\2012.%20&#233;v\2011.%20&#233;vi%20z&#225;r&#225;s\K&#233;sz%20anyagok\V.%20ker&#252;let%20mell&#233;kletek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IX.%20ker&#252;let\2012.%20&#233;v\2011.%20&#233;vi%20z&#225;r&#225;s\K&#233;sz%20anyagok\IX.%20ker&#252;let%20mell&#233;kletek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M "/>
      <sheetName val="PFJ"/>
      <sheetName val="PMK "/>
      <sheetName val="PFE"/>
      <sheetName val="MFM"/>
      <sheetName val="VK Eszközök"/>
      <sheetName val="VK Forráso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M "/>
      <sheetName val="PFJ"/>
      <sheetName val="PMK "/>
      <sheetName val="PFE"/>
      <sheetName val="VK"/>
      <sheetName val="MF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9.25390625" style="327" customWidth="1"/>
    <col min="2" max="2" width="10.375" style="327" customWidth="1"/>
    <col min="3" max="3" width="10.125" style="327" bestFit="1" customWidth="1"/>
    <col min="4" max="5" width="11.00390625" style="327" customWidth="1"/>
    <col min="6" max="6" width="48.375" style="327" customWidth="1"/>
    <col min="7" max="7" width="9.875" style="327" customWidth="1"/>
    <col min="8" max="8" width="10.375" style="327" customWidth="1"/>
    <col min="9" max="9" width="10.25390625" style="327" customWidth="1"/>
    <col min="10" max="10" width="10.375" style="327" customWidth="1"/>
    <col min="11" max="16384" width="9.125" style="327" customWidth="1"/>
  </cols>
  <sheetData>
    <row r="2" spans="1:10" ht="12.75">
      <c r="A2" s="1266" t="s">
        <v>746</v>
      </c>
      <c r="B2" s="1266"/>
      <c r="C2" s="1266"/>
      <c r="D2" s="1266"/>
      <c r="E2" s="1266"/>
      <c r="F2" s="1266"/>
      <c r="G2" s="1266"/>
      <c r="H2" s="1266"/>
      <c r="I2" s="1266"/>
      <c r="J2" s="1266"/>
    </row>
    <row r="3" spans="1:10" ht="12.75">
      <c r="A3" s="1267" t="s">
        <v>747</v>
      </c>
      <c r="B3" s="1268"/>
      <c r="C3" s="1268"/>
      <c r="D3" s="1268"/>
      <c r="E3" s="1268"/>
      <c r="F3" s="1268"/>
      <c r="G3" s="1268"/>
      <c r="H3" s="1268"/>
      <c r="I3" s="1268"/>
      <c r="J3" s="1268"/>
    </row>
    <row r="4" spans="1:10" ht="12.75">
      <c r="A4" s="630"/>
      <c r="B4" s="630"/>
      <c r="C4" s="630"/>
      <c r="D4" s="630"/>
      <c r="E4" s="630"/>
      <c r="F4" s="630"/>
      <c r="G4" s="630"/>
      <c r="H4" s="630"/>
      <c r="I4" s="659"/>
      <c r="J4" s="659" t="s">
        <v>187</v>
      </c>
    </row>
    <row r="5" spans="1:10" ht="20.25" customHeight="1">
      <c r="A5" s="1261" t="s">
        <v>1143</v>
      </c>
      <c r="B5" s="1261" t="s">
        <v>1069</v>
      </c>
      <c r="C5" s="1261" t="s">
        <v>36</v>
      </c>
      <c r="D5" s="1263" t="s">
        <v>37</v>
      </c>
      <c r="E5" s="1263" t="s">
        <v>162</v>
      </c>
      <c r="F5" s="1261" t="s">
        <v>1144</v>
      </c>
      <c r="G5" s="1261" t="s">
        <v>1069</v>
      </c>
      <c r="H5" s="1261" t="s">
        <v>193</v>
      </c>
      <c r="I5" s="1263" t="s">
        <v>301</v>
      </c>
      <c r="J5" s="1263" t="s">
        <v>163</v>
      </c>
    </row>
    <row r="6" spans="1:10" ht="20.25" customHeight="1" thickBot="1">
      <c r="A6" s="1262"/>
      <c r="B6" s="1265"/>
      <c r="C6" s="1262"/>
      <c r="D6" s="1264"/>
      <c r="E6" s="1264"/>
      <c r="F6" s="1262"/>
      <c r="G6" s="1265"/>
      <c r="H6" s="1262"/>
      <c r="I6" s="1264"/>
      <c r="J6" s="1264"/>
    </row>
    <row r="7" spans="1:11" s="503" customFormat="1" ht="12.75" thickTop="1">
      <c r="A7" s="563" t="s">
        <v>1361</v>
      </c>
      <c r="B7" s="543">
        <v>2566770</v>
      </c>
      <c r="C7" s="543">
        <f>SUM(C8:C9)</f>
        <v>2031075</v>
      </c>
      <c r="D7" s="543">
        <f>SUM(D8:D9)</f>
        <v>2662565</v>
      </c>
      <c r="E7" s="543">
        <f>SUM(E8:E9)</f>
        <v>2662565</v>
      </c>
      <c r="F7" s="563" t="s">
        <v>1145</v>
      </c>
      <c r="G7" s="564">
        <v>4541872</v>
      </c>
      <c r="H7" s="564">
        <f>SUM('1c.mell '!C165)</f>
        <v>4268477</v>
      </c>
      <c r="I7" s="564">
        <f>SUM('1c.mell '!D165)</f>
        <v>4529467</v>
      </c>
      <c r="J7" s="564">
        <f>SUM('1c.mell '!E165)</f>
        <v>4358054</v>
      </c>
      <c r="K7" s="502"/>
    </row>
    <row r="8" spans="1:11" s="503" customFormat="1" ht="12">
      <c r="A8" s="513" t="s">
        <v>1318</v>
      </c>
      <c r="B8" s="533">
        <v>2499608</v>
      </c>
      <c r="C8" s="533">
        <f>SUM('1b.mell '!C222)</f>
        <v>2031075</v>
      </c>
      <c r="D8" s="533">
        <f>SUM('1b.mell '!D222)</f>
        <v>2662565</v>
      </c>
      <c r="E8" s="533">
        <f>SUM('1b.mell '!E222)</f>
        <v>2662565</v>
      </c>
      <c r="F8" s="562" t="s">
        <v>1370</v>
      </c>
      <c r="G8" s="989">
        <v>1151664</v>
      </c>
      <c r="H8" s="533">
        <f>SUM('1c.mell '!C166)</f>
        <v>1111992</v>
      </c>
      <c r="I8" s="533">
        <f>SUM('1c.mell '!D166)</f>
        <v>1211673</v>
      </c>
      <c r="J8" s="533">
        <f>SUM('1c.mell '!E166)</f>
        <v>1152979</v>
      </c>
      <c r="K8" s="502"/>
    </row>
    <row r="9" spans="1:11" s="503" customFormat="1" ht="12">
      <c r="A9" s="513" t="s">
        <v>1319</v>
      </c>
      <c r="B9" s="987"/>
      <c r="C9" s="511"/>
      <c r="D9" s="511"/>
      <c r="E9" s="511"/>
      <c r="F9" s="527" t="s">
        <v>1146</v>
      </c>
      <c r="G9" s="990">
        <v>5612901</v>
      </c>
      <c r="H9" s="533">
        <f>SUM('1c.mell '!C167)</f>
        <v>5786504</v>
      </c>
      <c r="I9" s="533">
        <f>SUM('1c.mell '!D167)</f>
        <v>6242582</v>
      </c>
      <c r="J9" s="533">
        <f>SUM('1c.mell '!E167)</f>
        <v>5513067</v>
      </c>
      <c r="K9" s="502"/>
    </row>
    <row r="10" spans="1:11" s="503" customFormat="1" ht="12">
      <c r="A10" s="510" t="s">
        <v>1323</v>
      </c>
      <c r="B10" s="537">
        <v>566625</v>
      </c>
      <c r="C10" s="537">
        <f>SUM('1b.mell '!C224)</f>
        <v>1400</v>
      </c>
      <c r="D10" s="537">
        <f>SUM('1b.mell '!D224)</f>
        <v>131925</v>
      </c>
      <c r="E10" s="537">
        <f>SUM('1b.mell '!E224)</f>
        <v>133505</v>
      </c>
      <c r="F10" s="527" t="s">
        <v>177</v>
      </c>
      <c r="G10" s="990">
        <v>965372</v>
      </c>
      <c r="H10" s="533">
        <f>SUM('1c.mell '!C168)</f>
        <v>1050544</v>
      </c>
      <c r="I10" s="533">
        <f>SUM('1c.mell '!D168)</f>
        <v>976521</v>
      </c>
      <c r="J10" s="533">
        <f>SUM('1c.mell '!E168)</f>
        <v>960940</v>
      </c>
      <c r="K10" s="502"/>
    </row>
    <row r="11" spans="1:11" s="503" customFormat="1" ht="12">
      <c r="A11" s="510" t="s">
        <v>178</v>
      </c>
      <c r="B11" s="537">
        <f>SUM(B12:B16)</f>
        <v>7878410</v>
      </c>
      <c r="C11" s="537">
        <f>SUM(C12:C16)</f>
        <v>8278993</v>
      </c>
      <c r="D11" s="537">
        <f>SUM(D12:D16)</f>
        <v>8674552</v>
      </c>
      <c r="E11" s="537">
        <f>SUM(E12:E16)</f>
        <v>8486460</v>
      </c>
      <c r="F11" s="527" t="s">
        <v>1147</v>
      </c>
      <c r="G11" s="990">
        <v>23230</v>
      </c>
      <c r="H11" s="533">
        <f>SUM('1c.mell '!C169)</f>
        <v>3500</v>
      </c>
      <c r="I11" s="533">
        <f>SUM('1c.mell '!D169)</f>
        <v>24370</v>
      </c>
      <c r="J11" s="533">
        <f>SUM('1c.mell '!E169)</f>
        <v>24646</v>
      </c>
      <c r="K11" s="502"/>
    </row>
    <row r="12" spans="1:11" s="503" customFormat="1" ht="12">
      <c r="A12" s="513" t="s">
        <v>1308</v>
      </c>
      <c r="B12" s="533">
        <v>6230471</v>
      </c>
      <c r="C12" s="533">
        <f>SUM('1b.mell '!C216)</f>
        <v>6231843</v>
      </c>
      <c r="D12" s="533">
        <f>SUM('1b.mell '!D216)</f>
        <v>6654696</v>
      </c>
      <c r="E12" s="533">
        <f>SUM('1b.mell '!E216)</f>
        <v>6629336</v>
      </c>
      <c r="F12" s="527" t="s">
        <v>1369</v>
      </c>
      <c r="G12" s="990">
        <v>502535</v>
      </c>
      <c r="H12" s="533">
        <f>SUM('1c.mell '!C170)</f>
        <v>172860</v>
      </c>
      <c r="I12" s="533">
        <f>SUM('1c.mell '!D170)</f>
        <v>482197</v>
      </c>
      <c r="J12" s="533">
        <f>SUM('1c.mell '!E170)</f>
        <v>475493</v>
      </c>
      <c r="K12" s="502"/>
    </row>
    <row r="13" spans="1:11" s="503" customFormat="1" ht="12">
      <c r="A13" s="513" t="s">
        <v>1159</v>
      </c>
      <c r="B13" s="533">
        <v>716301</v>
      </c>
      <c r="C13" s="533">
        <f>SUM('1b.mell '!C217)</f>
        <v>636680</v>
      </c>
      <c r="D13" s="533">
        <f>SUM('1b.mell '!D217)</f>
        <v>643236</v>
      </c>
      <c r="E13" s="533">
        <f>SUM('1b.mell '!E217)</f>
        <v>643236</v>
      </c>
      <c r="F13" s="541"/>
      <c r="G13" s="991"/>
      <c r="H13" s="661"/>
      <c r="I13" s="542"/>
      <c r="J13" s="542"/>
      <c r="K13" s="502"/>
    </row>
    <row r="14" spans="1:11" s="503" customFormat="1" ht="12">
      <c r="A14" s="513" t="s">
        <v>1385</v>
      </c>
      <c r="B14" s="561">
        <v>887516</v>
      </c>
      <c r="C14" s="561">
        <f>SUM('1b.mell '!C219)</f>
        <v>1021000</v>
      </c>
      <c r="D14" s="533">
        <f>SUM('1b.mell '!D219)</f>
        <v>1021000</v>
      </c>
      <c r="E14" s="533">
        <f>SUM('1b.mell '!E219)</f>
        <v>881802</v>
      </c>
      <c r="F14" s="541"/>
      <c r="G14" s="991"/>
      <c r="H14" s="533"/>
      <c r="I14" s="542"/>
      <c r="J14" s="542"/>
      <c r="K14" s="502"/>
    </row>
    <row r="15" spans="1:11" s="503" customFormat="1" ht="12">
      <c r="A15" s="513" t="s">
        <v>1362</v>
      </c>
      <c r="B15" s="988"/>
      <c r="C15" s="561">
        <f>SUM('1b.mell '!C57)</f>
        <v>8428</v>
      </c>
      <c r="D15" s="533">
        <f>SUM('1b.mell '!D57)</f>
        <v>5641</v>
      </c>
      <c r="E15" s="533">
        <f>SUM('1b.mell '!E57)</f>
        <v>4189</v>
      </c>
      <c r="F15" s="516"/>
      <c r="G15" s="984"/>
      <c r="H15" s="517"/>
      <c r="I15" s="517"/>
      <c r="J15" s="517"/>
      <c r="K15" s="502"/>
    </row>
    <row r="16" spans="1:11" s="503" customFormat="1" ht="12">
      <c r="A16" s="513" t="s">
        <v>1310</v>
      </c>
      <c r="B16" s="533">
        <v>44122</v>
      </c>
      <c r="C16" s="533">
        <f>SUM('1b.mell '!C218)</f>
        <v>381042</v>
      </c>
      <c r="D16" s="533">
        <f>SUM('1b.mell '!D218)</f>
        <v>349979</v>
      </c>
      <c r="E16" s="533">
        <f>SUM('1b.mell '!E218)</f>
        <v>327897</v>
      </c>
      <c r="F16" s="504"/>
      <c r="G16" s="985"/>
      <c r="H16" s="518"/>
      <c r="I16" s="518"/>
      <c r="J16" s="518"/>
      <c r="K16" s="502"/>
    </row>
    <row r="17" spans="1:11" s="503" customFormat="1" ht="12">
      <c r="A17" s="510" t="s">
        <v>1035</v>
      </c>
      <c r="B17" s="537">
        <f>SUM(B18:B23)</f>
        <v>2517252</v>
      </c>
      <c r="C17" s="537">
        <f>SUM(C18:C23)</f>
        <v>2580967</v>
      </c>
      <c r="D17" s="537">
        <f>SUM(D18:D23)</f>
        <v>2584642</v>
      </c>
      <c r="E17" s="537">
        <f>SUM(E18:E23)</f>
        <v>2345105</v>
      </c>
      <c r="F17" s="504"/>
      <c r="G17" s="985"/>
      <c r="H17" s="518"/>
      <c r="I17" s="518"/>
      <c r="J17" s="518"/>
      <c r="K17" s="502"/>
    </row>
    <row r="18" spans="1:11" s="503" customFormat="1" ht="12">
      <c r="A18" s="513" t="s">
        <v>1245</v>
      </c>
      <c r="B18" s="987">
        <v>1081207</v>
      </c>
      <c r="C18" s="533">
        <f>SUM('1b.mell '!C209)</f>
        <v>832116</v>
      </c>
      <c r="D18" s="533">
        <f>SUM('1b.mell '!D209)</f>
        <v>761056</v>
      </c>
      <c r="E18" s="533">
        <f>SUM('1b.mell '!E209)</f>
        <v>755994</v>
      </c>
      <c r="F18" s="504"/>
      <c r="G18" s="985"/>
      <c r="H18" s="518"/>
      <c r="I18" s="518"/>
      <c r="J18" s="518"/>
      <c r="K18" s="502"/>
    </row>
    <row r="19" spans="1:11" s="503" customFormat="1" ht="12">
      <c r="A19" s="513" t="s">
        <v>1363</v>
      </c>
      <c r="B19" s="533">
        <v>220428</v>
      </c>
      <c r="C19" s="533">
        <f>SUM('1b.mell '!C210)</f>
        <v>261817</v>
      </c>
      <c r="D19" s="533">
        <f>SUM('1b.mell '!D210)</f>
        <v>279476</v>
      </c>
      <c r="E19" s="533">
        <f>SUM('1b.mell '!E210)</f>
        <v>241496</v>
      </c>
      <c r="F19" s="504"/>
      <c r="G19" s="985"/>
      <c r="H19" s="518"/>
      <c r="I19" s="518"/>
      <c r="J19" s="518"/>
      <c r="K19" s="502"/>
    </row>
    <row r="20" spans="1:11" s="503" customFormat="1" ht="12">
      <c r="A20" s="513" t="s">
        <v>1246</v>
      </c>
      <c r="B20" s="987">
        <v>108619</v>
      </c>
      <c r="C20" s="533">
        <f>SUM('1b.mell '!C211)</f>
        <v>54332</v>
      </c>
      <c r="D20" s="533">
        <f>SUM('1b.mell '!D211)</f>
        <v>158407</v>
      </c>
      <c r="E20" s="533">
        <f>SUM('1b.mell '!E211)</f>
        <v>153222</v>
      </c>
      <c r="F20" s="504"/>
      <c r="G20" s="985"/>
      <c r="H20" s="518"/>
      <c r="I20" s="518"/>
      <c r="J20" s="518"/>
      <c r="K20" s="502"/>
    </row>
    <row r="21" spans="1:11" s="503" customFormat="1" ht="12">
      <c r="A21" s="513" t="s">
        <v>1345</v>
      </c>
      <c r="B21" s="987">
        <v>279775</v>
      </c>
      <c r="C21" s="533">
        <f>SUM('1b.mell '!C212)</f>
        <v>262093</v>
      </c>
      <c r="D21" s="533">
        <f>SUM('1b.mell '!D212)</f>
        <v>261177</v>
      </c>
      <c r="E21" s="533">
        <f>SUM('1b.mell '!E212)</f>
        <v>258261</v>
      </c>
      <c r="F21" s="504"/>
      <c r="G21" s="985"/>
      <c r="H21" s="518"/>
      <c r="I21" s="518"/>
      <c r="J21" s="518"/>
      <c r="K21" s="502"/>
    </row>
    <row r="22" spans="1:11" s="503" customFormat="1" ht="12">
      <c r="A22" s="513" t="s">
        <v>1247</v>
      </c>
      <c r="B22" s="987">
        <v>787152</v>
      </c>
      <c r="C22" s="987">
        <f>SUM('1b.mell '!C213)</f>
        <v>1140609</v>
      </c>
      <c r="D22" s="987">
        <f>SUM('1b.mell '!D213)</f>
        <v>1094358</v>
      </c>
      <c r="E22" s="987">
        <f>SUM('1b.mell '!E213)</f>
        <v>900922</v>
      </c>
      <c r="F22" s="504"/>
      <c r="G22" s="985"/>
      <c r="H22" s="518"/>
      <c r="I22" s="518"/>
      <c r="J22" s="518"/>
      <c r="K22" s="502"/>
    </row>
    <row r="23" spans="1:11" s="503" customFormat="1" ht="12.75" thickBot="1">
      <c r="A23" s="538" t="s">
        <v>1364</v>
      </c>
      <c r="B23" s="1056">
        <v>40071</v>
      </c>
      <c r="C23" s="1056">
        <f>SUM('1b.mell '!C214)</f>
        <v>30000</v>
      </c>
      <c r="D23" s="1056">
        <f>SUM('1b.mell '!D214)</f>
        <v>30168</v>
      </c>
      <c r="E23" s="1056">
        <f>SUM('1b.mell '!E214)</f>
        <v>35210</v>
      </c>
      <c r="F23" s="504"/>
      <c r="G23" s="985"/>
      <c r="H23" s="518"/>
      <c r="I23" s="518"/>
      <c r="J23" s="518"/>
      <c r="K23" s="502"/>
    </row>
    <row r="24" spans="1:11" s="503" customFormat="1" ht="13.5" thickBot="1" thickTop="1">
      <c r="A24" s="505" t="s">
        <v>1354</v>
      </c>
      <c r="B24" s="536">
        <v>23940</v>
      </c>
      <c r="C24" s="540"/>
      <c r="D24" s="544">
        <f>SUM('1b.mell '!D225)</f>
        <v>9136</v>
      </c>
      <c r="E24" s="544">
        <f>SUM('1b.mell '!E225)</f>
        <v>19401</v>
      </c>
      <c r="F24" s="508"/>
      <c r="G24" s="986"/>
      <c r="H24" s="519"/>
      <c r="I24" s="519"/>
      <c r="J24" s="519"/>
      <c r="K24" s="502"/>
    </row>
    <row r="25" spans="1:11" s="503" customFormat="1" ht="13.5" thickBot="1" thickTop="1">
      <c r="A25" s="505" t="s">
        <v>1365</v>
      </c>
      <c r="B25" s="536">
        <f>SUM(B7+B11+B17+B10+B24)</f>
        <v>13552997</v>
      </c>
      <c r="C25" s="536">
        <f>SUM(C7+C11+C17+C10)</f>
        <v>12892435</v>
      </c>
      <c r="D25" s="536">
        <f>SUM(D7+D11+D17+D10+D24)</f>
        <v>14062820</v>
      </c>
      <c r="E25" s="536">
        <f>SUM(E7+E11+E17+E10+E24)</f>
        <v>13647036</v>
      </c>
      <c r="F25" s="509" t="s">
        <v>1371</v>
      </c>
      <c r="G25" s="536">
        <f>SUM(G7:G24)</f>
        <v>12797574</v>
      </c>
      <c r="H25" s="536">
        <f>SUM(H7:H24)</f>
        <v>12393877</v>
      </c>
      <c r="I25" s="536">
        <f>SUM(I7:I24)</f>
        <v>13466810</v>
      </c>
      <c r="J25" s="536">
        <f>SUM(J7:J24)</f>
        <v>12485179</v>
      </c>
      <c r="K25" s="502"/>
    </row>
    <row r="26" spans="1:11" s="503" customFormat="1" ht="13.5" thickBot="1" thickTop="1">
      <c r="A26" s="520" t="s">
        <v>1133</v>
      </c>
      <c r="B26" s="536"/>
      <c r="C26" s="506"/>
      <c r="D26" s="506"/>
      <c r="E26" s="536">
        <f>SUM('1b.mell '!E226)</f>
        <v>222483</v>
      </c>
      <c r="F26" s="505" t="s">
        <v>1375</v>
      </c>
      <c r="G26" s="992"/>
      <c r="H26" s="519"/>
      <c r="I26" s="519"/>
      <c r="J26" s="519"/>
      <c r="K26" s="502"/>
    </row>
    <row r="27" spans="1:11" s="503" customFormat="1" ht="13.5" thickBot="1" thickTop="1">
      <c r="A27" s="514" t="s">
        <v>1380</v>
      </c>
      <c r="B27" s="636"/>
      <c r="C27" s="515"/>
      <c r="D27" s="636">
        <f>SUM('1b.mell '!D242)</f>
        <v>387331</v>
      </c>
      <c r="E27" s="636">
        <f>SUM('1b.mell '!E242)</f>
        <v>387331</v>
      </c>
      <c r="F27" s="522" t="s">
        <v>1387</v>
      </c>
      <c r="G27" s="545"/>
      <c r="H27" s="545">
        <f>SUM('6.mell. '!C12)</f>
        <v>40591</v>
      </c>
      <c r="I27" s="545">
        <f>SUM('1c.mell '!D181)</f>
        <v>1624</v>
      </c>
      <c r="J27" s="545">
        <f>SUM('1c.mell '!E181)</f>
        <v>0</v>
      </c>
      <c r="K27" s="502"/>
    </row>
    <row r="28" spans="1:11" s="503" customFormat="1" ht="13.5" thickBot="1" thickTop="1">
      <c r="A28" s="505"/>
      <c r="B28" s="536"/>
      <c r="C28" s="506"/>
      <c r="D28" s="506"/>
      <c r="E28" s="506"/>
      <c r="F28" s="508" t="s">
        <v>1388</v>
      </c>
      <c r="G28" s="539"/>
      <c r="H28" s="546">
        <f>SUM('6.mell. '!C23)-'6.mell. '!C12</f>
        <v>167268</v>
      </c>
      <c r="I28" s="546">
        <f>SUM('1c.mell '!D183)</f>
        <v>0</v>
      </c>
      <c r="J28" s="546">
        <f>SUM('1c.mell '!E183)</f>
        <v>0</v>
      </c>
      <c r="K28" s="502"/>
    </row>
    <row r="29" spans="1:11" s="503" customFormat="1" ht="13.5" thickBot="1" thickTop="1">
      <c r="A29" s="505" t="s">
        <v>179</v>
      </c>
      <c r="B29" s="536">
        <f>SUM(B25)</f>
        <v>13552997</v>
      </c>
      <c r="C29" s="536">
        <f>SUM(C25)</f>
        <v>12892435</v>
      </c>
      <c r="D29" s="536">
        <f>SUM(D25+D27)</f>
        <v>14450151</v>
      </c>
      <c r="E29" s="536">
        <f>SUM(E25+E27+E26)</f>
        <v>14256850</v>
      </c>
      <c r="F29" s="509" t="s">
        <v>180</v>
      </c>
      <c r="G29" s="536">
        <f>SUM(G25+G27+G28)</f>
        <v>12797574</v>
      </c>
      <c r="H29" s="536">
        <f>SUM(H25+H27+H28)</f>
        <v>12601736</v>
      </c>
      <c r="I29" s="536">
        <f>SUM(I25+I27+I28)</f>
        <v>13468434</v>
      </c>
      <c r="J29" s="536">
        <f>SUM(J25+J27+J28)</f>
        <v>12485179</v>
      </c>
      <c r="K29" s="502"/>
    </row>
    <row r="30" spans="1:11" s="503" customFormat="1" ht="13.5" thickBot="1" thickTop="1">
      <c r="A30" s="550"/>
      <c r="B30" s="544"/>
      <c r="C30" s="524"/>
      <c r="D30" s="524"/>
      <c r="E30" s="524"/>
      <c r="F30" s="525"/>
      <c r="G30" s="993"/>
      <c r="H30" s="529"/>
      <c r="I30" s="529"/>
      <c r="J30" s="529"/>
      <c r="K30" s="502"/>
    </row>
    <row r="31" spans="1:11" s="503" customFormat="1" ht="12.75" thickTop="1">
      <c r="A31" s="523" t="s">
        <v>1326</v>
      </c>
      <c r="B31" s="543">
        <v>756560</v>
      </c>
      <c r="C31" s="543">
        <f>SUM('1b.mell '!C230)</f>
        <v>1410000</v>
      </c>
      <c r="D31" s="543">
        <f>SUM('1b.mell '!D230)</f>
        <v>999421</v>
      </c>
      <c r="E31" s="543">
        <f>SUM('1b.mell '!E230)</f>
        <v>816696</v>
      </c>
      <c r="F31" s="521" t="s">
        <v>1372</v>
      </c>
      <c r="G31" s="994">
        <v>1190332</v>
      </c>
      <c r="H31" s="545">
        <f>SUM('1c.mell '!C173)</f>
        <v>2210792</v>
      </c>
      <c r="I31" s="545">
        <f>SUM('1c.mell '!D173)</f>
        <v>2359302</v>
      </c>
      <c r="J31" s="545">
        <f>SUM('1c.mell '!E173)</f>
        <v>1673514</v>
      </c>
      <c r="K31" s="502"/>
    </row>
    <row r="32" spans="1:11" s="503" customFormat="1" ht="12">
      <c r="A32" s="510" t="s">
        <v>1366</v>
      </c>
      <c r="B32" s="543">
        <v>693715</v>
      </c>
      <c r="C32" s="543">
        <f>SUM('1b.mell '!C234)</f>
        <v>1301002</v>
      </c>
      <c r="D32" s="543">
        <f>SUM('1b.mell '!D234)</f>
        <v>1146511</v>
      </c>
      <c r="E32" s="543">
        <f>SUM('1b.mell '!E234)</f>
        <v>826886</v>
      </c>
      <c r="F32" s="512" t="s">
        <v>1373</v>
      </c>
      <c r="G32" s="990">
        <v>305927</v>
      </c>
      <c r="H32" s="533">
        <f>SUM('1c.mell '!C174)</f>
        <v>695186</v>
      </c>
      <c r="I32" s="533">
        <f>SUM('1c.mell '!D174)</f>
        <v>927837</v>
      </c>
      <c r="J32" s="533">
        <f>SUM('1c.mell '!E174)</f>
        <v>342536</v>
      </c>
      <c r="K32" s="502"/>
    </row>
    <row r="33" spans="1:11" s="503" customFormat="1" ht="12">
      <c r="A33" s="510" t="s">
        <v>1367</v>
      </c>
      <c r="B33" s="537">
        <v>5703</v>
      </c>
      <c r="C33" s="511"/>
      <c r="D33" s="537">
        <f>SUM('1b.mell '!D235)</f>
        <v>6506</v>
      </c>
      <c r="E33" s="537">
        <f>SUM('1b.mell '!E235)</f>
        <v>6506</v>
      </c>
      <c r="F33" s="511" t="s">
        <v>1151</v>
      </c>
      <c r="G33" s="533">
        <v>1033727</v>
      </c>
      <c r="H33" s="533">
        <f>SUM('1c.mell '!C175)</f>
        <v>720000</v>
      </c>
      <c r="I33" s="533">
        <f>SUM('1c.mell '!D175)</f>
        <v>695187</v>
      </c>
      <c r="J33" s="533">
        <f>SUM('1c.mell '!E175)</f>
        <v>537812</v>
      </c>
      <c r="K33" s="502"/>
    </row>
    <row r="34" spans="1:11" s="503" customFormat="1" ht="12.75" thickBot="1">
      <c r="A34" s="514" t="s">
        <v>1386</v>
      </c>
      <c r="B34" s="610">
        <v>1038649</v>
      </c>
      <c r="C34" s="543">
        <f>SUM('1b.mell '!C243)</f>
        <v>400000</v>
      </c>
      <c r="D34" s="543">
        <f>SUM('1b.mell '!D243)</f>
        <v>632303</v>
      </c>
      <c r="E34" s="543">
        <f>SUM('1b.mell '!E243)</f>
        <v>632303</v>
      </c>
      <c r="F34" s="502"/>
      <c r="G34" s="995"/>
      <c r="H34" s="517"/>
      <c r="I34" s="517"/>
      <c r="J34" s="517"/>
      <c r="K34" s="502"/>
    </row>
    <row r="35" spans="1:11" s="503" customFormat="1" ht="13.5" thickBot="1" thickTop="1">
      <c r="A35" s="505" t="s">
        <v>1368</v>
      </c>
      <c r="B35" s="544">
        <f>SUM(B31:B34)</f>
        <v>2494627</v>
      </c>
      <c r="C35" s="544">
        <f>SUM(C31:C34)</f>
        <v>3111002</v>
      </c>
      <c r="D35" s="544">
        <f>SUM(D31:D34)</f>
        <v>2784741</v>
      </c>
      <c r="E35" s="544">
        <f>SUM(E31:E34)</f>
        <v>2282391</v>
      </c>
      <c r="F35" s="520" t="s">
        <v>1374</v>
      </c>
      <c r="G35" s="544">
        <f>SUM(G31:G33)</f>
        <v>2529986</v>
      </c>
      <c r="H35" s="544">
        <f>SUM(H31:H33)</f>
        <v>3625978</v>
      </c>
      <c r="I35" s="544">
        <f>SUM(I31:I33)</f>
        <v>3982326</v>
      </c>
      <c r="J35" s="544">
        <f>SUM(J31:J33)</f>
        <v>2553862</v>
      </c>
      <c r="K35" s="502"/>
    </row>
    <row r="36" spans="1:11" s="503" customFormat="1" ht="13.5" thickBot="1" thickTop="1">
      <c r="A36" s="520" t="s">
        <v>1378</v>
      </c>
      <c r="B36" s="536">
        <v>54708</v>
      </c>
      <c r="C36" s="536">
        <f>SUM('1b.mell '!C239)</f>
        <v>65000</v>
      </c>
      <c r="D36" s="536">
        <f>SUM('1b.mell '!D239)</f>
        <v>65076</v>
      </c>
      <c r="E36" s="536">
        <f>SUM('1b.mell '!E239)</f>
        <v>55624</v>
      </c>
      <c r="F36" s="505" t="s">
        <v>1376</v>
      </c>
      <c r="G36" s="536">
        <v>33194</v>
      </c>
      <c r="H36" s="544">
        <f>SUM('1c.mell '!C180)</f>
        <v>82057</v>
      </c>
      <c r="I36" s="544">
        <f>SUM('1c.mell '!D180)</f>
        <v>84498</v>
      </c>
      <c r="J36" s="544">
        <f>SUM('1c.mell '!E180)</f>
        <v>71249</v>
      </c>
      <c r="K36" s="502"/>
    </row>
    <row r="37" spans="1:11" s="503" customFormat="1" ht="12.75" thickTop="1">
      <c r="A37" s="528"/>
      <c r="B37" s="610"/>
      <c r="C37" s="610"/>
      <c r="D37" s="610"/>
      <c r="E37" s="610"/>
      <c r="F37" s="528" t="s">
        <v>227</v>
      </c>
      <c r="G37" s="611"/>
      <c r="H37" s="611"/>
      <c r="I37" s="611">
        <f>SUM('1c.mell '!D184)</f>
        <v>6044</v>
      </c>
      <c r="J37" s="611">
        <f>SUM('1c.mell '!E184)</f>
        <v>0</v>
      </c>
      <c r="K37" s="502"/>
    </row>
    <row r="38" spans="1:10" ht="12.75">
      <c r="A38" s="510" t="s">
        <v>1381</v>
      </c>
      <c r="B38" s="537">
        <v>900000</v>
      </c>
      <c r="C38" s="537">
        <f>SUM('1b.mell '!C245)</f>
        <v>870000</v>
      </c>
      <c r="D38" s="537">
        <f>SUM('1b.mell '!D245)</f>
        <v>870000</v>
      </c>
      <c r="E38" s="537">
        <f>SUM('1b.mell '!E245)</f>
        <v>870000</v>
      </c>
      <c r="F38" s="510" t="s">
        <v>1389</v>
      </c>
      <c r="G38" s="543">
        <v>597639</v>
      </c>
      <c r="H38" s="549">
        <f>SUM('1c.mell '!C187)</f>
        <v>628666</v>
      </c>
      <c r="I38" s="549">
        <f>SUM('1c.mell '!D187)</f>
        <v>628666</v>
      </c>
      <c r="J38" s="549">
        <f>SUM('1c.mell '!E187)</f>
        <v>458999</v>
      </c>
    </row>
    <row r="39" spans="1:10" ht="13.5" thickBot="1">
      <c r="A39" s="528"/>
      <c r="B39" s="610"/>
      <c r="C39" s="530"/>
      <c r="D39" s="530"/>
      <c r="E39" s="530"/>
      <c r="F39" s="528"/>
      <c r="G39" s="610"/>
      <c r="H39" s="530"/>
      <c r="I39" s="530"/>
      <c r="J39" s="530"/>
    </row>
    <row r="40" spans="1:10" ht="14.25" thickBot="1" thickTop="1">
      <c r="A40" s="507" t="s">
        <v>181</v>
      </c>
      <c r="B40" s="547">
        <f>SUM(B35+B36+B38)</f>
        <v>3449335</v>
      </c>
      <c r="C40" s="547">
        <f>SUM(C35+C36+C38)</f>
        <v>4046002</v>
      </c>
      <c r="D40" s="547">
        <f>SUM(D35+D36+D38)</f>
        <v>3719817</v>
      </c>
      <c r="E40" s="547">
        <f>SUM(E35+E36+E38)</f>
        <v>3208015</v>
      </c>
      <c r="F40" s="507" t="s">
        <v>182</v>
      </c>
      <c r="G40" s="547">
        <f>SUM(G35+G36+G38)</f>
        <v>3160819</v>
      </c>
      <c r="H40" s="547">
        <f>SUM(H35+H36+H38)</f>
        <v>4336701</v>
      </c>
      <c r="I40" s="547">
        <f>SUM(I35+I36+I38+I37)</f>
        <v>4701534</v>
      </c>
      <c r="J40" s="547">
        <f>SUM(J35+J36+J38+J37)</f>
        <v>3084110</v>
      </c>
    </row>
    <row r="41" spans="1:10" ht="14.25" thickBot="1" thickTop="1">
      <c r="A41" s="520" t="s">
        <v>1131</v>
      </c>
      <c r="B41" s="544">
        <v>-245386</v>
      </c>
      <c r="C41" s="532"/>
      <c r="D41" s="532"/>
      <c r="E41" s="1053">
        <f>SUM('1b.mell '!E249+'1b.mell '!E250+'1b.mell '!E252)</f>
        <v>298563</v>
      </c>
      <c r="F41" s="531" t="s">
        <v>1132</v>
      </c>
      <c r="G41" s="544">
        <v>-284594</v>
      </c>
      <c r="H41" s="532"/>
      <c r="I41" s="532"/>
      <c r="J41" s="1053">
        <f>SUM('1c.mell '!E188)</f>
        <v>418495</v>
      </c>
    </row>
    <row r="42" spans="1:10" ht="15.75" thickBot="1" thickTop="1">
      <c r="A42" s="551" t="s">
        <v>990</v>
      </c>
      <c r="B42" s="548">
        <f>SUM(B40+B25+B41)</f>
        <v>16756946</v>
      </c>
      <c r="C42" s="548">
        <f>SUM(C40+C25)</f>
        <v>16938437</v>
      </c>
      <c r="D42" s="548">
        <f>SUM(D40+D29)</f>
        <v>18169968</v>
      </c>
      <c r="E42" s="548">
        <f>SUM(E40+E29+E41)</f>
        <v>17763428</v>
      </c>
      <c r="F42" s="526" t="s">
        <v>990</v>
      </c>
      <c r="G42" s="548">
        <f>SUM(G40+G29+G41)</f>
        <v>15673799</v>
      </c>
      <c r="H42" s="548">
        <f>SUM(H40+H29)</f>
        <v>16938437</v>
      </c>
      <c r="I42" s="548">
        <f>SUM(I40+I29)</f>
        <v>18169968</v>
      </c>
      <c r="J42" s="548">
        <f>SUM(J40+J29+J41)</f>
        <v>15987784</v>
      </c>
    </row>
    <row r="43" spans="1:2" ht="15.75" thickTop="1">
      <c r="A43" s="501"/>
      <c r="B43" s="501"/>
    </row>
    <row r="44" spans="1:2" ht="15">
      <c r="A44" s="501"/>
      <c r="B44" s="501"/>
    </row>
    <row r="45" spans="1:2" ht="15">
      <c r="A45" s="501"/>
      <c r="B45" s="501"/>
    </row>
  </sheetData>
  <sheetProtection/>
  <mergeCells count="12">
    <mergeCell ref="A2:J2"/>
    <mergeCell ref="A3:J3"/>
    <mergeCell ref="J5:J6"/>
    <mergeCell ref="I5:I6"/>
    <mergeCell ref="A5:A6"/>
    <mergeCell ref="C5:C6"/>
    <mergeCell ref="F5:F6"/>
    <mergeCell ref="H5:H6"/>
    <mergeCell ref="D5:D6"/>
    <mergeCell ref="B5:B6"/>
    <mergeCell ref="G5:G6"/>
    <mergeCell ref="E5:E6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4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showZeros="0" zoomScalePageLayoutView="0" workbookViewId="0" topLeftCell="A1">
      <selection activeCell="G55" sqref="G55"/>
    </sheetView>
  </sheetViews>
  <sheetFormatPr defaultColWidth="9.00390625" defaultRowHeight="12.75"/>
  <cols>
    <col min="1" max="1" width="6.125" style="68" customWidth="1"/>
    <col min="2" max="2" width="52.00390625" style="68" customWidth="1"/>
    <col min="3" max="3" width="13.125" style="29" customWidth="1"/>
    <col min="4" max="5" width="12.375" style="29" customWidth="1"/>
    <col min="6" max="6" width="10.625" style="29" customWidth="1"/>
    <col min="7" max="7" width="28.00390625" style="68" customWidth="1"/>
    <col min="8" max="16384" width="9.125" style="68" customWidth="1"/>
  </cols>
  <sheetData>
    <row r="1" spans="1:8" s="66" customFormat="1" ht="12.75">
      <c r="A1" s="1259" t="s">
        <v>987</v>
      </c>
      <c r="B1" s="1271"/>
      <c r="C1" s="1271"/>
      <c r="D1" s="1271"/>
      <c r="E1" s="1271"/>
      <c r="F1" s="1271"/>
      <c r="G1" s="1271"/>
      <c r="H1" s="210"/>
    </row>
    <row r="2" spans="1:8" s="66" customFormat="1" ht="12.75">
      <c r="A2" s="1289" t="s">
        <v>1242</v>
      </c>
      <c r="B2" s="1268"/>
      <c r="C2" s="1268"/>
      <c r="D2" s="1268"/>
      <c r="E2" s="1268"/>
      <c r="F2" s="1268"/>
      <c r="G2" s="1268"/>
      <c r="H2" s="149"/>
    </row>
    <row r="3" spans="1:7" s="66" customFormat="1" ht="12">
      <c r="A3" s="135"/>
      <c r="B3" s="135"/>
      <c r="C3" s="153"/>
      <c r="D3" s="584"/>
      <c r="E3" s="584"/>
      <c r="F3" s="584"/>
      <c r="G3" s="207" t="s">
        <v>1060</v>
      </c>
    </row>
    <row r="4" spans="1:7" ht="12" customHeight="1">
      <c r="A4" s="51"/>
      <c r="B4" s="127"/>
      <c r="C4" s="205" t="s">
        <v>930</v>
      </c>
      <c r="D4" s="1263" t="s">
        <v>302</v>
      </c>
      <c r="E4" s="1263" t="s">
        <v>850</v>
      </c>
      <c r="F4" s="1263" t="s">
        <v>267</v>
      </c>
      <c r="G4" s="3" t="s">
        <v>982</v>
      </c>
    </row>
    <row r="5" spans="1:7" ht="12" customHeight="1">
      <c r="A5" s="15" t="s">
        <v>1097</v>
      </c>
      <c r="B5" s="128" t="s">
        <v>980</v>
      </c>
      <c r="C5" s="15" t="s">
        <v>194</v>
      </c>
      <c r="D5" s="1278"/>
      <c r="E5" s="1278"/>
      <c r="F5" s="1278"/>
      <c r="G5" s="15" t="s">
        <v>983</v>
      </c>
    </row>
    <row r="6" spans="1:7" s="66" customFormat="1" ht="12.75" customHeight="1" thickBot="1">
      <c r="A6" s="15"/>
      <c r="B6" s="52"/>
      <c r="C6" s="52" t="s">
        <v>195</v>
      </c>
      <c r="D6" s="1279"/>
      <c r="E6" s="1279"/>
      <c r="F6" s="1283"/>
      <c r="G6" s="52"/>
    </row>
    <row r="7" spans="1:7" s="66" customFormat="1" ht="12">
      <c r="A7" s="69" t="s">
        <v>1016</v>
      </c>
      <c r="B7" s="69" t="s">
        <v>1017</v>
      </c>
      <c r="C7" s="3" t="s">
        <v>1018</v>
      </c>
      <c r="D7" s="3" t="s">
        <v>1019</v>
      </c>
      <c r="E7" s="3" t="s">
        <v>1020</v>
      </c>
      <c r="F7" s="3" t="s">
        <v>1148</v>
      </c>
      <c r="G7" s="15" t="s">
        <v>229</v>
      </c>
    </row>
    <row r="8" spans="1:7" s="66" customFormat="1" ht="12.75">
      <c r="A8" s="22"/>
      <c r="B8" s="337" t="s">
        <v>1196</v>
      </c>
      <c r="C8" s="5"/>
      <c r="D8" s="5"/>
      <c r="E8" s="5"/>
      <c r="F8" s="5"/>
      <c r="G8" s="106"/>
    </row>
    <row r="9" spans="1:7" ht="12">
      <c r="A9" s="15"/>
      <c r="B9" s="79" t="s">
        <v>988</v>
      </c>
      <c r="C9" s="152"/>
      <c r="D9" s="152"/>
      <c r="E9" s="152"/>
      <c r="F9" s="152"/>
      <c r="G9" s="58"/>
    </row>
    <row r="10" spans="1:7" ht="12">
      <c r="A10" s="154">
        <v>5011</v>
      </c>
      <c r="B10" s="155" t="s">
        <v>1045</v>
      </c>
      <c r="C10" s="173"/>
      <c r="D10" s="173">
        <v>11000</v>
      </c>
      <c r="E10" s="173"/>
      <c r="F10" s="574">
        <f>SUM(E10/D10)</f>
        <v>0</v>
      </c>
      <c r="G10" s="58"/>
    </row>
    <row r="11" spans="1:7" ht="12">
      <c r="A11" s="22">
        <v>5010</v>
      </c>
      <c r="B11" s="146" t="s">
        <v>1046</v>
      </c>
      <c r="C11" s="6">
        <f>SUM(C10:C10)</f>
        <v>0</v>
      </c>
      <c r="D11" s="6">
        <f>SUM(D10:D10)</f>
        <v>11000</v>
      </c>
      <c r="E11" s="6"/>
      <c r="F11" s="933">
        <f aca="true" t="shared" si="0" ref="F11:F56">SUM(E11/D11)</f>
        <v>0</v>
      </c>
      <c r="G11" s="74"/>
    </row>
    <row r="12" spans="1:7" s="66" customFormat="1" ht="12">
      <c r="A12" s="15"/>
      <c r="B12" s="79" t="s">
        <v>918</v>
      </c>
      <c r="C12" s="145"/>
      <c r="D12" s="145"/>
      <c r="E12" s="145"/>
      <c r="F12" s="574"/>
      <c r="G12" s="65"/>
    </row>
    <row r="13" spans="1:7" ht="12">
      <c r="A13" s="154">
        <v>5021</v>
      </c>
      <c r="B13" s="155" t="s">
        <v>1186</v>
      </c>
      <c r="C13" s="156">
        <v>15000</v>
      </c>
      <c r="D13" s="156">
        <v>24145</v>
      </c>
      <c r="E13" s="156">
        <v>24145</v>
      </c>
      <c r="F13" s="574">
        <f t="shared" si="0"/>
        <v>1</v>
      </c>
      <c r="G13" s="58"/>
    </row>
    <row r="14" spans="1:7" s="66" customFormat="1" ht="12">
      <c r="A14" s="22">
        <v>5020</v>
      </c>
      <c r="B14" s="146" t="s">
        <v>1046</v>
      </c>
      <c r="C14" s="6">
        <f>SUM(C13:C13)</f>
        <v>15000</v>
      </c>
      <c r="D14" s="6">
        <f>SUM(D13:D13)</f>
        <v>24145</v>
      </c>
      <c r="E14" s="6">
        <f>SUM(E13:E13)</f>
        <v>24145</v>
      </c>
      <c r="F14" s="573">
        <f t="shared" si="0"/>
        <v>1</v>
      </c>
      <c r="G14" s="201"/>
    </row>
    <row r="15" spans="1:7" s="66" customFormat="1" ht="12" customHeight="1">
      <c r="A15" s="15"/>
      <c r="B15" s="79" t="s">
        <v>926</v>
      </c>
      <c r="C15" s="145"/>
      <c r="D15" s="145"/>
      <c r="E15" s="145"/>
      <c r="F15" s="574"/>
      <c r="G15" s="65"/>
    </row>
    <row r="16" spans="1:7" ht="12">
      <c r="A16" s="154">
        <v>5032</v>
      </c>
      <c r="B16" s="155" t="s">
        <v>995</v>
      </c>
      <c r="C16" s="156">
        <v>5000</v>
      </c>
      <c r="D16" s="156">
        <v>13417</v>
      </c>
      <c r="E16" s="156"/>
      <c r="F16" s="574">
        <f t="shared" si="0"/>
        <v>0</v>
      </c>
      <c r="G16" s="58"/>
    </row>
    <row r="17" spans="1:7" ht="12">
      <c r="A17" s="154">
        <v>5033</v>
      </c>
      <c r="B17" s="155" t="s">
        <v>257</v>
      </c>
      <c r="C17" s="156"/>
      <c r="D17" s="156">
        <v>48324</v>
      </c>
      <c r="E17" s="156">
        <v>22161</v>
      </c>
      <c r="F17" s="574">
        <f t="shared" si="0"/>
        <v>0.458592003973181</v>
      </c>
      <c r="G17" s="58"/>
    </row>
    <row r="18" spans="1:7" ht="12">
      <c r="A18" s="154">
        <v>5036</v>
      </c>
      <c r="B18" s="155" t="s">
        <v>1029</v>
      </c>
      <c r="C18" s="156">
        <v>6000</v>
      </c>
      <c r="D18" s="156">
        <v>6000</v>
      </c>
      <c r="E18" s="156">
        <v>5358</v>
      </c>
      <c r="F18" s="574">
        <f t="shared" si="0"/>
        <v>0.893</v>
      </c>
      <c r="G18" s="58"/>
    </row>
    <row r="19" spans="1:7" ht="12">
      <c r="A19" s="154">
        <v>5037</v>
      </c>
      <c r="B19" s="155" t="s">
        <v>292</v>
      </c>
      <c r="C19" s="156"/>
      <c r="D19" s="156">
        <v>25000</v>
      </c>
      <c r="E19" s="156">
        <v>25000</v>
      </c>
      <c r="F19" s="574">
        <f t="shared" si="0"/>
        <v>1</v>
      </c>
      <c r="G19" s="58"/>
    </row>
    <row r="20" spans="1:7" ht="12" customHeight="1">
      <c r="A20" s="22">
        <v>5030</v>
      </c>
      <c r="B20" s="146" t="s">
        <v>1046</v>
      </c>
      <c r="C20" s="6">
        <f>SUM(C16:C18)</f>
        <v>11000</v>
      </c>
      <c r="D20" s="6">
        <f>SUM(D16:D19)</f>
        <v>92741</v>
      </c>
      <c r="E20" s="6">
        <f>SUM(E16:E19)</f>
        <v>52519</v>
      </c>
      <c r="F20" s="573">
        <f t="shared" si="0"/>
        <v>0.5662975383056038</v>
      </c>
      <c r="G20" s="201"/>
    </row>
    <row r="21" spans="1:7" ht="12" customHeight="1">
      <c r="A21" s="51"/>
      <c r="B21" s="144" t="s">
        <v>300</v>
      </c>
      <c r="C21" s="145"/>
      <c r="D21" s="145"/>
      <c r="E21" s="145"/>
      <c r="F21" s="574"/>
      <c r="G21" s="58"/>
    </row>
    <row r="22" spans="1:7" ht="12" customHeight="1">
      <c r="A22" s="161">
        <v>5041</v>
      </c>
      <c r="B22" s="163" t="s">
        <v>1119</v>
      </c>
      <c r="C22" s="145">
        <v>462663</v>
      </c>
      <c r="D22" s="145">
        <v>515059</v>
      </c>
      <c r="E22" s="145">
        <v>94635</v>
      </c>
      <c r="F22" s="574">
        <f t="shared" si="0"/>
        <v>0.18373623215981083</v>
      </c>
      <c r="G22" s="58"/>
    </row>
    <row r="23" spans="1:7" ht="12" customHeight="1">
      <c r="A23" s="161"/>
      <c r="B23" s="621" t="s">
        <v>298</v>
      </c>
      <c r="C23" s="145"/>
      <c r="D23" s="664">
        <v>511670</v>
      </c>
      <c r="E23" s="664">
        <v>91246</v>
      </c>
      <c r="F23" s="944">
        <f t="shared" si="0"/>
        <v>0.17832978286786405</v>
      </c>
      <c r="G23" s="58"/>
    </row>
    <row r="24" spans="1:7" ht="12" customHeight="1">
      <c r="A24" s="161"/>
      <c r="B24" s="621" t="s">
        <v>245</v>
      </c>
      <c r="C24" s="145"/>
      <c r="D24" s="664">
        <v>3389</v>
      </c>
      <c r="E24" s="664">
        <v>3389</v>
      </c>
      <c r="F24" s="944">
        <f t="shared" si="0"/>
        <v>1</v>
      </c>
      <c r="G24" s="58"/>
    </row>
    <row r="25" spans="1:7" ht="12">
      <c r="A25" s="154">
        <v>5042</v>
      </c>
      <c r="B25" s="155" t="s">
        <v>1028</v>
      </c>
      <c r="C25" s="156">
        <v>60000</v>
      </c>
      <c r="D25" s="156">
        <v>43640</v>
      </c>
      <c r="E25" s="156">
        <v>43639</v>
      </c>
      <c r="F25" s="574">
        <f t="shared" si="0"/>
        <v>0.9999770852428964</v>
      </c>
      <c r="G25" s="58"/>
    </row>
    <row r="26" spans="1:7" ht="12">
      <c r="A26" s="154"/>
      <c r="B26" s="621" t="s">
        <v>246</v>
      </c>
      <c r="C26" s="156"/>
      <c r="D26" s="665">
        <v>28849</v>
      </c>
      <c r="E26" s="665">
        <v>28849</v>
      </c>
      <c r="F26" s="944">
        <f t="shared" si="0"/>
        <v>1</v>
      </c>
      <c r="G26" s="58"/>
    </row>
    <row r="27" spans="1:7" ht="12">
      <c r="A27" s="154"/>
      <c r="B27" s="621" t="s">
        <v>247</v>
      </c>
      <c r="C27" s="156"/>
      <c r="D27" s="665">
        <v>13136</v>
      </c>
      <c r="E27" s="665">
        <v>13135</v>
      </c>
      <c r="F27" s="944">
        <f t="shared" si="0"/>
        <v>0.9999238733252132</v>
      </c>
      <c r="G27" s="58"/>
    </row>
    <row r="28" spans="1:7" ht="12">
      <c r="A28" s="154"/>
      <c r="B28" s="621" t="s">
        <v>245</v>
      </c>
      <c r="C28" s="156"/>
      <c r="D28" s="665">
        <v>1655</v>
      </c>
      <c r="E28" s="665">
        <v>1655</v>
      </c>
      <c r="F28" s="944">
        <f t="shared" si="0"/>
        <v>1</v>
      </c>
      <c r="G28" s="58"/>
    </row>
    <row r="29" spans="1:7" ht="12">
      <c r="A29" s="154">
        <v>5043</v>
      </c>
      <c r="B29" s="155" t="s">
        <v>209</v>
      </c>
      <c r="C29" s="156"/>
      <c r="D29" s="156">
        <v>2000</v>
      </c>
      <c r="E29" s="156"/>
      <c r="F29" s="574">
        <f t="shared" si="0"/>
        <v>0</v>
      </c>
      <c r="G29" s="58"/>
    </row>
    <row r="30" spans="1:7" ht="12">
      <c r="A30" s="154">
        <v>5044</v>
      </c>
      <c r="B30" s="155" t="s">
        <v>272</v>
      </c>
      <c r="C30" s="156"/>
      <c r="D30" s="156">
        <v>7402</v>
      </c>
      <c r="E30" s="156">
        <v>1281</v>
      </c>
      <c r="F30" s="574">
        <f t="shared" si="0"/>
        <v>0.1730613347743853</v>
      </c>
      <c r="G30" s="58"/>
    </row>
    <row r="31" spans="1:7" ht="12">
      <c r="A31" s="154"/>
      <c r="B31" s="621" t="s">
        <v>298</v>
      </c>
      <c r="C31" s="156"/>
      <c r="D31" s="665">
        <v>6121</v>
      </c>
      <c r="E31" s="665"/>
      <c r="F31" s="574">
        <f t="shared" si="0"/>
        <v>0</v>
      </c>
      <c r="G31" s="58"/>
    </row>
    <row r="32" spans="1:7" ht="12">
      <c r="A32" s="154"/>
      <c r="B32" s="621" t="s">
        <v>299</v>
      </c>
      <c r="C32" s="156"/>
      <c r="D32" s="665">
        <v>1281</v>
      </c>
      <c r="E32" s="665">
        <v>1281</v>
      </c>
      <c r="F32" s="944">
        <f t="shared" si="0"/>
        <v>1</v>
      </c>
      <c r="G32" s="58"/>
    </row>
    <row r="33" spans="1:7" ht="12">
      <c r="A33" s="154">
        <v>5046</v>
      </c>
      <c r="B33" s="155" t="s">
        <v>205</v>
      </c>
      <c r="C33" s="156"/>
      <c r="D33" s="156"/>
      <c r="E33" s="156"/>
      <c r="F33" s="574"/>
      <c r="G33" s="58"/>
    </row>
    <row r="34" spans="1:7" ht="12">
      <c r="A34" s="22">
        <v>5040</v>
      </c>
      <c r="B34" s="146" t="s">
        <v>1046</v>
      </c>
      <c r="C34" s="6">
        <f>SUM(C22:C25)</f>
        <v>522663</v>
      </c>
      <c r="D34" s="6">
        <f>SUM(D22+D25+D29+D30)</f>
        <v>568101</v>
      </c>
      <c r="E34" s="6">
        <f>SUM(E22+E25+E29+E30)</f>
        <v>139555</v>
      </c>
      <c r="F34" s="573">
        <f t="shared" si="0"/>
        <v>0.2456517415037115</v>
      </c>
      <c r="G34" s="201"/>
    </row>
    <row r="35" spans="1:7" ht="12.75">
      <c r="A35" s="22"/>
      <c r="B35" s="337" t="s">
        <v>1197</v>
      </c>
      <c r="C35" s="5"/>
      <c r="D35" s="5"/>
      <c r="E35" s="5"/>
      <c r="F35" s="933"/>
      <c r="G35" s="106"/>
    </row>
    <row r="36" spans="1:7" ht="12">
      <c r="A36" s="15"/>
      <c r="B36" s="79" t="s">
        <v>926</v>
      </c>
      <c r="C36" s="35"/>
      <c r="D36" s="35"/>
      <c r="E36" s="35"/>
      <c r="F36" s="574"/>
      <c r="G36" s="234"/>
    </row>
    <row r="37" spans="1:7" ht="12">
      <c r="A37" s="154">
        <v>5051</v>
      </c>
      <c r="B37" s="155" t="s">
        <v>1026</v>
      </c>
      <c r="C37" s="156">
        <v>20000</v>
      </c>
      <c r="D37" s="156">
        <v>0</v>
      </c>
      <c r="E37" s="156"/>
      <c r="F37" s="574"/>
      <c r="G37" s="234"/>
    </row>
    <row r="38" spans="1:7" ht="12">
      <c r="A38" s="154">
        <v>5052</v>
      </c>
      <c r="B38" s="155" t="s">
        <v>1198</v>
      </c>
      <c r="C38" s="156">
        <v>22500</v>
      </c>
      <c r="D38" s="156"/>
      <c r="E38" s="156"/>
      <c r="F38" s="574"/>
      <c r="G38" s="234"/>
    </row>
    <row r="39" spans="1:7" ht="12">
      <c r="A39" s="154">
        <v>5053</v>
      </c>
      <c r="B39" s="155" t="s">
        <v>1027</v>
      </c>
      <c r="C39" s="156">
        <v>2500</v>
      </c>
      <c r="D39" s="156">
        <v>10160</v>
      </c>
      <c r="E39" s="156">
        <v>7447</v>
      </c>
      <c r="F39" s="574">
        <f t="shared" si="0"/>
        <v>0.7329724409448819</v>
      </c>
      <c r="G39" s="234"/>
    </row>
    <row r="40" spans="1:7" ht="12">
      <c r="A40" s="154">
        <v>5054</v>
      </c>
      <c r="B40" s="155" t="s">
        <v>207</v>
      </c>
      <c r="C40" s="156"/>
      <c r="D40" s="156">
        <v>34840</v>
      </c>
      <c r="E40" s="156">
        <v>559</v>
      </c>
      <c r="F40" s="574">
        <f t="shared" si="0"/>
        <v>0.016044776119402984</v>
      </c>
      <c r="G40" s="234"/>
    </row>
    <row r="41" spans="1:7" ht="12">
      <c r="A41" s="154"/>
      <c r="B41" s="621" t="s">
        <v>298</v>
      </c>
      <c r="C41" s="156"/>
      <c r="D41" s="665">
        <v>34281</v>
      </c>
      <c r="E41" s="665"/>
      <c r="F41" s="574">
        <f t="shared" si="0"/>
        <v>0</v>
      </c>
      <c r="G41" s="234"/>
    </row>
    <row r="42" spans="1:7" ht="12">
      <c r="A42" s="154"/>
      <c r="B42" s="621" t="s">
        <v>299</v>
      </c>
      <c r="C42" s="156"/>
      <c r="D42" s="665">
        <v>559</v>
      </c>
      <c r="E42" s="665">
        <v>559</v>
      </c>
      <c r="F42" s="574">
        <f t="shared" si="0"/>
        <v>1</v>
      </c>
      <c r="G42" s="234"/>
    </row>
    <row r="43" spans="1:7" ht="12">
      <c r="A43" s="22">
        <v>5050</v>
      </c>
      <c r="B43" s="146" t="s">
        <v>1046</v>
      </c>
      <c r="C43" s="6">
        <f>SUM(C37:C39)</f>
        <v>45000</v>
      </c>
      <c r="D43" s="6">
        <f>SUM(D39:D40)</f>
        <v>45000</v>
      </c>
      <c r="E43" s="6">
        <f>SUM(E39:E40)</f>
        <v>8006</v>
      </c>
      <c r="F43" s="573">
        <f t="shared" si="0"/>
        <v>0.1779111111111111</v>
      </c>
      <c r="G43" s="201"/>
    </row>
    <row r="44" spans="1:7" ht="12">
      <c r="A44" s="15"/>
      <c r="B44" s="271" t="s">
        <v>867</v>
      </c>
      <c r="C44" s="35"/>
      <c r="D44" s="35"/>
      <c r="E44" s="35"/>
      <c r="F44" s="574"/>
      <c r="G44" s="58"/>
    </row>
    <row r="45" spans="1:7" ht="10.5" customHeight="1">
      <c r="A45" s="15"/>
      <c r="B45" s="58" t="s">
        <v>894</v>
      </c>
      <c r="C45" s="35"/>
      <c r="D45" s="35"/>
      <c r="E45" s="35"/>
      <c r="F45" s="574"/>
      <c r="G45" s="58"/>
    </row>
    <row r="46" spans="1:7" ht="11.25" customHeight="1">
      <c r="A46" s="15"/>
      <c r="B46" s="36" t="s">
        <v>865</v>
      </c>
      <c r="C46" s="35"/>
      <c r="D46" s="35"/>
      <c r="E46" s="35"/>
      <c r="F46" s="574"/>
      <c r="G46" s="58"/>
    </row>
    <row r="47" spans="1:7" ht="10.5" customHeight="1">
      <c r="A47" s="70"/>
      <c r="B47" s="36" t="s">
        <v>866</v>
      </c>
      <c r="C47" s="36"/>
      <c r="D47" s="36">
        <f>SUM(D28+D42+D32+D24)</f>
        <v>6884</v>
      </c>
      <c r="E47" s="36">
        <f>SUM(E28+E42+E32+E24)</f>
        <v>6884</v>
      </c>
      <c r="F47" s="574">
        <f t="shared" si="0"/>
        <v>1</v>
      </c>
      <c r="G47" s="58"/>
    </row>
    <row r="48" spans="1:7" ht="10.5" customHeight="1">
      <c r="A48" s="70"/>
      <c r="B48" s="36" t="s">
        <v>1115</v>
      </c>
      <c r="C48" s="78"/>
      <c r="D48" s="78"/>
      <c r="E48" s="78"/>
      <c r="F48" s="574"/>
      <c r="G48" s="58"/>
    </row>
    <row r="49" spans="1:7" ht="12" customHeight="1">
      <c r="A49" s="70"/>
      <c r="B49" s="243" t="s">
        <v>868</v>
      </c>
      <c r="C49" s="78">
        <f>SUM(C45:C48)</f>
        <v>0</v>
      </c>
      <c r="D49" s="612">
        <f>SUM(D45:D48)</f>
        <v>6884</v>
      </c>
      <c r="E49" s="612">
        <f>SUM(E45:E48)</f>
        <v>6884</v>
      </c>
      <c r="F49" s="574">
        <f t="shared" si="0"/>
        <v>1</v>
      </c>
      <c r="G49" s="58"/>
    </row>
    <row r="50" spans="1:7" ht="12" customHeight="1">
      <c r="A50" s="70"/>
      <c r="B50" s="274" t="s">
        <v>869</v>
      </c>
      <c r="C50" s="78"/>
      <c r="D50" s="78"/>
      <c r="E50" s="78"/>
      <c r="F50" s="574"/>
      <c r="G50" s="58"/>
    </row>
    <row r="51" spans="1:7" ht="12" customHeight="1">
      <c r="A51" s="70"/>
      <c r="B51" s="36" t="s">
        <v>870</v>
      </c>
      <c r="C51" s="78"/>
      <c r="D51" s="78">
        <f>SUM(D26)</f>
        <v>28849</v>
      </c>
      <c r="E51" s="78">
        <f>SUM(E26)</f>
        <v>28849</v>
      </c>
      <c r="F51" s="574">
        <f t="shared" si="0"/>
        <v>1</v>
      </c>
      <c r="G51" s="58"/>
    </row>
    <row r="52" spans="1:7" ht="12" customHeight="1">
      <c r="A52" s="70"/>
      <c r="B52" s="36" t="s">
        <v>192</v>
      </c>
      <c r="C52" s="78">
        <f>SUM(C34+C20+C14+C43)</f>
        <v>593663</v>
      </c>
      <c r="D52" s="78">
        <f>SUM(D34+D20+D14+D43+D11)-D47-D51</f>
        <v>705254</v>
      </c>
      <c r="E52" s="78">
        <f>SUM(E34+E20+E14+E43+E11)-E47-E51-E55</f>
        <v>163492</v>
      </c>
      <c r="F52" s="574">
        <f t="shared" si="0"/>
        <v>0.23182002512569938</v>
      </c>
      <c r="G52" s="58"/>
    </row>
    <row r="53" spans="1:7" ht="12" customHeight="1">
      <c r="A53" s="70"/>
      <c r="B53" s="36" t="s">
        <v>872</v>
      </c>
      <c r="C53" s="78"/>
      <c r="D53" s="78"/>
      <c r="E53" s="78"/>
      <c r="F53" s="574"/>
      <c r="G53" s="58"/>
    </row>
    <row r="54" spans="1:7" ht="12" customHeight="1">
      <c r="A54" s="70"/>
      <c r="B54" s="243" t="s">
        <v>874</v>
      </c>
      <c r="C54" s="612">
        <f>SUM(C51:C53)</f>
        <v>593663</v>
      </c>
      <c r="D54" s="612">
        <f>SUM(D51:D53)</f>
        <v>734103</v>
      </c>
      <c r="E54" s="612">
        <f>SUM(E51:E53)</f>
        <v>192341</v>
      </c>
      <c r="F54" s="943">
        <f t="shared" si="0"/>
        <v>0.26200819231088823</v>
      </c>
      <c r="G54" s="58"/>
    </row>
    <row r="55" spans="1:7" ht="12" customHeight="1">
      <c r="A55" s="75"/>
      <c r="B55" s="171" t="s">
        <v>1236</v>
      </c>
      <c r="C55" s="283"/>
      <c r="D55" s="283"/>
      <c r="E55" s="283">
        <f>SUM(E19)</f>
        <v>25000</v>
      </c>
      <c r="F55" s="943"/>
      <c r="G55" s="71"/>
    </row>
    <row r="56" spans="1:7" ht="12" customHeight="1">
      <c r="A56" s="133"/>
      <c r="B56" s="201" t="s">
        <v>890</v>
      </c>
      <c r="C56" s="294">
        <f>SUM(C20+C34+C14+C43)</f>
        <v>593663</v>
      </c>
      <c r="D56" s="294">
        <f>SUM(D20+D34+D14+D43+D11)</f>
        <v>740987</v>
      </c>
      <c r="E56" s="294">
        <f>SUM(E20+E34+E14+E43+E11)</f>
        <v>224225</v>
      </c>
      <c r="F56" s="573">
        <f t="shared" si="0"/>
        <v>0.30260314958292117</v>
      </c>
      <c r="G56" s="74"/>
    </row>
  </sheetData>
  <sheetProtection/>
  <mergeCells count="5">
    <mergeCell ref="F4:F6"/>
    <mergeCell ref="A2:G2"/>
    <mergeCell ref="A1:G1"/>
    <mergeCell ref="D4:D6"/>
    <mergeCell ref="E4:E6"/>
  </mergeCells>
  <printOptions horizontalCentered="1"/>
  <pageMargins left="0" right="0" top="0" bottom="0.07874015748031496" header="0.15748031496062992" footer="0"/>
  <pageSetup firstPageNumber="54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E10" sqref="E10"/>
    </sheetView>
  </sheetViews>
  <sheetFormatPr defaultColWidth="9.00390625" defaultRowHeight="12.75"/>
  <cols>
    <col min="1" max="1" width="10.25390625" style="140" customWidth="1"/>
    <col min="2" max="2" width="52.375" style="139" customWidth="1"/>
    <col min="3" max="3" width="13.00390625" style="139" customWidth="1"/>
    <col min="4" max="4" width="11.125" style="139" customWidth="1"/>
    <col min="5" max="16384" width="9.125" style="139" customWidth="1"/>
  </cols>
  <sheetData>
    <row r="1" spans="1:3" ht="12.75">
      <c r="A1" s="1250" t="s">
        <v>889</v>
      </c>
      <c r="B1" s="1250"/>
      <c r="C1" s="1251"/>
    </row>
    <row r="2" spans="2:3" ht="12.75">
      <c r="B2" s="140"/>
      <c r="C2" s="147"/>
    </row>
    <row r="3" spans="1:3" s="136" customFormat="1" ht="12.75">
      <c r="A3" s="1250" t="s">
        <v>1181</v>
      </c>
      <c r="B3" s="1250"/>
      <c r="C3" s="1251"/>
    </row>
    <row r="4" s="136" customFormat="1" ht="12.75"/>
    <row r="5" s="136" customFormat="1" ht="12.75"/>
    <row r="6" s="136" customFormat="1" ht="12.75">
      <c r="C6" s="178"/>
    </row>
    <row r="7" spans="1:4" s="136" customFormat="1" ht="12.75" customHeight="1">
      <c r="A7" s="2" t="s">
        <v>1097</v>
      </c>
      <c r="B7" s="2" t="s">
        <v>1015</v>
      </c>
      <c r="C7" s="205" t="s">
        <v>930</v>
      </c>
      <c r="D7" s="1263" t="s">
        <v>302</v>
      </c>
    </row>
    <row r="8" spans="1:4" s="136" customFormat="1" ht="12.75">
      <c r="A8" s="3"/>
      <c r="B8" s="3"/>
      <c r="C8" s="15" t="s">
        <v>194</v>
      </c>
      <c r="D8" s="1278"/>
    </row>
    <row r="9" spans="1:4" s="136" customFormat="1" ht="12.75">
      <c r="A9" s="4"/>
      <c r="B9" s="4"/>
      <c r="C9" s="18" t="s">
        <v>195</v>
      </c>
      <c r="D9" s="1256"/>
    </row>
    <row r="10" spans="1:4" s="136" customFormat="1" ht="12.75">
      <c r="A10" s="16" t="s">
        <v>1016</v>
      </c>
      <c r="B10" s="16" t="s">
        <v>1017</v>
      </c>
      <c r="C10" s="167" t="s">
        <v>1018</v>
      </c>
      <c r="D10" s="167" t="s">
        <v>1019</v>
      </c>
    </row>
    <row r="11" spans="1:4" s="136" customFormat="1" ht="12.75">
      <c r="A11" s="16"/>
      <c r="B11" s="16"/>
      <c r="C11" s="159"/>
      <c r="D11" s="159"/>
    </row>
    <row r="12" spans="1:4" s="43" customFormat="1" ht="12.75">
      <c r="A12" s="25">
        <v>6110</v>
      </c>
      <c r="B12" s="19" t="s">
        <v>1050</v>
      </c>
      <c r="C12" s="19">
        <v>40591</v>
      </c>
      <c r="D12" s="19">
        <v>1624</v>
      </c>
    </row>
    <row r="13" spans="1:4" ht="12.75">
      <c r="A13" s="137"/>
      <c r="B13" s="138"/>
      <c r="C13" s="138"/>
      <c r="D13" s="138"/>
    </row>
    <row r="14" spans="1:4" s="43" customFormat="1" ht="12.75">
      <c r="A14" s="25">
        <v>6120</v>
      </c>
      <c r="B14" s="19" t="s">
        <v>1052</v>
      </c>
      <c r="C14" s="19">
        <f>SUM(C15:C19)</f>
        <v>167268</v>
      </c>
      <c r="D14" s="19">
        <f>SUM(D15:D19)</f>
        <v>0</v>
      </c>
    </row>
    <row r="15" spans="1:4" s="43" customFormat="1" ht="12.75">
      <c r="A15" s="137">
        <v>6123</v>
      </c>
      <c r="B15" s="138" t="s">
        <v>944</v>
      </c>
      <c r="C15" s="138">
        <v>6000</v>
      </c>
      <c r="D15" s="138"/>
    </row>
    <row r="16" spans="1:4" ht="12.75">
      <c r="A16" s="137">
        <v>6124</v>
      </c>
      <c r="B16" s="138" t="s">
        <v>1352</v>
      </c>
      <c r="C16" s="138">
        <v>4500</v>
      </c>
      <c r="D16" s="138"/>
    </row>
    <row r="17" spans="1:4" ht="12.75">
      <c r="A17" s="495">
        <v>6125</v>
      </c>
      <c r="B17" s="496" t="s">
        <v>1353</v>
      </c>
      <c r="C17" s="496">
        <v>7402</v>
      </c>
      <c r="D17" s="496">
        <v>0</v>
      </c>
    </row>
    <row r="18" spans="1:4" ht="12.75">
      <c r="A18" s="495">
        <v>6126</v>
      </c>
      <c r="B18" s="496" t="s">
        <v>174</v>
      </c>
      <c r="C18" s="496">
        <v>99320</v>
      </c>
      <c r="D18" s="496"/>
    </row>
    <row r="19" spans="1:4" ht="12.75">
      <c r="A19" s="495">
        <v>6127</v>
      </c>
      <c r="B19" s="496" t="s">
        <v>1377</v>
      </c>
      <c r="C19" s="496">
        <v>50046</v>
      </c>
      <c r="D19" s="496"/>
    </row>
    <row r="20" spans="1:4" ht="12.75">
      <c r="A20" s="495"/>
      <c r="B20" s="496"/>
      <c r="C20" s="496"/>
      <c r="D20" s="496"/>
    </row>
    <row r="21" spans="1:4" ht="12.75">
      <c r="A21" s="587">
        <v>6130</v>
      </c>
      <c r="B21" s="588" t="s">
        <v>210</v>
      </c>
      <c r="C21" s="496"/>
      <c r="D21" s="588">
        <v>6044</v>
      </c>
    </row>
    <row r="22" spans="1:4" ht="12.75">
      <c r="A22" s="137"/>
      <c r="B22" s="138"/>
      <c r="C22" s="138"/>
      <c r="D22" s="138"/>
    </row>
    <row r="23" spans="1:4" s="43" customFormat="1" ht="12.75">
      <c r="A23" s="25">
        <v>6100</v>
      </c>
      <c r="B23" s="19" t="s">
        <v>990</v>
      </c>
      <c r="C23" s="19">
        <f>SUM(C12+C14)</f>
        <v>207859</v>
      </c>
      <c r="D23" s="19">
        <f>SUM(D12+D14+D21)</f>
        <v>7668</v>
      </c>
    </row>
  </sheetData>
  <sheetProtection/>
  <mergeCells count="3">
    <mergeCell ref="D7:D9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X97"/>
  <sheetViews>
    <sheetView zoomScaleSheetLayoutView="100" workbookViewId="0" topLeftCell="A70">
      <selection activeCell="I94" sqref="I94:I95"/>
    </sheetView>
  </sheetViews>
  <sheetFormatPr defaultColWidth="9.00390625" defaultRowHeight="12.75"/>
  <cols>
    <col min="1" max="1" width="4.75390625" style="675" customWidth="1"/>
    <col min="2" max="2" width="14.125" style="675" customWidth="1"/>
    <col min="3" max="3" width="13.875" style="675" customWidth="1"/>
    <col min="4" max="4" width="8.75390625" style="675" customWidth="1"/>
    <col min="5" max="5" width="11.75390625" style="675" customWidth="1"/>
    <col min="6" max="6" width="11.25390625" style="675" customWidth="1"/>
    <col min="7" max="7" width="11.375" style="675" customWidth="1"/>
    <col min="8" max="8" width="10.125" style="675" customWidth="1"/>
    <col min="9" max="9" width="9.875" style="675" customWidth="1"/>
    <col min="10" max="10" width="11.875" style="675" customWidth="1"/>
    <col min="11" max="11" width="9.875" style="675" customWidth="1"/>
    <col min="12" max="12" width="9.75390625" style="675" customWidth="1"/>
    <col min="13" max="13" width="10.375" style="675" customWidth="1"/>
    <col min="14" max="14" width="10.25390625" style="675" customWidth="1"/>
    <col min="15" max="15" width="10.375" style="675" customWidth="1"/>
    <col min="16" max="17" width="10.625" style="675" customWidth="1"/>
    <col min="18" max="18" width="10.00390625" style="675" customWidth="1"/>
    <col min="19" max="19" width="10.875" style="675" customWidth="1"/>
    <col min="20" max="20" width="12.25390625" style="675" customWidth="1"/>
    <col min="21" max="21" width="11.625" style="675" customWidth="1"/>
    <col min="22" max="16384" width="9.125" style="675" customWidth="1"/>
  </cols>
  <sheetData>
    <row r="2" spans="2:20" ht="12.75">
      <c r="B2" s="1315" t="s">
        <v>489</v>
      </c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</row>
    <row r="4" spans="2:24" ht="12.75">
      <c r="B4" s="1323" t="s">
        <v>304</v>
      </c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676"/>
      <c r="V4" s="676"/>
      <c r="W4" s="676"/>
      <c r="X4" s="676"/>
    </row>
    <row r="5" spans="1:6" ht="12.75">
      <c r="A5" s="677"/>
      <c r="F5" s="1054"/>
    </row>
    <row r="6" spans="1:21" ht="12.75">
      <c r="A6" s="1332" t="s">
        <v>305</v>
      </c>
      <c r="B6" s="1326" t="s">
        <v>306</v>
      </c>
      <c r="C6" s="1327"/>
      <c r="D6" s="1328"/>
      <c r="E6" s="1294" t="s">
        <v>307</v>
      </c>
      <c r="F6" s="1294" t="s">
        <v>159</v>
      </c>
      <c r="G6" s="1294" t="s">
        <v>1411</v>
      </c>
      <c r="H6" s="1319" t="s">
        <v>308</v>
      </c>
      <c r="I6" s="1320"/>
      <c r="J6" s="1320"/>
      <c r="K6" s="1320"/>
      <c r="L6" s="1320"/>
      <c r="M6" s="1320"/>
      <c r="N6" s="1335"/>
      <c r="O6" s="1335"/>
      <c r="P6" s="1335"/>
      <c r="Q6" s="1335"/>
      <c r="R6" s="678"/>
      <c r="S6" s="678"/>
      <c r="T6" s="679"/>
      <c r="U6" s="1036"/>
    </row>
    <row r="7" spans="1:21" ht="12.75">
      <c r="A7" s="1333"/>
      <c r="B7" s="1329"/>
      <c r="C7" s="1330"/>
      <c r="D7" s="1331"/>
      <c r="E7" s="1295"/>
      <c r="F7" s="1295"/>
      <c r="G7" s="1295"/>
      <c r="H7" s="1319" t="s">
        <v>309</v>
      </c>
      <c r="I7" s="1320"/>
      <c r="J7" s="1320"/>
      <c r="K7" s="1320"/>
      <c r="L7" s="1321"/>
      <c r="M7" s="964"/>
      <c r="N7" s="1319" t="s">
        <v>310</v>
      </c>
      <c r="O7" s="1320"/>
      <c r="P7" s="1320"/>
      <c r="Q7" s="1320"/>
      <c r="R7" s="1322"/>
      <c r="S7" s="983"/>
      <c r="T7" s="1292" t="s">
        <v>311</v>
      </c>
      <c r="U7" s="1291" t="s">
        <v>3</v>
      </c>
    </row>
    <row r="8" spans="1:21" ht="19.5" customHeight="1">
      <c r="A8" s="1333"/>
      <c r="B8" s="1329"/>
      <c r="C8" s="1330"/>
      <c r="D8" s="1331"/>
      <c r="E8" s="1295"/>
      <c r="F8" s="1295"/>
      <c r="G8" s="1295"/>
      <c r="H8" s="1316" t="s">
        <v>312</v>
      </c>
      <c r="I8" s="1297" t="s">
        <v>160</v>
      </c>
      <c r="J8" s="1297" t="s">
        <v>0</v>
      </c>
      <c r="K8" s="1297" t="s">
        <v>313</v>
      </c>
      <c r="L8" s="1299" t="s">
        <v>161</v>
      </c>
      <c r="M8" s="1297" t="s">
        <v>2</v>
      </c>
      <c r="N8" s="1316" t="s">
        <v>312</v>
      </c>
      <c r="O8" s="1297" t="s">
        <v>160</v>
      </c>
      <c r="P8" s="1297" t="s">
        <v>1</v>
      </c>
      <c r="Q8" s="1297" t="s">
        <v>313</v>
      </c>
      <c r="R8" s="1297" t="s">
        <v>161</v>
      </c>
      <c r="S8" s="1297" t="s">
        <v>2</v>
      </c>
      <c r="T8" s="1292"/>
      <c r="U8" s="1292"/>
    </row>
    <row r="9" spans="1:21" ht="36" customHeight="1">
      <c r="A9" s="1334"/>
      <c r="B9" s="1312"/>
      <c r="C9" s="1313"/>
      <c r="D9" s="1314"/>
      <c r="E9" s="1296"/>
      <c r="F9" s="1296"/>
      <c r="G9" s="1296"/>
      <c r="H9" s="1317"/>
      <c r="I9" s="1293"/>
      <c r="J9" s="1293"/>
      <c r="K9" s="1293"/>
      <c r="L9" s="1300"/>
      <c r="M9" s="1293"/>
      <c r="N9" s="1318"/>
      <c r="O9" s="1298"/>
      <c r="P9" s="1298"/>
      <c r="Q9" s="1298"/>
      <c r="R9" s="1298"/>
      <c r="S9" s="1298"/>
      <c r="T9" s="1293"/>
      <c r="U9" s="1293"/>
    </row>
    <row r="10" spans="1:21" ht="12.75">
      <c r="A10" s="1325"/>
      <c r="B10" s="1303" t="s">
        <v>316</v>
      </c>
      <c r="C10" s="1304"/>
      <c r="D10" s="1305"/>
      <c r="E10" s="1252"/>
      <c r="F10" s="1252"/>
      <c r="G10" s="1252"/>
      <c r="H10" s="1254"/>
      <c r="I10" s="1252"/>
      <c r="J10" s="1252"/>
      <c r="K10" s="1252"/>
      <c r="L10" s="1241"/>
      <c r="M10" s="1241"/>
      <c r="N10" s="1254"/>
      <c r="O10" s="1252"/>
      <c r="P10" s="1252"/>
      <c r="Q10" s="1252"/>
      <c r="R10" s="1252"/>
      <c r="S10" s="1252"/>
      <c r="T10" s="1252"/>
      <c r="U10" s="1252"/>
    </row>
    <row r="11" spans="1:21" ht="12.75">
      <c r="A11" s="1245"/>
      <c r="B11" s="1306"/>
      <c r="C11" s="1307"/>
      <c r="D11" s="1308"/>
      <c r="E11" s="1253"/>
      <c r="F11" s="1253"/>
      <c r="G11" s="1253"/>
      <c r="H11" s="1255"/>
      <c r="I11" s="1253"/>
      <c r="J11" s="1253"/>
      <c r="K11" s="1253"/>
      <c r="L11" s="1290"/>
      <c r="M11" s="1290"/>
      <c r="N11" s="1255"/>
      <c r="O11" s="1253"/>
      <c r="P11" s="1253"/>
      <c r="Q11" s="1253"/>
      <c r="R11" s="1253"/>
      <c r="S11" s="1253"/>
      <c r="T11" s="1253"/>
      <c r="U11" s="1253"/>
    </row>
    <row r="12" spans="1:21" ht="12.75">
      <c r="A12" s="1249" t="s">
        <v>1016</v>
      </c>
      <c r="B12" s="1246" t="s">
        <v>317</v>
      </c>
      <c r="C12" s="1242"/>
      <c r="D12" s="1243"/>
      <c r="E12" s="1252">
        <f>SUM(H12+N12+T12)</f>
        <v>17</v>
      </c>
      <c r="F12" s="1252">
        <f>SUM(I12+O12+U12)</f>
        <v>17</v>
      </c>
      <c r="G12" s="1252">
        <f>SUM(J12+P12+V12)</f>
        <v>17</v>
      </c>
      <c r="H12" s="1254">
        <v>15</v>
      </c>
      <c r="I12" s="1252">
        <v>15</v>
      </c>
      <c r="J12" s="1252">
        <v>15</v>
      </c>
      <c r="K12" s="1252"/>
      <c r="L12" s="1241"/>
      <c r="M12" s="1241"/>
      <c r="N12" s="1254">
        <v>2</v>
      </c>
      <c r="O12" s="1252">
        <v>2</v>
      </c>
      <c r="P12" s="1252">
        <v>2</v>
      </c>
      <c r="Q12" s="1252"/>
      <c r="R12" s="1252"/>
      <c r="S12" s="1252"/>
      <c r="T12" s="1252"/>
      <c r="U12" s="1252"/>
    </row>
    <row r="13" spans="1:21" ht="12.75">
      <c r="A13" s="1245"/>
      <c r="B13" s="1244"/>
      <c r="C13" s="1237"/>
      <c r="D13" s="1238"/>
      <c r="E13" s="1253"/>
      <c r="F13" s="1253"/>
      <c r="G13" s="1253"/>
      <c r="H13" s="1255"/>
      <c r="I13" s="1253"/>
      <c r="J13" s="1253"/>
      <c r="K13" s="1253"/>
      <c r="L13" s="1290"/>
      <c r="M13" s="1290"/>
      <c r="N13" s="1255"/>
      <c r="O13" s="1253"/>
      <c r="P13" s="1253"/>
      <c r="Q13" s="1253"/>
      <c r="R13" s="1253"/>
      <c r="S13" s="1253"/>
      <c r="T13" s="1253"/>
      <c r="U13" s="1253"/>
    </row>
    <row r="14" spans="1:21" ht="12.75">
      <c r="A14" s="1325" t="s">
        <v>1017</v>
      </c>
      <c r="B14" s="1246" t="s">
        <v>318</v>
      </c>
      <c r="C14" s="1242"/>
      <c r="D14" s="1243"/>
      <c r="E14" s="1252">
        <f>SUM(H14+N14+T14)</f>
        <v>5</v>
      </c>
      <c r="F14" s="1252">
        <f>SUM(I14+O14+U14)</f>
        <v>5</v>
      </c>
      <c r="G14" s="1252">
        <f>SUM(J14+P14+V14)</f>
        <v>5</v>
      </c>
      <c r="H14" s="1254">
        <v>5</v>
      </c>
      <c r="I14" s="1252">
        <v>5</v>
      </c>
      <c r="J14" s="1252">
        <v>5</v>
      </c>
      <c r="K14" s="1252"/>
      <c r="L14" s="1241"/>
      <c r="M14" s="1241"/>
      <c r="N14" s="1254"/>
      <c r="O14" s="1252"/>
      <c r="P14" s="1252"/>
      <c r="Q14" s="1252"/>
      <c r="R14" s="1252"/>
      <c r="S14" s="1252"/>
      <c r="T14" s="1252"/>
      <c r="U14" s="1252"/>
    </row>
    <row r="15" spans="1:21" ht="12.75">
      <c r="A15" s="1245"/>
      <c r="B15" s="1244"/>
      <c r="C15" s="1237"/>
      <c r="D15" s="1238"/>
      <c r="E15" s="1253"/>
      <c r="F15" s="1253"/>
      <c r="G15" s="1253"/>
      <c r="H15" s="1255"/>
      <c r="I15" s="1253"/>
      <c r="J15" s="1253"/>
      <c r="K15" s="1253"/>
      <c r="L15" s="1290"/>
      <c r="M15" s="1290"/>
      <c r="N15" s="1255"/>
      <c r="O15" s="1253"/>
      <c r="P15" s="1253"/>
      <c r="Q15" s="1253"/>
      <c r="R15" s="1253"/>
      <c r="S15" s="1253"/>
      <c r="T15" s="1253"/>
      <c r="U15" s="1253"/>
    </row>
    <row r="16" spans="1:21" ht="12.75">
      <c r="A16" s="1325" t="s">
        <v>1018</v>
      </c>
      <c r="B16" s="1246" t="s">
        <v>319</v>
      </c>
      <c r="C16" s="1242"/>
      <c r="D16" s="1243"/>
      <c r="E16" s="1252">
        <f>SUM(H16+N16+T16)</f>
        <v>24</v>
      </c>
      <c r="F16" s="1252">
        <f>SUM(I16+O16+U16)</f>
        <v>21</v>
      </c>
      <c r="G16" s="1252">
        <f>SUM(J16+P16+V16)</f>
        <v>21</v>
      </c>
      <c r="H16" s="1254">
        <v>22</v>
      </c>
      <c r="I16" s="1252">
        <v>19</v>
      </c>
      <c r="J16" s="1252">
        <v>19</v>
      </c>
      <c r="K16" s="1252"/>
      <c r="L16" s="1241"/>
      <c r="M16" s="1241"/>
      <c r="N16" s="1254">
        <v>2</v>
      </c>
      <c r="O16" s="1252">
        <v>2</v>
      </c>
      <c r="P16" s="1252">
        <v>2</v>
      </c>
      <c r="Q16" s="1252"/>
      <c r="R16" s="1252"/>
      <c r="S16" s="1252"/>
      <c r="T16" s="1252"/>
      <c r="U16" s="1252"/>
    </row>
    <row r="17" spans="1:21" ht="12.75">
      <c r="A17" s="1245"/>
      <c r="B17" s="1244"/>
      <c r="C17" s="1237"/>
      <c r="D17" s="1238"/>
      <c r="E17" s="1253"/>
      <c r="F17" s="1253"/>
      <c r="G17" s="1253"/>
      <c r="H17" s="1255"/>
      <c r="I17" s="1253"/>
      <c r="J17" s="1253"/>
      <c r="K17" s="1253"/>
      <c r="L17" s="1290"/>
      <c r="M17" s="1290"/>
      <c r="N17" s="1255"/>
      <c r="O17" s="1253"/>
      <c r="P17" s="1253"/>
      <c r="Q17" s="1253"/>
      <c r="R17" s="1253"/>
      <c r="S17" s="1253"/>
      <c r="T17" s="1253"/>
      <c r="U17" s="1253"/>
    </row>
    <row r="18" spans="1:21" ht="12.75">
      <c r="A18" s="1249" t="s">
        <v>1019</v>
      </c>
      <c r="B18" s="1246" t="s">
        <v>320</v>
      </c>
      <c r="C18" s="1242"/>
      <c r="D18" s="1243"/>
      <c r="E18" s="1252">
        <f>SUM(H18+N18+T18)</f>
        <v>54</v>
      </c>
      <c r="F18" s="1252">
        <f>SUM(I18+O18+U18)</f>
        <v>52</v>
      </c>
      <c r="G18" s="1252">
        <f>SUM(J18+P18+V18)</f>
        <v>52</v>
      </c>
      <c r="H18" s="1254">
        <v>52</v>
      </c>
      <c r="I18" s="1252">
        <v>50</v>
      </c>
      <c r="J18" s="1252">
        <v>50</v>
      </c>
      <c r="K18" s="1252"/>
      <c r="L18" s="1241"/>
      <c r="M18" s="1241"/>
      <c r="N18" s="1254">
        <v>2</v>
      </c>
      <c r="O18" s="1252">
        <v>2</v>
      </c>
      <c r="P18" s="1252">
        <v>2</v>
      </c>
      <c r="Q18" s="1252"/>
      <c r="R18" s="1252"/>
      <c r="S18" s="1252"/>
      <c r="T18" s="1252"/>
      <c r="U18" s="1252"/>
    </row>
    <row r="19" spans="1:21" ht="12.75">
      <c r="A19" s="1245"/>
      <c r="B19" s="1244"/>
      <c r="C19" s="1237"/>
      <c r="D19" s="1238"/>
      <c r="E19" s="1253"/>
      <c r="F19" s="1253"/>
      <c r="G19" s="1253"/>
      <c r="H19" s="1255"/>
      <c r="I19" s="1253"/>
      <c r="J19" s="1253"/>
      <c r="K19" s="1253"/>
      <c r="L19" s="1290"/>
      <c r="M19" s="1290"/>
      <c r="N19" s="1255"/>
      <c r="O19" s="1253"/>
      <c r="P19" s="1253"/>
      <c r="Q19" s="1253"/>
      <c r="R19" s="1253"/>
      <c r="S19" s="1253"/>
      <c r="T19" s="1253"/>
      <c r="U19" s="1253"/>
    </row>
    <row r="20" spans="1:21" ht="12.75">
      <c r="A20" s="1325" t="s">
        <v>1020</v>
      </c>
      <c r="B20" s="1246" t="s">
        <v>321</v>
      </c>
      <c r="C20" s="1242"/>
      <c r="D20" s="1243"/>
      <c r="E20" s="1252">
        <f>SUM(H20+N20+Q20)</f>
        <v>6</v>
      </c>
      <c r="F20" s="1252"/>
      <c r="G20" s="1252"/>
      <c r="H20" s="1254"/>
      <c r="I20" s="1252"/>
      <c r="J20" s="1252"/>
      <c r="K20" s="1252"/>
      <c r="L20" s="1241"/>
      <c r="M20" s="1241"/>
      <c r="N20" s="1254">
        <v>5</v>
      </c>
      <c r="O20" s="1252"/>
      <c r="P20" s="1252"/>
      <c r="Q20" s="1252">
        <v>1</v>
      </c>
      <c r="R20" s="1252">
        <v>1</v>
      </c>
      <c r="S20" s="1252"/>
      <c r="T20" s="1252"/>
      <c r="U20" s="1252"/>
    </row>
    <row r="21" spans="1:21" ht="12.75">
      <c r="A21" s="1245"/>
      <c r="B21" s="1244"/>
      <c r="C21" s="1237"/>
      <c r="D21" s="1238"/>
      <c r="E21" s="1253"/>
      <c r="F21" s="1253"/>
      <c r="G21" s="1253"/>
      <c r="H21" s="1255"/>
      <c r="I21" s="1253"/>
      <c r="J21" s="1253"/>
      <c r="K21" s="1253"/>
      <c r="L21" s="1290"/>
      <c r="M21" s="1290"/>
      <c r="N21" s="1255"/>
      <c r="O21" s="1253"/>
      <c r="P21" s="1253"/>
      <c r="Q21" s="1253"/>
      <c r="R21" s="1253"/>
      <c r="S21" s="1253"/>
      <c r="T21" s="1253"/>
      <c r="U21" s="1253"/>
    </row>
    <row r="22" spans="1:21" ht="12.75">
      <c r="A22" s="1325" t="s">
        <v>1148</v>
      </c>
      <c r="B22" s="1246" t="s">
        <v>322</v>
      </c>
      <c r="C22" s="1242"/>
      <c r="D22" s="1243"/>
      <c r="E22" s="1252">
        <f>SUM(H22+N22+T22)</f>
        <v>36</v>
      </c>
      <c r="F22" s="1252">
        <f>SUM(I22+O22+U22)</f>
        <v>36</v>
      </c>
      <c r="G22" s="1252">
        <f>SUM(J22+P22+V22)</f>
        <v>36</v>
      </c>
      <c r="H22" s="1254">
        <v>34</v>
      </c>
      <c r="I22" s="1252">
        <v>34</v>
      </c>
      <c r="J22" s="1252">
        <v>34</v>
      </c>
      <c r="K22" s="1252"/>
      <c r="L22" s="1241"/>
      <c r="M22" s="1241"/>
      <c r="N22" s="1254">
        <v>2</v>
      </c>
      <c r="O22" s="1252">
        <v>2</v>
      </c>
      <c r="P22" s="1252">
        <v>2</v>
      </c>
      <c r="Q22" s="1252"/>
      <c r="R22" s="1252"/>
      <c r="S22" s="1252"/>
      <c r="T22" s="1252"/>
      <c r="U22" s="1252"/>
    </row>
    <row r="23" spans="1:21" ht="12.75">
      <c r="A23" s="1245"/>
      <c r="B23" s="1244"/>
      <c r="C23" s="1237"/>
      <c r="D23" s="1238"/>
      <c r="E23" s="1253"/>
      <c r="F23" s="1253"/>
      <c r="G23" s="1253"/>
      <c r="H23" s="1255"/>
      <c r="I23" s="1253"/>
      <c r="J23" s="1253"/>
      <c r="K23" s="1253"/>
      <c r="L23" s="1290"/>
      <c r="M23" s="1290"/>
      <c r="N23" s="1255"/>
      <c r="O23" s="1253"/>
      <c r="P23" s="1253"/>
      <c r="Q23" s="1253"/>
      <c r="R23" s="1253"/>
      <c r="S23" s="1253"/>
      <c r="T23" s="1253"/>
      <c r="U23" s="1253"/>
    </row>
    <row r="24" spans="1:21" ht="12.75">
      <c r="A24" s="1249" t="s">
        <v>229</v>
      </c>
      <c r="B24" s="1246" t="s">
        <v>323</v>
      </c>
      <c r="C24" s="1242"/>
      <c r="D24" s="1243"/>
      <c r="E24" s="1252">
        <f>SUM(H24+N24+T24)</f>
        <v>9</v>
      </c>
      <c r="F24" s="1252">
        <f>SUM(I24+O24+U24)</f>
        <v>11</v>
      </c>
      <c r="G24" s="1252">
        <f>SUM(J24+P24+V24)</f>
        <v>11</v>
      </c>
      <c r="H24" s="1254">
        <v>9</v>
      </c>
      <c r="I24" s="1252">
        <v>11</v>
      </c>
      <c r="J24" s="1252">
        <v>10</v>
      </c>
      <c r="K24" s="1252"/>
      <c r="L24" s="1241"/>
      <c r="M24" s="1241"/>
      <c r="N24" s="1254"/>
      <c r="O24" s="1252"/>
      <c r="P24" s="1252">
        <v>1</v>
      </c>
      <c r="Q24" s="1252"/>
      <c r="R24" s="1252"/>
      <c r="S24" s="1252"/>
      <c r="T24" s="1252"/>
      <c r="U24" s="1252"/>
    </row>
    <row r="25" spans="1:21" ht="12.75">
      <c r="A25" s="1245"/>
      <c r="B25" s="1244"/>
      <c r="C25" s="1237"/>
      <c r="D25" s="1238"/>
      <c r="E25" s="1253"/>
      <c r="F25" s="1253"/>
      <c r="G25" s="1253"/>
      <c r="H25" s="1255"/>
      <c r="I25" s="1253"/>
      <c r="J25" s="1253"/>
      <c r="K25" s="1253"/>
      <c r="L25" s="1290"/>
      <c r="M25" s="1290"/>
      <c r="N25" s="1255"/>
      <c r="O25" s="1253"/>
      <c r="P25" s="1253"/>
      <c r="Q25" s="1253"/>
      <c r="R25" s="1253"/>
      <c r="S25" s="1253"/>
      <c r="T25" s="1253"/>
      <c r="U25" s="1253"/>
    </row>
    <row r="26" spans="1:21" ht="12.75">
      <c r="A26" s="1325" t="s">
        <v>324</v>
      </c>
      <c r="B26" s="1246" t="s">
        <v>325</v>
      </c>
      <c r="C26" s="1242"/>
      <c r="D26" s="1243"/>
      <c r="E26" s="1252">
        <f>SUM(H26+K26+T26)</f>
        <v>24</v>
      </c>
      <c r="F26" s="1252">
        <f>SUM(I26+O26+U26+L26)</f>
        <v>24</v>
      </c>
      <c r="G26" s="1252">
        <f>SUM(J26+P26+V26+M26)</f>
        <v>24</v>
      </c>
      <c r="H26" s="1254">
        <v>23</v>
      </c>
      <c r="I26" s="1252">
        <v>23</v>
      </c>
      <c r="J26" s="1252">
        <v>23</v>
      </c>
      <c r="K26" s="1252">
        <v>1</v>
      </c>
      <c r="L26" s="1241">
        <v>1</v>
      </c>
      <c r="M26" s="1241">
        <v>1</v>
      </c>
      <c r="N26" s="1254"/>
      <c r="O26" s="1252"/>
      <c r="P26" s="1252"/>
      <c r="Q26" s="1252"/>
      <c r="R26" s="1252"/>
      <c r="S26" s="1252"/>
      <c r="T26" s="1252"/>
      <c r="U26" s="1252"/>
    </row>
    <row r="27" spans="1:21" ht="12.75">
      <c r="A27" s="1245"/>
      <c r="B27" s="1244"/>
      <c r="C27" s="1237"/>
      <c r="D27" s="1238"/>
      <c r="E27" s="1253"/>
      <c r="F27" s="1253"/>
      <c r="G27" s="1253"/>
      <c r="H27" s="1255"/>
      <c r="I27" s="1253"/>
      <c r="J27" s="1253"/>
      <c r="K27" s="1253"/>
      <c r="L27" s="1290"/>
      <c r="M27" s="1290"/>
      <c r="N27" s="1255"/>
      <c r="O27" s="1253"/>
      <c r="P27" s="1253"/>
      <c r="Q27" s="1253"/>
      <c r="R27" s="1253"/>
      <c r="S27" s="1253"/>
      <c r="T27" s="1253"/>
      <c r="U27" s="1253"/>
    </row>
    <row r="28" spans="1:21" ht="12.75">
      <c r="A28" s="1325" t="s">
        <v>326</v>
      </c>
      <c r="B28" s="1246" t="s">
        <v>327</v>
      </c>
      <c r="C28" s="1242"/>
      <c r="D28" s="1243"/>
      <c r="E28" s="1252">
        <f>SUM(H28+N28+T28)</f>
        <v>27</v>
      </c>
      <c r="F28" s="1252">
        <f>SUM(I28+O28+U28)</f>
        <v>28</v>
      </c>
      <c r="G28" s="1252">
        <f>SUM(J28+P28+V28)</f>
        <v>28</v>
      </c>
      <c r="H28" s="1254">
        <v>26</v>
      </c>
      <c r="I28" s="1252">
        <v>27</v>
      </c>
      <c r="J28" s="1252">
        <v>27</v>
      </c>
      <c r="K28" s="1252"/>
      <c r="L28" s="1241"/>
      <c r="M28" s="1241"/>
      <c r="N28" s="1254">
        <v>1</v>
      </c>
      <c r="O28" s="1252">
        <v>1</v>
      </c>
      <c r="P28" s="1252">
        <v>1</v>
      </c>
      <c r="Q28" s="1252"/>
      <c r="R28" s="1252"/>
      <c r="S28" s="1252"/>
      <c r="T28" s="1252"/>
      <c r="U28" s="1252"/>
    </row>
    <row r="29" spans="1:21" ht="12.75">
      <c r="A29" s="1245"/>
      <c r="B29" s="1244"/>
      <c r="C29" s="1237"/>
      <c r="D29" s="1238"/>
      <c r="E29" s="1253"/>
      <c r="F29" s="1253"/>
      <c r="G29" s="1253"/>
      <c r="H29" s="1255"/>
      <c r="I29" s="1253"/>
      <c r="J29" s="1253"/>
      <c r="K29" s="1253"/>
      <c r="L29" s="1290"/>
      <c r="M29" s="1290"/>
      <c r="N29" s="1255"/>
      <c r="O29" s="1253"/>
      <c r="P29" s="1253"/>
      <c r="Q29" s="1253"/>
      <c r="R29" s="1253"/>
      <c r="S29" s="1253"/>
      <c r="T29" s="1253"/>
      <c r="U29" s="1253"/>
    </row>
    <row r="30" spans="1:21" ht="12.75">
      <c r="A30" s="1249" t="s">
        <v>328</v>
      </c>
      <c r="B30" s="1246" t="s">
        <v>329</v>
      </c>
      <c r="C30" s="1242"/>
      <c r="D30" s="1243"/>
      <c r="E30" s="1252">
        <f>SUM(H30+N30+T30)</f>
        <v>40</v>
      </c>
      <c r="F30" s="1252">
        <f>SUM(I30+O30+U30)</f>
        <v>42</v>
      </c>
      <c r="G30" s="1252">
        <f>SUM(J30+M30+P30)</f>
        <v>42</v>
      </c>
      <c r="H30" s="1254">
        <v>24</v>
      </c>
      <c r="I30" s="1252">
        <v>26</v>
      </c>
      <c r="J30" s="1252">
        <v>27</v>
      </c>
      <c r="K30" s="1252"/>
      <c r="L30" s="1241"/>
      <c r="M30" s="1241">
        <v>1</v>
      </c>
      <c r="N30" s="1254">
        <v>16</v>
      </c>
      <c r="O30" s="1252">
        <v>16</v>
      </c>
      <c r="P30" s="1252">
        <v>14</v>
      </c>
      <c r="Q30" s="1252"/>
      <c r="R30" s="1252"/>
      <c r="S30" s="1252"/>
      <c r="T30" s="1252"/>
      <c r="U30" s="1252"/>
    </row>
    <row r="31" spans="1:21" ht="12.75">
      <c r="A31" s="1245"/>
      <c r="B31" s="1244"/>
      <c r="C31" s="1237"/>
      <c r="D31" s="1238"/>
      <c r="E31" s="1253"/>
      <c r="F31" s="1253"/>
      <c r="G31" s="1253"/>
      <c r="H31" s="1255"/>
      <c r="I31" s="1253"/>
      <c r="J31" s="1253"/>
      <c r="K31" s="1253"/>
      <c r="L31" s="1290"/>
      <c r="M31" s="1290"/>
      <c r="N31" s="1255"/>
      <c r="O31" s="1253"/>
      <c r="P31" s="1253"/>
      <c r="Q31" s="1253"/>
      <c r="R31" s="1253"/>
      <c r="S31" s="1253"/>
      <c r="T31" s="1253"/>
      <c r="U31" s="1253"/>
    </row>
    <row r="32" spans="1:21" ht="12.75">
      <c r="A32" s="1325" t="s">
        <v>330</v>
      </c>
      <c r="B32" s="1246" t="s">
        <v>1410</v>
      </c>
      <c r="C32" s="1242"/>
      <c r="D32" s="1243"/>
      <c r="E32" s="1252">
        <f>SUM(H32+N32+T32)</f>
        <v>2</v>
      </c>
      <c r="F32" s="1252">
        <f>SUM(I32+O32+U32)</f>
        <v>8</v>
      </c>
      <c r="G32" s="1252">
        <f>SUM(J32+P32+V32)</f>
        <v>8</v>
      </c>
      <c r="H32" s="1254"/>
      <c r="I32" s="1252"/>
      <c r="J32" s="1252"/>
      <c r="K32" s="1252"/>
      <c r="L32" s="1241"/>
      <c r="M32" s="1241"/>
      <c r="N32" s="1254">
        <v>2</v>
      </c>
      <c r="O32" s="1252">
        <v>8</v>
      </c>
      <c r="P32" s="1252">
        <v>8</v>
      </c>
      <c r="Q32" s="1252"/>
      <c r="R32" s="1252"/>
      <c r="S32" s="1252"/>
      <c r="T32" s="1252"/>
      <c r="U32" s="1252"/>
    </row>
    <row r="33" spans="1:21" ht="12.75">
      <c r="A33" s="1245"/>
      <c r="B33" s="1244"/>
      <c r="C33" s="1237"/>
      <c r="D33" s="1238"/>
      <c r="E33" s="1253"/>
      <c r="F33" s="1253"/>
      <c r="G33" s="1253"/>
      <c r="H33" s="1255"/>
      <c r="I33" s="1253"/>
      <c r="J33" s="1253"/>
      <c r="K33" s="1253"/>
      <c r="L33" s="1290"/>
      <c r="M33" s="1290"/>
      <c r="N33" s="1255"/>
      <c r="O33" s="1253"/>
      <c r="P33" s="1253"/>
      <c r="Q33" s="1253"/>
      <c r="R33" s="1253"/>
      <c r="S33" s="1253"/>
      <c r="T33" s="1253"/>
      <c r="U33" s="1253"/>
    </row>
    <row r="34" spans="1:21" ht="12.75">
      <c r="A34" s="1249" t="s">
        <v>331</v>
      </c>
      <c r="B34" s="1309" t="s">
        <v>1409</v>
      </c>
      <c r="C34" s="1310"/>
      <c r="D34" s="1311"/>
      <c r="E34" s="1252">
        <f>SUM(H34+N34+T34)</f>
        <v>38</v>
      </c>
      <c r="F34" s="1252">
        <f>SUM(I34+O34+U34)</f>
        <v>38</v>
      </c>
      <c r="G34" s="1252">
        <f>SUM(J34+P34+V34+M34)</f>
        <v>38</v>
      </c>
      <c r="H34" s="1254">
        <v>38</v>
      </c>
      <c r="I34" s="1252">
        <v>38</v>
      </c>
      <c r="J34" s="1252">
        <v>37</v>
      </c>
      <c r="K34" s="1252"/>
      <c r="L34" s="1241"/>
      <c r="M34" s="1241">
        <v>1</v>
      </c>
      <c r="N34" s="1254"/>
      <c r="O34" s="1252"/>
      <c r="P34" s="1252"/>
      <c r="Q34" s="1252"/>
      <c r="R34" s="1252"/>
      <c r="S34" s="1252"/>
      <c r="T34" s="1252"/>
      <c r="U34" s="1252"/>
    </row>
    <row r="35" spans="1:21" ht="12.75">
      <c r="A35" s="1245"/>
      <c r="B35" s="1312"/>
      <c r="C35" s="1313"/>
      <c r="D35" s="1314"/>
      <c r="E35" s="1253"/>
      <c r="F35" s="1253"/>
      <c r="G35" s="1253"/>
      <c r="H35" s="1255"/>
      <c r="I35" s="1253"/>
      <c r="J35" s="1253"/>
      <c r="K35" s="1253"/>
      <c r="L35" s="1290"/>
      <c r="M35" s="1290"/>
      <c r="N35" s="1255"/>
      <c r="O35" s="1253"/>
      <c r="P35" s="1253"/>
      <c r="Q35" s="1253"/>
      <c r="R35" s="1253"/>
      <c r="S35" s="1253"/>
      <c r="T35" s="1253"/>
      <c r="U35" s="1253"/>
    </row>
    <row r="36" spans="1:21" ht="12.75">
      <c r="A36" s="1249"/>
      <c r="B36" s="1303" t="s">
        <v>990</v>
      </c>
      <c r="C36" s="1304"/>
      <c r="D36" s="1305"/>
      <c r="E36" s="1247">
        <f aca="true" t="shared" si="0" ref="E36:R36">SUM(E12:E35)</f>
        <v>282</v>
      </c>
      <c r="F36" s="1247">
        <f t="shared" si="0"/>
        <v>282</v>
      </c>
      <c r="G36" s="1247">
        <f t="shared" si="0"/>
        <v>282</v>
      </c>
      <c r="H36" s="1301">
        <f t="shared" si="0"/>
        <v>248</v>
      </c>
      <c r="I36" s="1247">
        <f t="shared" si="0"/>
        <v>248</v>
      </c>
      <c r="J36" s="1247">
        <f t="shared" si="0"/>
        <v>247</v>
      </c>
      <c r="K36" s="1247">
        <f t="shared" si="0"/>
        <v>1</v>
      </c>
      <c r="L36" s="1239">
        <f t="shared" si="0"/>
        <v>1</v>
      </c>
      <c r="M36" s="1239">
        <f t="shared" si="0"/>
        <v>3</v>
      </c>
      <c r="N36" s="1301">
        <f t="shared" si="0"/>
        <v>32</v>
      </c>
      <c r="O36" s="1247">
        <f t="shared" si="0"/>
        <v>33</v>
      </c>
      <c r="P36" s="1247">
        <f t="shared" si="0"/>
        <v>32</v>
      </c>
      <c r="Q36" s="1247">
        <f t="shared" si="0"/>
        <v>1</v>
      </c>
      <c r="R36" s="1247">
        <f t="shared" si="0"/>
        <v>1</v>
      </c>
      <c r="S36" s="1252"/>
      <c r="T36" s="1247">
        <v>6</v>
      </c>
      <c r="U36" s="1247"/>
    </row>
    <row r="37" spans="1:21" ht="12.75">
      <c r="A37" s="1245"/>
      <c r="B37" s="1306"/>
      <c r="C37" s="1307"/>
      <c r="D37" s="1308"/>
      <c r="E37" s="1248"/>
      <c r="F37" s="1248"/>
      <c r="G37" s="1248"/>
      <c r="H37" s="1302"/>
      <c r="I37" s="1248"/>
      <c r="J37" s="1248"/>
      <c r="K37" s="1248"/>
      <c r="L37" s="1240"/>
      <c r="M37" s="1240"/>
      <c r="N37" s="1302"/>
      <c r="O37" s="1248"/>
      <c r="P37" s="1248"/>
      <c r="Q37" s="1248"/>
      <c r="R37" s="1248"/>
      <c r="S37" s="1253"/>
      <c r="T37" s="1248"/>
      <c r="U37" s="1248"/>
    </row>
    <row r="38" spans="1:21" ht="12.75">
      <c r="A38" s="1249" t="s">
        <v>332</v>
      </c>
      <c r="B38" s="1246" t="s">
        <v>333</v>
      </c>
      <c r="C38" s="1242"/>
      <c r="D38" s="1243"/>
      <c r="E38" s="1252">
        <f>SUM(H38+N38+T38)</f>
        <v>1</v>
      </c>
      <c r="F38" s="1252"/>
      <c r="G38" s="1252"/>
      <c r="H38" s="1254">
        <v>1</v>
      </c>
      <c r="I38" s="1252"/>
      <c r="J38" s="1252"/>
      <c r="K38" s="1252"/>
      <c r="L38" s="1241"/>
      <c r="M38" s="1252"/>
      <c r="N38" s="1254"/>
      <c r="O38" s="1252"/>
      <c r="P38" s="1252"/>
      <c r="Q38" s="1252"/>
      <c r="R38" s="1252"/>
      <c r="S38" s="1252"/>
      <c r="T38" s="1252"/>
      <c r="U38" s="1252"/>
    </row>
    <row r="39" spans="1:21" ht="12.75">
      <c r="A39" s="1245"/>
      <c r="B39" s="1244"/>
      <c r="C39" s="1237"/>
      <c r="D39" s="1238"/>
      <c r="E39" s="1253"/>
      <c r="F39" s="1253"/>
      <c r="G39" s="1253"/>
      <c r="H39" s="1255"/>
      <c r="I39" s="1253"/>
      <c r="J39" s="1253"/>
      <c r="K39" s="1253"/>
      <c r="L39" s="1290"/>
      <c r="M39" s="1253"/>
      <c r="N39" s="1255"/>
      <c r="O39" s="1253"/>
      <c r="P39" s="1253"/>
      <c r="Q39" s="1253"/>
      <c r="R39" s="1253"/>
      <c r="S39" s="1253"/>
      <c r="T39" s="1253"/>
      <c r="U39" s="1253"/>
    </row>
    <row r="40" spans="1:21" ht="12.75">
      <c r="A40" s="1325" t="s">
        <v>334</v>
      </c>
      <c r="B40" s="1303" t="s">
        <v>1088</v>
      </c>
      <c r="C40" s="1304"/>
      <c r="D40" s="1305"/>
      <c r="E40" s="1252">
        <f>SUM(H40+N40+T40)</f>
        <v>40</v>
      </c>
      <c r="F40" s="1252">
        <f>SUM(I40+O40+U40)</f>
        <v>45</v>
      </c>
      <c r="G40" s="1252">
        <f>SUM(J40+M40+P40)</f>
        <v>45</v>
      </c>
      <c r="H40" s="1254">
        <v>40</v>
      </c>
      <c r="I40" s="1252">
        <v>35</v>
      </c>
      <c r="J40" s="1252">
        <v>35</v>
      </c>
      <c r="K40" s="1252"/>
      <c r="L40" s="1241"/>
      <c r="M40" s="1241"/>
      <c r="N40" s="1254"/>
      <c r="O40" s="1252">
        <v>10</v>
      </c>
      <c r="P40" s="1252">
        <v>10</v>
      </c>
      <c r="Q40" s="1252"/>
      <c r="R40" s="1252"/>
      <c r="S40" s="1252"/>
      <c r="T40" s="1252"/>
      <c r="U40" s="1252"/>
    </row>
    <row r="41" spans="1:21" ht="12.75">
      <c r="A41" s="1245"/>
      <c r="B41" s="1306"/>
      <c r="C41" s="1307"/>
      <c r="D41" s="1308"/>
      <c r="E41" s="1253"/>
      <c r="F41" s="1253"/>
      <c r="G41" s="1253"/>
      <c r="H41" s="1255"/>
      <c r="I41" s="1253"/>
      <c r="J41" s="1253"/>
      <c r="K41" s="1253"/>
      <c r="L41" s="1290"/>
      <c r="M41" s="1290"/>
      <c r="N41" s="1255"/>
      <c r="O41" s="1253"/>
      <c r="P41" s="1253"/>
      <c r="Q41" s="1253"/>
      <c r="R41" s="1253"/>
      <c r="S41" s="1253"/>
      <c r="T41" s="1253"/>
      <c r="U41" s="1253"/>
    </row>
    <row r="42" spans="1:21" ht="12.75">
      <c r="A42" s="1325" t="s">
        <v>335</v>
      </c>
      <c r="B42" s="1246" t="s">
        <v>336</v>
      </c>
      <c r="C42" s="1242"/>
      <c r="D42" s="1243"/>
      <c r="E42" s="1252">
        <f>SUM(H42+N42+T42)</f>
        <v>30</v>
      </c>
      <c r="F42" s="1252">
        <f>SUM(I42+O42+U42)</f>
        <v>30</v>
      </c>
      <c r="G42" s="1252">
        <f>SUM(J42+P42+V42)</f>
        <v>30</v>
      </c>
      <c r="H42" s="1254">
        <v>15</v>
      </c>
      <c r="I42" s="1252">
        <v>15</v>
      </c>
      <c r="J42" s="1252">
        <v>15</v>
      </c>
      <c r="K42" s="1252"/>
      <c r="L42" s="1241"/>
      <c r="M42" s="1241"/>
      <c r="N42" s="1254">
        <v>15</v>
      </c>
      <c r="O42" s="1252">
        <v>15</v>
      </c>
      <c r="P42" s="1252">
        <v>15</v>
      </c>
      <c r="Q42" s="1252">
        <v>1</v>
      </c>
      <c r="R42" s="1252">
        <v>1</v>
      </c>
      <c r="S42" s="1252"/>
      <c r="T42" s="1252"/>
      <c r="U42" s="1252"/>
    </row>
    <row r="43" spans="1:21" ht="12.75">
      <c r="A43" s="1245"/>
      <c r="B43" s="1244"/>
      <c r="C43" s="1237"/>
      <c r="D43" s="1238"/>
      <c r="E43" s="1253"/>
      <c r="F43" s="1253"/>
      <c r="G43" s="1253"/>
      <c r="H43" s="1255"/>
      <c r="I43" s="1253"/>
      <c r="J43" s="1253"/>
      <c r="K43" s="1253"/>
      <c r="L43" s="1290"/>
      <c r="M43" s="1290"/>
      <c r="N43" s="1255"/>
      <c r="O43" s="1253"/>
      <c r="P43" s="1253"/>
      <c r="Q43" s="1253"/>
      <c r="R43" s="1253"/>
      <c r="S43" s="1253"/>
      <c r="T43" s="1253"/>
      <c r="U43" s="1253"/>
    </row>
    <row r="44" spans="1:21" ht="12.75">
      <c r="A44" s="1249" t="s">
        <v>337</v>
      </c>
      <c r="B44" s="1246" t="s">
        <v>338</v>
      </c>
      <c r="C44" s="1242"/>
      <c r="D44" s="1243"/>
      <c r="E44" s="1252">
        <f>SUM(H44+N44+T44)</f>
        <v>33</v>
      </c>
      <c r="F44" s="1252">
        <f>SUM(I44+O44+U44)</f>
        <v>33</v>
      </c>
      <c r="G44" s="1252">
        <f>SUM(J44+P44+V44)</f>
        <v>33</v>
      </c>
      <c r="H44" s="1254">
        <v>19</v>
      </c>
      <c r="I44" s="1252">
        <v>19</v>
      </c>
      <c r="J44" s="1252">
        <v>19</v>
      </c>
      <c r="K44" s="1252"/>
      <c r="L44" s="1241"/>
      <c r="M44" s="1241"/>
      <c r="N44" s="1254">
        <v>14</v>
      </c>
      <c r="O44" s="1252">
        <v>14</v>
      </c>
      <c r="P44" s="1252">
        <v>14</v>
      </c>
      <c r="Q44" s="1252">
        <v>1</v>
      </c>
      <c r="R44" s="1252">
        <v>1</v>
      </c>
      <c r="S44" s="1252"/>
      <c r="T44" s="1252"/>
      <c r="U44" s="1252"/>
    </row>
    <row r="45" spans="1:21" ht="12.75">
      <c r="A45" s="1245"/>
      <c r="B45" s="1244"/>
      <c r="C45" s="1237"/>
      <c r="D45" s="1238"/>
      <c r="E45" s="1253"/>
      <c r="F45" s="1253"/>
      <c r="G45" s="1253"/>
      <c r="H45" s="1255"/>
      <c r="I45" s="1253"/>
      <c r="J45" s="1253"/>
      <c r="K45" s="1253"/>
      <c r="L45" s="1290"/>
      <c r="M45" s="1290"/>
      <c r="N45" s="1255"/>
      <c r="O45" s="1253"/>
      <c r="P45" s="1253"/>
      <c r="Q45" s="1253"/>
      <c r="R45" s="1253"/>
      <c r="S45" s="1253"/>
      <c r="T45" s="1253"/>
      <c r="U45" s="1253"/>
    </row>
    <row r="46" spans="1:21" ht="12.75">
      <c r="A46" s="1249" t="s">
        <v>339</v>
      </c>
      <c r="B46" s="1246" t="s">
        <v>340</v>
      </c>
      <c r="C46" s="1242"/>
      <c r="D46" s="1243"/>
      <c r="E46" s="1252">
        <f>SUM(H46+N46+T46)</f>
        <v>19</v>
      </c>
      <c r="F46" s="1252">
        <f>SUM(I46+O46+U46)</f>
        <v>19</v>
      </c>
      <c r="G46" s="1252">
        <f>SUM(J46+P46+V46)</f>
        <v>19</v>
      </c>
      <c r="H46" s="1254">
        <v>9</v>
      </c>
      <c r="I46" s="1252">
        <v>9</v>
      </c>
      <c r="J46" s="1252">
        <v>9</v>
      </c>
      <c r="K46" s="1252"/>
      <c r="L46" s="1241"/>
      <c r="M46" s="1241"/>
      <c r="N46" s="1254">
        <v>10</v>
      </c>
      <c r="O46" s="1252">
        <v>10</v>
      </c>
      <c r="P46" s="1252">
        <v>10</v>
      </c>
      <c r="Q46" s="1252"/>
      <c r="R46" s="1252"/>
      <c r="S46" s="1252"/>
      <c r="T46" s="1252"/>
      <c r="U46" s="1252"/>
    </row>
    <row r="47" spans="1:21" ht="12.75">
      <c r="A47" s="1245"/>
      <c r="B47" s="1244"/>
      <c r="C47" s="1237"/>
      <c r="D47" s="1238"/>
      <c r="E47" s="1253"/>
      <c r="F47" s="1253"/>
      <c r="G47" s="1253"/>
      <c r="H47" s="1255"/>
      <c r="I47" s="1253"/>
      <c r="J47" s="1253"/>
      <c r="K47" s="1253"/>
      <c r="L47" s="1290"/>
      <c r="M47" s="1290"/>
      <c r="N47" s="1255"/>
      <c r="O47" s="1253"/>
      <c r="P47" s="1253"/>
      <c r="Q47" s="1253"/>
      <c r="R47" s="1253"/>
      <c r="S47" s="1253"/>
      <c r="T47" s="1253"/>
      <c r="U47" s="1253"/>
    </row>
    <row r="48" spans="1:21" ht="12.75">
      <c r="A48" s="1325" t="s">
        <v>341</v>
      </c>
      <c r="B48" s="1246" t="s">
        <v>342</v>
      </c>
      <c r="C48" s="1242"/>
      <c r="D48" s="1243"/>
      <c r="E48" s="1252">
        <f>SUM(H48+N48+T48)</f>
        <v>59</v>
      </c>
      <c r="F48" s="1252">
        <f>SUM(I48+O48+U48)</f>
        <v>61</v>
      </c>
      <c r="G48" s="1252">
        <f>SUM(J48+P48+V48)</f>
        <v>61</v>
      </c>
      <c r="H48" s="1254">
        <v>32</v>
      </c>
      <c r="I48" s="1252">
        <v>34</v>
      </c>
      <c r="J48" s="1252">
        <v>34</v>
      </c>
      <c r="K48" s="1252"/>
      <c r="L48" s="1241"/>
      <c r="M48" s="1241"/>
      <c r="N48" s="1254">
        <v>27</v>
      </c>
      <c r="O48" s="1252">
        <v>27</v>
      </c>
      <c r="P48" s="1252">
        <v>27</v>
      </c>
      <c r="Q48" s="1252">
        <v>1</v>
      </c>
      <c r="R48" s="1252">
        <v>1</v>
      </c>
      <c r="S48" s="1252"/>
      <c r="T48" s="1252"/>
      <c r="U48" s="1252"/>
    </row>
    <row r="49" spans="1:21" ht="12.75">
      <c r="A49" s="1245"/>
      <c r="B49" s="1244"/>
      <c r="C49" s="1237"/>
      <c r="D49" s="1238"/>
      <c r="E49" s="1253"/>
      <c r="F49" s="1253"/>
      <c r="G49" s="1253"/>
      <c r="H49" s="1255"/>
      <c r="I49" s="1253"/>
      <c r="J49" s="1253"/>
      <c r="K49" s="1253"/>
      <c r="L49" s="1290"/>
      <c r="M49" s="1290"/>
      <c r="N49" s="1255"/>
      <c r="O49" s="1253"/>
      <c r="P49" s="1253"/>
      <c r="Q49" s="1253"/>
      <c r="R49" s="1253"/>
      <c r="S49" s="1253"/>
      <c r="T49" s="1253"/>
      <c r="U49" s="1253"/>
    </row>
    <row r="50" spans="1:21" ht="12.75">
      <c r="A50" s="1249" t="s">
        <v>343</v>
      </c>
      <c r="B50" s="1246" t="s">
        <v>344</v>
      </c>
      <c r="C50" s="1242"/>
      <c r="D50" s="1243"/>
      <c r="E50" s="1252">
        <f>SUM(H50+N50+T50)</f>
        <v>30</v>
      </c>
      <c r="F50" s="1252">
        <f>SUM(I50+O50+U50)</f>
        <v>30</v>
      </c>
      <c r="G50" s="1252">
        <f>SUM(J50+P50+V50)</f>
        <v>30</v>
      </c>
      <c r="H50" s="1254">
        <v>17</v>
      </c>
      <c r="I50" s="1252">
        <v>17</v>
      </c>
      <c r="J50" s="1252">
        <v>17</v>
      </c>
      <c r="K50" s="1252"/>
      <c r="L50" s="1241"/>
      <c r="M50" s="1241"/>
      <c r="N50" s="1254">
        <v>13</v>
      </c>
      <c r="O50" s="1252">
        <v>13</v>
      </c>
      <c r="P50" s="1252">
        <v>13</v>
      </c>
      <c r="Q50" s="1252"/>
      <c r="R50" s="1252"/>
      <c r="S50" s="1252"/>
      <c r="T50" s="1252"/>
      <c r="U50" s="1252"/>
    </row>
    <row r="51" spans="1:21" ht="12.75">
      <c r="A51" s="1245"/>
      <c r="B51" s="1244"/>
      <c r="C51" s="1237"/>
      <c r="D51" s="1238"/>
      <c r="E51" s="1253"/>
      <c r="F51" s="1253"/>
      <c r="G51" s="1253"/>
      <c r="H51" s="1255"/>
      <c r="I51" s="1253"/>
      <c r="J51" s="1253"/>
      <c r="K51" s="1253"/>
      <c r="L51" s="1290"/>
      <c r="M51" s="1290"/>
      <c r="N51" s="1255"/>
      <c r="O51" s="1253"/>
      <c r="P51" s="1253"/>
      <c r="Q51" s="1253"/>
      <c r="R51" s="1253"/>
      <c r="S51" s="1253"/>
      <c r="T51" s="1253"/>
      <c r="U51" s="1253"/>
    </row>
    <row r="52" spans="1:21" ht="12.75">
      <c r="A52" s="1249" t="s">
        <v>345</v>
      </c>
      <c r="B52" s="1246" t="s">
        <v>346</v>
      </c>
      <c r="C52" s="1242"/>
      <c r="D52" s="1243"/>
      <c r="E52" s="1252">
        <f>SUM(H52+N52+T52)</f>
        <v>24</v>
      </c>
      <c r="F52" s="1252">
        <f>SUM(I52+O52+U52)</f>
        <v>24</v>
      </c>
      <c r="G52" s="1252">
        <f>SUM(J52+P52+V52)</f>
        <v>24</v>
      </c>
      <c r="H52" s="1254">
        <v>14</v>
      </c>
      <c r="I52" s="1252">
        <v>14</v>
      </c>
      <c r="J52" s="1252">
        <v>14</v>
      </c>
      <c r="K52" s="1252"/>
      <c r="L52" s="1241"/>
      <c r="M52" s="1241"/>
      <c r="N52" s="1254">
        <v>10</v>
      </c>
      <c r="O52" s="1252">
        <v>10</v>
      </c>
      <c r="P52" s="1252">
        <v>10</v>
      </c>
      <c r="Q52" s="1252"/>
      <c r="R52" s="1252"/>
      <c r="S52" s="1252"/>
      <c r="T52" s="1252"/>
      <c r="U52" s="1252"/>
    </row>
    <row r="53" spans="1:21" ht="12.75">
      <c r="A53" s="1245"/>
      <c r="B53" s="1244"/>
      <c r="C53" s="1237"/>
      <c r="D53" s="1238"/>
      <c r="E53" s="1253"/>
      <c r="F53" s="1253"/>
      <c r="G53" s="1253"/>
      <c r="H53" s="1255"/>
      <c r="I53" s="1253"/>
      <c r="J53" s="1253"/>
      <c r="K53" s="1253"/>
      <c r="L53" s="1290"/>
      <c r="M53" s="1290"/>
      <c r="N53" s="1255"/>
      <c r="O53" s="1253"/>
      <c r="P53" s="1253"/>
      <c r="Q53" s="1253"/>
      <c r="R53" s="1253"/>
      <c r="S53" s="1253"/>
      <c r="T53" s="1253"/>
      <c r="U53" s="1253"/>
    </row>
    <row r="54" spans="1:21" ht="12.75">
      <c r="A54" s="1249" t="s">
        <v>347</v>
      </c>
      <c r="B54" s="1246" t="s">
        <v>348</v>
      </c>
      <c r="C54" s="1242"/>
      <c r="D54" s="1243"/>
      <c r="E54" s="1252">
        <f>SUM(H54+N54+T54)</f>
        <v>15</v>
      </c>
      <c r="F54" s="1252">
        <f>SUM(I54+O54+U54)</f>
        <v>15</v>
      </c>
      <c r="G54" s="1252">
        <f>SUM(J54+P54+V54)</f>
        <v>15</v>
      </c>
      <c r="H54" s="1254">
        <v>9</v>
      </c>
      <c r="I54" s="1252">
        <v>9</v>
      </c>
      <c r="J54" s="1252">
        <v>9</v>
      </c>
      <c r="K54" s="1252"/>
      <c r="L54" s="1241"/>
      <c r="M54" s="1241"/>
      <c r="N54" s="1254">
        <v>6</v>
      </c>
      <c r="O54" s="1252">
        <v>6</v>
      </c>
      <c r="P54" s="1252">
        <v>6</v>
      </c>
      <c r="Q54" s="1252"/>
      <c r="R54" s="1252"/>
      <c r="S54" s="1252"/>
      <c r="T54" s="1252"/>
      <c r="U54" s="1252"/>
    </row>
    <row r="55" spans="1:21" ht="12.75">
      <c r="A55" s="1245"/>
      <c r="B55" s="1244"/>
      <c r="C55" s="1237"/>
      <c r="D55" s="1238"/>
      <c r="E55" s="1253"/>
      <c r="F55" s="1253"/>
      <c r="G55" s="1253"/>
      <c r="H55" s="1255"/>
      <c r="I55" s="1253"/>
      <c r="J55" s="1253"/>
      <c r="K55" s="1253"/>
      <c r="L55" s="1290"/>
      <c r="M55" s="1290"/>
      <c r="N55" s="1255"/>
      <c r="O55" s="1253"/>
      <c r="P55" s="1253"/>
      <c r="Q55" s="1253"/>
      <c r="R55" s="1253"/>
      <c r="S55" s="1253"/>
      <c r="T55" s="1253"/>
      <c r="U55" s="1253"/>
    </row>
    <row r="56" spans="1:21" ht="12.75">
      <c r="A56" s="1249" t="s">
        <v>349</v>
      </c>
      <c r="B56" s="1246" t="s">
        <v>350</v>
      </c>
      <c r="C56" s="1242"/>
      <c r="D56" s="1243"/>
      <c r="E56" s="1252">
        <f>SUM(H56+N56+T56)</f>
        <v>15</v>
      </c>
      <c r="F56" s="1252">
        <f>SUM(I56+O56+U56)</f>
        <v>15</v>
      </c>
      <c r="G56" s="1252">
        <f>SUM(J56+P56+V56)</f>
        <v>15</v>
      </c>
      <c r="H56" s="1254">
        <v>9</v>
      </c>
      <c r="I56" s="1252">
        <v>9</v>
      </c>
      <c r="J56" s="1252">
        <v>9</v>
      </c>
      <c r="K56" s="1252"/>
      <c r="L56" s="1241"/>
      <c r="M56" s="1241"/>
      <c r="N56" s="1254">
        <v>6</v>
      </c>
      <c r="O56" s="1252">
        <v>6</v>
      </c>
      <c r="P56" s="1252">
        <v>6</v>
      </c>
      <c r="Q56" s="1252"/>
      <c r="R56" s="1252"/>
      <c r="S56" s="1252"/>
      <c r="T56" s="1252"/>
      <c r="U56" s="1252"/>
    </row>
    <row r="57" spans="1:21" ht="12.75">
      <c r="A57" s="1245"/>
      <c r="B57" s="1244"/>
      <c r="C57" s="1237"/>
      <c r="D57" s="1238"/>
      <c r="E57" s="1253"/>
      <c r="F57" s="1253"/>
      <c r="G57" s="1253"/>
      <c r="H57" s="1255"/>
      <c r="I57" s="1253"/>
      <c r="J57" s="1253"/>
      <c r="K57" s="1253"/>
      <c r="L57" s="1290"/>
      <c r="M57" s="1290"/>
      <c r="N57" s="1255"/>
      <c r="O57" s="1253"/>
      <c r="P57" s="1253"/>
      <c r="Q57" s="1253"/>
      <c r="R57" s="1253"/>
      <c r="S57" s="1253"/>
      <c r="T57" s="1253"/>
      <c r="U57" s="1253"/>
    </row>
    <row r="58" spans="1:21" ht="12.75">
      <c r="A58" s="1249" t="s">
        <v>351</v>
      </c>
      <c r="B58" s="1246" t="s">
        <v>352</v>
      </c>
      <c r="C58" s="1242"/>
      <c r="D58" s="1243"/>
      <c r="E58" s="1252">
        <f>SUM(H58+N58+T58)</f>
        <v>15</v>
      </c>
      <c r="F58" s="1252">
        <f>SUM(I58+O58+U58)</f>
        <v>15</v>
      </c>
      <c r="G58" s="1252">
        <f>SUM(J58+P58+V58)</f>
        <v>15</v>
      </c>
      <c r="H58" s="1254">
        <v>9</v>
      </c>
      <c r="I58" s="1252">
        <v>9</v>
      </c>
      <c r="J58" s="1252">
        <v>9</v>
      </c>
      <c r="K58" s="1252"/>
      <c r="L58" s="1241"/>
      <c r="M58" s="1241"/>
      <c r="N58" s="1254">
        <v>6</v>
      </c>
      <c r="O58" s="1252">
        <v>6</v>
      </c>
      <c r="P58" s="1252">
        <v>6</v>
      </c>
      <c r="Q58" s="1252"/>
      <c r="R58" s="1252"/>
      <c r="S58" s="1252"/>
      <c r="T58" s="1252"/>
      <c r="U58" s="1252"/>
    </row>
    <row r="59" spans="1:21" ht="12.75">
      <c r="A59" s="1245"/>
      <c r="B59" s="1244"/>
      <c r="C59" s="1237"/>
      <c r="D59" s="1238"/>
      <c r="E59" s="1253"/>
      <c r="F59" s="1253"/>
      <c r="G59" s="1253"/>
      <c r="H59" s="1255"/>
      <c r="I59" s="1253"/>
      <c r="J59" s="1253"/>
      <c r="K59" s="1253"/>
      <c r="L59" s="1290"/>
      <c r="M59" s="1290"/>
      <c r="N59" s="1255"/>
      <c r="O59" s="1253"/>
      <c r="P59" s="1253"/>
      <c r="Q59" s="1253"/>
      <c r="R59" s="1253"/>
      <c r="S59" s="1253"/>
      <c r="T59" s="1253"/>
      <c r="U59" s="1253"/>
    </row>
    <row r="60" spans="1:21" ht="12.75">
      <c r="A60" s="1249" t="s">
        <v>353</v>
      </c>
      <c r="B60" s="1246" t="s">
        <v>354</v>
      </c>
      <c r="C60" s="1242"/>
      <c r="D60" s="1243"/>
      <c r="E60" s="1252">
        <f>SUM(H60+N60+T60)</f>
        <v>53</v>
      </c>
      <c r="F60" s="1252">
        <f>SUM(I60+O60+U60)</f>
        <v>53</v>
      </c>
      <c r="G60" s="1252">
        <f>SUM(J60+P60+V60)</f>
        <v>53</v>
      </c>
      <c r="H60" s="1254">
        <v>37</v>
      </c>
      <c r="I60" s="1252">
        <v>37</v>
      </c>
      <c r="J60" s="1252">
        <v>37</v>
      </c>
      <c r="K60" s="1252"/>
      <c r="L60" s="1241"/>
      <c r="M60" s="1241"/>
      <c r="N60" s="1254">
        <v>16</v>
      </c>
      <c r="O60" s="1252">
        <v>16</v>
      </c>
      <c r="P60" s="1252">
        <v>16</v>
      </c>
      <c r="Q60" s="1252"/>
      <c r="R60" s="1252"/>
      <c r="S60" s="1252"/>
      <c r="T60" s="1252"/>
      <c r="U60" s="1252"/>
    </row>
    <row r="61" spans="1:21" ht="12.75">
      <c r="A61" s="1245"/>
      <c r="B61" s="1244"/>
      <c r="C61" s="1237"/>
      <c r="D61" s="1238"/>
      <c r="E61" s="1253"/>
      <c r="F61" s="1253"/>
      <c r="G61" s="1253"/>
      <c r="H61" s="1255"/>
      <c r="I61" s="1253"/>
      <c r="J61" s="1253"/>
      <c r="K61" s="1253"/>
      <c r="L61" s="1290"/>
      <c r="M61" s="1290"/>
      <c r="N61" s="1255"/>
      <c r="O61" s="1253"/>
      <c r="P61" s="1253"/>
      <c r="Q61" s="1253"/>
      <c r="R61" s="1253"/>
      <c r="S61" s="1253"/>
      <c r="T61" s="1253"/>
      <c r="U61" s="1253"/>
    </row>
    <row r="62" spans="1:21" ht="12.75">
      <c r="A62" s="1249" t="s">
        <v>355</v>
      </c>
      <c r="B62" s="1246" t="s">
        <v>356</v>
      </c>
      <c r="C62" s="1242"/>
      <c r="D62" s="1243"/>
      <c r="E62" s="1252">
        <f>SUM(H62+N62+T62)</f>
        <v>39</v>
      </c>
      <c r="F62" s="1252">
        <f>SUM(I62+O62+U62)</f>
        <v>0</v>
      </c>
      <c r="G62" s="1252">
        <f>SUM(J62+P62+V62)</f>
        <v>0</v>
      </c>
      <c r="H62" s="1254">
        <v>25</v>
      </c>
      <c r="I62" s="1252"/>
      <c r="J62" s="1252"/>
      <c r="K62" s="1252"/>
      <c r="L62" s="1241"/>
      <c r="M62" s="1241"/>
      <c r="N62" s="1254">
        <v>14</v>
      </c>
      <c r="O62" s="1252"/>
      <c r="P62" s="1252"/>
      <c r="Q62" s="1252"/>
      <c r="R62" s="1252"/>
      <c r="S62" s="1252"/>
      <c r="T62" s="1252"/>
      <c r="U62" s="1252"/>
    </row>
    <row r="63" spans="1:21" ht="12.75">
      <c r="A63" s="1245"/>
      <c r="B63" s="1244"/>
      <c r="C63" s="1237"/>
      <c r="D63" s="1238"/>
      <c r="E63" s="1253"/>
      <c r="F63" s="1253"/>
      <c r="G63" s="1253"/>
      <c r="H63" s="1255"/>
      <c r="I63" s="1253"/>
      <c r="J63" s="1253"/>
      <c r="K63" s="1253"/>
      <c r="L63" s="1290"/>
      <c r="M63" s="1290"/>
      <c r="N63" s="1255"/>
      <c r="O63" s="1253"/>
      <c r="P63" s="1253"/>
      <c r="Q63" s="1253"/>
      <c r="R63" s="1253"/>
      <c r="S63" s="1253"/>
      <c r="T63" s="1253"/>
      <c r="U63" s="1253"/>
    </row>
    <row r="64" spans="1:21" ht="12.75">
      <c r="A64" s="1249" t="s">
        <v>357</v>
      </c>
      <c r="B64" s="1246" t="s">
        <v>358</v>
      </c>
      <c r="C64" s="1242"/>
      <c r="D64" s="1243"/>
      <c r="E64" s="1252">
        <f>SUM(H64+N64+T64)</f>
        <v>49</v>
      </c>
      <c r="F64" s="1252">
        <f>SUM(I64+O64+U64)</f>
        <v>64</v>
      </c>
      <c r="G64" s="1252">
        <f>SUM(J64+P64+V64)</f>
        <v>64</v>
      </c>
      <c r="H64" s="1254">
        <v>33</v>
      </c>
      <c r="I64" s="1252">
        <v>44</v>
      </c>
      <c r="J64" s="1252">
        <v>44</v>
      </c>
      <c r="K64" s="1252">
        <v>1</v>
      </c>
      <c r="L64" s="1241">
        <v>1</v>
      </c>
      <c r="M64" s="1241"/>
      <c r="N64" s="1254">
        <v>16</v>
      </c>
      <c r="O64" s="1252">
        <v>20</v>
      </c>
      <c r="P64" s="1252">
        <v>20</v>
      </c>
      <c r="Q64" s="1252"/>
      <c r="R64" s="1252"/>
      <c r="S64" s="1252"/>
      <c r="T64" s="1252"/>
      <c r="U64" s="1252"/>
    </row>
    <row r="65" spans="1:21" ht="12.75">
      <c r="A65" s="1245"/>
      <c r="B65" s="1244"/>
      <c r="C65" s="1237"/>
      <c r="D65" s="1238"/>
      <c r="E65" s="1253"/>
      <c r="F65" s="1253"/>
      <c r="G65" s="1253"/>
      <c r="H65" s="1255"/>
      <c r="I65" s="1253"/>
      <c r="J65" s="1253"/>
      <c r="K65" s="1253"/>
      <c r="L65" s="1290"/>
      <c r="M65" s="1290"/>
      <c r="N65" s="1255"/>
      <c r="O65" s="1253"/>
      <c r="P65" s="1253"/>
      <c r="Q65" s="1253"/>
      <c r="R65" s="1253"/>
      <c r="S65" s="1253"/>
      <c r="T65" s="1253"/>
      <c r="U65" s="1253"/>
    </row>
    <row r="66" spans="1:21" ht="12.75">
      <c r="A66" s="1249" t="s">
        <v>359</v>
      </c>
      <c r="B66" s="1246" t="s">
        <v>360</v>
      </c>
      <c r="C66" s="1242"/>
      <c r="D66" s="1243"/>
      <c r="E66" s="1252">
        <f>SUM(H66+N66+T66)</f>
        <v>86</v>
      </c>
      <c r="F66" s="1252">
        <f>SUM(I66+O66+U66)</f>
        <v>86</v>
      </c>
      <c r="G66" s="1252">
        <f>SUM(J66+P66+V66)</f>
        <v>86</v>
      </c>
      <c r="H66" s="1254">
        <v>57</v>
      </c>
      <c r="I66" s="1252">
        <v>57</v>
      </c>
      <c r="J66" s="1252">
        <v>57</v>
      </c>
      <c r="K66" s="1252"/>
      <c r="L66" s="1241"/>
      <c r="M66" s="1241"/>
      <c r="N66" s="1254">
        <v>29</v>
      </c>
      <c r="O66" s="1252">
        <v>29</v>
      </c>
      <c r="P66" s="1252">
        <v>29</v>
      </c>
      <c r="Q66" s="1252"/>
      <c r="R66" s="1252"/>
      <c r="S66" s="1252"/>
      <c r="T66" s="1252"/>
      <c r="U66" s="1252"/>
    </row>
    <row r="67" spans="1:21" ht="12.75">
      <c r="A67" s="1245"/>
      <c r="B67" s="1244"/>
      <c r="C67" s="1237"/>
      <c r="D67" s="1238"/>
      <c r="E67" s="1253"/>
      <c r="F67" s="1253"/>
      <c r="G67" s="1253"/>
      <c r="H67" s="1255"/>
      <c r="I67" s="1253"/>
      <c r="J67" s="1253"/>
      <c r="K67" s="1253"/>
      <c r="L67" s="1290"/>
      <c r="M67" s="1290"/>
      <c r="N67" s="1255"/>
      <c r="O67" s="1253"/>
      <c r="P67" s="1253"/>
      <c r="Q67" s="1253"/>
      <c r="R67" s="1253"/>
      <c r="S67" s="1253"/>
      <c r="T67" s="1253"/>
      <c r="U67" s="1253"/>
    </row>
    <row r="68" spans="1:21" ht="12.75">
      <c r="A68" s="1249" t="s">
        <v>361</v>
      </c>
      <c r="B68" s="1246" t="s">
        <v>362</v>
      </c>
      <c r="C68" s="1242"/>
      <c r="D68" s="1243"/>
      <c r="E68" s="1252">
        <f>SUM(H68+N68+T68)</f>
        <v>50</v>
      </c>
      <c r="F68" s="1252">
        <f>SUM(I68+O68+U68)</f>
        <v>50</v>
      </c>
      <c r="G68" s="1252">
        <f>SUM(J68+P68+V68)</f>
        <v>50</v>
      </c>
      <c r="H68" s="1254">
        <v>35</v>
      </c>
      <c r="I68" s="1252">
        <v>35</v>
      </c>
      <c r="J68" s="1252">
        <v>35</v>
      </c>
      <c r="K68" s="1252"/>
      <c r="L68" s="1241"/>
      <c r="M68" s="1241"/>
      <c r="N68" s="1254">
        <v>15</v>
      </c>
      <c r="O68" s="1252">
        <v>15</v>
      </c>
      <c r="P68" s="1252">
        <v>15</v>
      </c>
      <c r="Q68" s="1252"/>
      <c r="R68" s="1252"/>
      <c r="S68" s="1252"/>
      <c r="T68" s="1252"/>
      <c r="U68" s="1252"/>
    </row>
    <row r="69" spans="1:21" ht="12.75">
      <c r="A69" s="1245"/>
      <c r="B69" s="1244"/>
      <c r="C69" s="1237"/>
      <c r="D69" s="1238"/>
      <c r="E69" s="1253"/>
      <c r="F69" s="1253"/>
      <c r="G69" s="1253"/>
      <c r="H69" s="1255"/>
      <c r="I69" s="1253"/>
      <c r="J69" s="1253"/>
      <c r="K69" s="1253"/>
      <c r="L69" s="1290"/>
      <c r="M69" s="1290"/>
      <c r="N69" s="1255"/>
      <c r="O69" s="1253"/>
      <c r="P69" s="1253"/>
      <c r="Q69" s="1253"/>
      <c r="R69" s="1253"/>
      <c r="S69" s="1253"/>
      <c r="T69" s="1253"/>
      <c r="U69" s="1253"/>
    </row>
    <row r="70" spans="1:21" ht="12.75">
      <c r="A70" s="1249" t="s">
        <v>363</v>
      </c>
      <c r="B70" s="1246" t="s">
        <v>364</v>
      </c>
      <c r="C70" s="1242"/>
      <c r="D70" s="1243"/>
      <c r="E70" s="1252">
        <f>SUM(H70+N70+T70)</f>
        <v>55</v>
      </c>
      <c r="F70" s="1252">
        <f>SUM(I70+O70+U70)</f>
        <v>55</v>
      </c>
      <c r="G70" s="1252">
        <f>SUM(J70+P70+V70)</f>
        <v>55</v>
      </c>
      <c r="H70" s="1254">
        <v>39</v>
      </c>
      <c r="I70" s="1252">
        <v>39</v>
      </c>
      <c r="J70" s="1252">
        <v>39</v>
      </c>
      <c r="K70" s="1252"/>
      <c r="L70" s="1241"/>
      <c r="M70" s="1241"/>
      <c r="N70" s="1254">
        <v>16</v>
      </c>
      <c r="O70" s="1252">
        <v>16</v>
      </c>
      <c r="P70" s="1252">
        <v>16</v>
      </c>
      <c r="Q70" s="1252"/>
      <c r="R70" s="1252"/>
      <c r="S70" s="1252"/>
      <c r="T70" s="1252"/>
      <c r="U70" s="1252"/>
    </row>
    <row r="71" spans="1:21" ht="12" customHeight="1">
      <c r="A71" s="1245"/>
      <c r="B71" s="1244"/>
      <c r="C71" s="1237"/>
      <c r="D71" s="1238"/>
      <c r="E71" s="1253"/>
      <c r="F71" s="1253"/>
      <c r="G71" s="1253"/>
      <c r="H71" s="1255"/>
      <c r="I71" s="1253"/>
      <c r="J71" s="1253"/>
      <c r="K71" s="1253"/>
      <c r="L71" s="1290"/>
      <c r="M71" s="1290"/>
      <c r="N71" s="1255"/>
      <c r="O71" s="1253"/>
      <c r="P71" s="1253"/>
      <c r="Q71" s="1253"/>
      <c r="R71" s="1253"/>
      <c r="S71" s="1253"/>
      <c r="T71" s="1253"/>
      <c r="U71" s="1253"/>
    </row>
    <row r="72" spans="1:21" ht="12.75">
      <c r="A72" s="1249" t="s">
        <v>365</v>
      </c>
      <c r="B72" s="1246" t="s">
        <v>366</v>
      </c>
      <c r="C72" s="1242"/>
      <c r="D72" s="1243"/>
      <c r="E72" s="1252">
        <f>SUM(H72+N72+T72)</f>
        <v>52</v>
      </c>
      <c r="F72" s="1252">
        <f>SUM(I72+O72+U72)</f>
        <v>52</v>
      </c>
      <c r="G72" s="1252">
        <f>SUM(J72+P72+V72)</f>
        <v>52</v>
      </c>
      <c r="H72" s="1254">
        <v>36</v>
      </c>
      <c r="I72" s="1252">
        <v>36</v>
      </c>
      <c r="J72" s="1252">
        <v>36</v>
      </c>
      <c r="K72" s="1252"/>
      <c r="L72" s="1241"/>
      <c r="M72" s="1241"/>
      <c r="N72" s="1254">
        <v>16</v>
      </c>
      <c r="O72" s="1252">
        <v>16</v>
      </c>
      <c r="P72" s="1252">
        <v>16</v>
      </c>
      <c r="Q72" s="1252"/>
      <c r="R72" s="1252"/>
      <c r="S72" s="1252"/>
      <c r="T72" s="1252"/>
      <c r="U72" s="1252"/>
    </row>
    <row r="73" spans="1:21" ht="11.25" customHeight="1">
      <c r="A73" s="1245"/>
      <c r="B73" s="1244"/>
      <c r="C73" s="1237"/>
      <c r="D73" s="1238"/>
      <c r="E73" s="1253"/>
      <c r="F73" s="1253"/>
      <c r="G73" s="1253"/>
      <c r="H73" s="1255"/>
      <c r="I73" s="1253"/>
      <c r="J73" s="1253"/>
      <c r="K73" s="1253"/>
      <c r="L73" s="1290"/>
      <c r="M73" s="1290"/>
      <c r="N73" s="1255"/>
      <c r="O73" s="1253"/>
      <c r="P73" s="1253"/>
      <c r="Q73" s="1253"/>
      <c r="R73" s="1253"/>
      <c r="S73" s="1253"/>
      <c r="T73" s="1253"/>
      <c r="U73" s="1253"/>
    </row>
    <row r="74" spans="1:21" ht="12.75">
      <c r="A74" s="1249" t="s">
        <v>367</v>
      </c>
      <c r="B74" s="1246" t="s">
        <v>368</v>
      </c>
      <c r="C74" s="1242"/>
      <c r="D74" s="1243"/>
      <c r="E74" s="1252">
        <f>SUM(H74+N74+T74)</f>
        <v>52</v>
      </c>
      <c r="F74" s="1252">
        <f>SUM(I74+O74+U74)</f>
        <v>52</v>
      </c>
      <c r="G74" s="1252">
        <f>SUM(J74+P74+V74)</f>
        <v>52</v>
      </c>
      <c r="H74" s="1254">
        <v>37</v>
      </c>
      <c r="I74" s="1252">
        <v>37</v>
      </c>
      <c r="J74" s="1252">
        <v>37</v>
      </c>
      <c r="K74" s="1252">
        <v>1</v>
      </c>
      <c r="L74" s="1241">
        <v>1</v>
      </c>
      <c r="M74" s="1241"/>
      <c r="N74" s="1254">
        <v>15</v>
      </c>
      <c r="O74" s="1252">
        <v>15</v>
      </c>
      <c r="P74" s="1252">
        <v>15</v>
      </c>
      <c r="Q74" s="1252"/>
      <c r="R74" s="1252"/>
      <c r="S74" s="1252"/>
      <c r="T74" s="1252"/>
      <c r="U74" s="1252"/>
    </row>
    <row r="75" spans="1:21" ht="11.25" customHeight="1">
      <c r="A75" s="1245"/>
      <c r="B75" s="1244"/>
      <c r="C75" s="1237"/>
      <c r="D75" s="1238"/>
      <c r="E75" s="1253"/>
      <c r="F75" s="1253"/>
      <c r="G75" s="1253"/>
      <c r="H75" s="1255"/>
      <c r="I75" s="1253"/>
      <c r="J75" s="1253"/>
      <c r="K75" s="1253"/>
      <c r="L75" s="1290"/>
      <c r="M75" s="1290"/>
      <c r="N75" s="1255"/>
      <c r="O75" s="1253"/>
      <c r="P75" s="1253"/>
      <c r="Q75" s="1253"/>
      <c r="R75" s="1253"/>
      <c r="S75" s="1253"/>
      <c r="T75" s="1253"/>
      <c r="U75" s="1253"/>
    </row>
    <row r="76" spans="1:21" ht="12.75">
      <c r="A76" s="1249" t="s">
        <v>369</v>
      </c>
      <c r="B76" s="1309" t="s">
        <v>370</v>
      </c>
      <c r="C76" s="1310"/>
      <c r="D76" s="1311"/>
      <c r="E76" s="1252">
        <f>SUM(H76+N76+T76)</f>
        <v>91</v>
      </c>
      <c r="F76" s="1252">
        <f>SUM(I76+O76+U76)</f>
        <v>91</v>
      </c>
      <c r="G76" s="1252">
        <f>SUM(J76+P76+V76)</f>
        <v>91</v>
      </c>
      <c r="H76" s="1254">
        <v>68</v>
      </c>
      <c r="I76" s="1252">
        <v>68</v>
      </c>
      <c r="J76" s="1252">
        <v>68</v>
      </c>
      <c r="K76" s="1252"/>
      <c r="L76" s="1241"/>
      <c r="M76" s="1241"/>
      <c r="N76" s="1254">
        <v>23</v>
      </c>
      <c r="O76" s="1252">
        <v>23</v>
      </c>
      <c r="P76" s="1252">
        <v>23</v>
      </c>
      <c r="Q76" s="1252"/>
      <c r="R76" s="1252"/>
      <c r="S76" s="1252"/>
      <c r="T76" s="1252"/>
      <c r="U76" s="1252"/>
    </row>
    <row r="77" spans="1:21" ht="10.5" customHeight="1">
      <c r="A77" s="1245"/>
      <c r="B77" s="1312"/>
      <c r="C77" s="1313"/>
      <c r="D77" s="1314"/>
      <c r="E77" s="1253"/>
      <c r="F77" s="1253"/>
      <c r="G77" s="1253"/>
      <c r="H77" s="1255"/>
      <c r="I77" s="1253"/>
      <c r="J77" s="1253"/>
      <c r="K77" s="1253"/>
      <c r="L77" s="1290"/>
      <c r="M77" s="1290"/>
      <c r="N77" s="1255"/>
      <c r="O77" s="1253"/>
      <c r="P77" s="1253"/>
      <c r="Q77" s="1253"/>
      <c r="R77" s="1253"/>
      <c r="S77" s="1253"/>
      <c r="T77" s="1253"/>
      <c r="U77" s="1253"/>
    </row>
    <row r="78" spans="1:21" ht="12.75">
      <c r="A78" s="1249" t="s">
        <v>371</v>
      </c>
      <c r="B78" s="1246" t="s">
        <v>372</v>
      </c>
      <c r="C78" s="1242"/>
      <c r="D78" s="1243"/>
      <c r="E78" s="1252">
        <f>SUM(H78+N78+T78)</f>
        <v>77</v>
      </c>
      <c r="F78" s="1252">
        <f>SUM(I78+O78+U78)</f>
        <v>78</v>
      </c>
      <c r="G78" s="1252">
        <f>SUM(J78+P78+V78)</f>
        <v>78</v>
      </c>
      <c r="H78" s="1254">
        <v>56</v>
      </c>
      <c r="I78" s="1252">
        <v>57</v>
      </c>
      <c r="J78" s="1252">
        <v>57</v>
      </c>
      <c r="K78" s="1252"/>
      <c r="L78" s="1241"/>
      <c r="M78" s="1241"/>
      <c r="N78" s="1254">
        <v>21</v>
      </c>
      <c r="O78" s="1252">
        <v>21</v>
      </c>
      <c r="P78" s="1252">
        <v>21</v>
      </c>
      <c r="Q78" s="1252"/>
      <c r="R78" s="1252"/>
      <c r="S78" s="1252"/>
      <c r="T78" s="1252"/>
      <c r="U78" s="1252"/>
    </row>
    <row r="79" spans="1:21" ht="12" customHeight="1">
      <c r="A79" s="1245"/>
      <c r="B79" s="1244"/>
      <c r="C79" s="1237"/>
      <c r="D79" s="1238"/>
      <c r="E79" s="1253"/>
      <c r="F79" s="1253"/>
      <c r="G79" s="1253"/>
      <c r="H79" s="1255"/>
      <c r="I79" s="1253"/>
      <c r="J79" s="1253"/>
      <c r="K79" s="1253"/>
      <c r="L79" s="1290"/>
      <c r="M79" s="1290"/>
      <c r="N79" s="1255"/>
      <c r="O79" s="1253"/>
      <c r="P79" s="1253"/>
      <c r="Q79" s="1253"/>
      <c r="R79" s="1253"/>
      <c r="S79" s="1253"/>
      <c r="T79" s="1253"/>
      <c r="U79" s="1253"/>
    </row>
    <row r="80" spans="1:21" ht="12.75">
      <c r="A80" s="1249" t="s">
        <v>373</v>
      </c>
      <c r="B80" s="1246" t="s">
        <v>374</v>
      </c>
      <c r="C80" s="1242"/>
      <c r="D80" s="1243"/>
      <c r="E80" s="1252">
        <f>SUM(H80+N80+T80)</f>
        <v>99</v>
      </c>
      <c r="F80" s="1252">
        <f>SUM(I80+O80+U80)</f>
        <v>99</v>
      </c>
      <c r="G80" s="1252">
        <f>SUM(J80+P80+V80)</f>
        <v>99</v>
      </c>
      <c r="H80" s="1254">
        <v>73</v>
      </c>
      <c r="I80" s="1252">
        <v>73</v>
      </c>
      <c r="J80" s="1252">
        <v>73</v>
      </c>
      <c r="K80" s="1252"/>
      <c r="L80" s="1241"/>
      <c r="M80" s="1241"/>
      <c r="N80" s="1254">
        <v>26</v>
      </c>
      <c r="O80" s="1252">
        <v>26</v>
      </c>
      <c r="P80" s="1252">
        <v>26</v>
      </c>
      <c r="Q80" s="1252"/>
      <c r="R80" s="1252"/>
      <c r="S80" s="1252"/>
      <c r="T80" s="1252"/>
      <c r="U80" s="1252"/>
    </row>
    <row r="81" spans="1:21" ht="9.75" customHeight="1">
      <c r="A81" s="1245"/>
      <c r="B81" s="1244"/>
      <c r="C81" s="1237"/>
      <c r="D81" s="1238"/>
      <c r="E81" s="1253"/>
      <c r="F81" s="1253"/>
      <c r="G81" s="1253"/>
      <c r="H81" s="1255"/>
      <c r="I81" s="1253"/>
      <c r="J81" s="1253"/>
      <c r="K81" s="1253"/>
      <c r="L81" s="1290"/>
      <c r="M81" s="1290"/>
      <c r="N81" s="1255"/>
      <c r="O81" s="1253"/>
      <c r="P81" s="1253"/>
      <c r="Q81" s="1253"/>
      <c r="R81" s="1253"/>
      <c r="S81" s="1253"/>
      <c r="T81" s="1253"/>
      <c r="U81" s="1253"/>
    </row>
    <row r="82" spans="1:21" ht="12.75">
      <c r="A82" s="1249" t="s">
        <v>375</v>
      </c>
      <c r="B82" s="1246" t="s">
        <v>376</v>
      </c>
      <c r="C82" s="1242"/>
      <c r="D82" s="1243"/>
      <c r="E82" s="1252">
        <f>SUM(H82+N82+T82)</f>
        <v>96</v>
      </c>
      <c r="F82" s="1252">
        <f>SUM(I82+O82+U82)</f>
        <v>96</v>
      </c>
      <c r="G82" s="1252">
        <f>SUM(J82+P82+V82)</f>
        <v>96</v>
      </c>
      <c r="H82" s="1254">
        <v>70</v>
      </c>
      <c r="I82" s="1252">
        <v>70</v>
      </c>
      <c r="J82" s="1252">
        <v>70</v>
      </c>
      <c r="K82" s="1252"/>
      <c r="L82" s="1241"/>
      <c r="M82" s="1241"/>
      <c r="N82" s="1254">
        <v>26</v>
      </c>
      <c r="O82" s="1252">
        <v>26</v>
      </c>
      <c r="P82" s="1252">
        <v>26</v>
      </c>
      <c r="Q82" s="1252"/>
      <c r="R82" s="1252"/>
      <c r="S82" s="1252"/>
      <c r="T82" s="1252"/>
      <c r="U82" s="1252"/>
    </row>
    <row r="83" spans="1:21" ht="12.75">
      <c r="A83" s="1245"/>
      <c r="B83" s="1244"/>
      <c r="C83" s="1237"/>
      <c r="D83" s="1238"/>
      <c r="E83" s="1253"/>
      <c r="F83" s="1253"/>
      <c r="G83" s="1253"/>
      <c r="H83" s="1255"/>
      <c r="I83" s="1253"/>
      <c r="J83" s="1253"/>
      <c r="K83" s="1253"/>
      <c r="L83" s="1290"/>
      <c r="M83" s="1290"/>
      <c r="N83" s="1255"/>
      <c r="O83" s="1253"/>
      <c r="P83" s="1253"/>
      <c r="Q83" s="1253"/>
      <c r="R83" s="1253"/>
      <c r="S83" s="1253"/>
      <c r="T83" s="1253"/>
      <c r="U83" s="1253"/>
    </row>
    <row r="84" spans="1:21" ht="12.75">
      <c r="A84" s="1249" t="s">
        <v>377</v>
      </c>
      <c r="B84" s="1309" t="s">
        <v>378</v>
      </c>
      <c r="C84" s="1310"/>
      <c r="D84" s="1311"/>
      <c r="E84" s="1252">
        <f>SUM(H84+N84+T84)</f>
        <v>34</v>
      </c>
      <c r="F84" s="1252">
        <f>SUM(I84+O84+U84)</f>
        <v>41</v>
      </c>
      <c r="G84" s="1252">
        <f>SUM(J84+P84+V84)</f>
        <v>41</v>
      </c>
      <c r="H84" s="1254">
        <v>30</v>
      </c>
      <c r="I84" s="1252">
        <v>34</v>
      </c>
      <c r="J84" s="1252">
        <v>34</v>
      </c>
      <c r="K84" s="1252"/>
      <c r="L84" s="1241"/>
      <c r="M84" s="1241"/>
      <c r="N84" s="1254">
        <v>4</v>
      </c>
      <c r="O84" s="1252">
        <v>7</v>
      </c>
      <c r="P84" s="1252">
        <v>7</v>
      </c>
      <c r="Q84" s="1252"/>
      <c r="R84" s="1252"/>
      <c r="S84" s="1252"/>
      <c r="T84" s="1252"/>
      <c r="U84" s="1252"/>
    </row>
    <row r="85" spans="1:21" ht="12.75">
      <c r="A85" s="1245"/>
      <c r="B85" s="1312"/>
      <c r="C85" s="1313"/>
      <c r="D85" s="1314"/>
      <c r="E85" s="1253"/>
      <c r="F85" s="1253"/>
      <c r="G85" s="1253"/>
      <c r="H85" s="1255"/>
      <c r="I85" s="1253"/>
      <c r="J85" s="1253"/>
      <c r="K85" s="1253"/>
      <c r="L85" s="1290"/>
      <c r="M85" s="1290"/>
      <c r="N85" s="1255"/>
      <c r="O85" s="1253"/>
      <c r="P85" s="1253"/>
      <c r="Q85" s="1253"/>
      <c r="R85" s="1253"/>
      <c r="S85" s="1253"/>
      <c r="T85" s="1253"/>
      <c r="U85" s="1253"/>
    </row>
    <row r="86" spans="1:21" ht="12.75">
      <c r="A86" s="1249" t="s">
        <v>379</v>
      </c>
      <c r="B86" s="1246" t="s">
        <v>380</v>
      </c>
      <c r="C86" s="1242"/>
      <c r="D86" s="1243"/>
      <c r="E86" s="1252">
        <f>SUM(H86+N86+T86)</f>
        <v>92</v>
      </c>
      <c r="F86" s="1252">
        <f>SUM(I86+O86+U86)</f>
        <v>92</v>
      </c>
      <c r="G86" s="1252">
        <f>SUM(J86+P86+V86)</f>
        <v>92</v>
      </c>
      <c r="H86" s="1254">
        <v>57</v>
      </c>
      <c r="I86" s="1252">
        <v>57</v>
      </c>
      <c r="J86" s="1252">
        <v>57</v>
      </c>
      <c r="K86" s="1252"/>
      <c r="L86" s="1241"/>
      <c r="M86" s="1241"/>
      <c r="N86" s="1254">
        <v>35</v>
      </c>
      <c r="O86" s="1252">
        <v>35</v>
      </c>
      <c r="P86" s="1252">
        <v>35</v>
      </c>
      <c r="Q86" s="1252"/>
      <c r="R86" s="1252"/>
      <c r="S86" s="1252"/>
      <c r="T86" s="1252"/>
      <c r="U86" s="1252"/>
    </row>
    <row r="87" spans="1:21" ht="12.75">
      <c r="A87" s="1245"/>
      <c r="B87" s="1244"/>
      <c r="C87" s="1237"/>
      <c r="D87" s="1238"/>
      <c r="E87" s="1253"/>
      <c r="F87" s="1253"/>
      <c r="G87" s="1253"/>
      <c r="H87" s="1255"/>
      <c r="I87" s="1253"/>
      <c r="J87" s="1253"/>
      <c r="K87" s="1253"/>
      <c r="L87" s="1290"/>
      <c r="M87" s="1290"/>
      <c r="N87" s="1255"/>
      <c r="O87" s="1253"/>
      <c r="P87" s="1253"/>
      <c r="Q87" s="1253"/>
      <c r="R87" s="1253"/>
      <c r="S87" s="1253"/>
      <c r="T87" s="1253"/>
      <c r="U87" s="1253"/>
    </row>
    <row r="88" spans="1:21" ht="12.75">
      <c r="A88" s="1249" t="s">
        <v>381</v>
      </c>
      <c r="B88" s="1246" t="s">
        <v>1168</v>
      </c>
      <c r="C88" s="1242"/>
      <c r="D88" s="1243"/>
      <c r="E88" s="1252">
        <f>SUM(H88+N88+T88)</f>
        <v>144</v>
      </c>
      <c r="F88" s="1252">
        <f>SUM(I88+O88+U88)</f>
        <v>144</v>
      </c>
      <c r="G88" s="1252">
        <f>SUM(J88+P88+V88)</f>
        <v>144</v>
      </c>
      <c r="H88" s="1254">
        <v>124</v>
      </c>
      <c r="I88" s="1252">
        <v>124</v>
      </c>
      <c r="J88" s="1252">
        <v>124</v>
      </c>
      <c r="K88" s="1252"/>
      <c r="L88" s="1241"/>
      <c r="M88" s="1241"/>
      <c r="N88" s="1254">
        <v>20</v>
      </c>
      <c r="O88" s="1252">
        <v>20</v>
      </c>
      <c r="P88" s="1252">
        <v>20</v>
      </c>
      <c r="Q88" s="1252"/>
      <c r="R88" s="1252"/>
      <c r="S88" s="1252"/>
      <c r="T88" s="1252"/>
      <c r="U88" s="1252"/>
    </row>
    <row r="89" spans="1:21" ht="12" customHeight="1">
      <c r="A89" s="1245"/>
      <c r="B89" s="1244"/>
      <c r="C89" s="1237"/>
      <c r="D89" s="1238"/>
      <c r="E89" s="1253"/>
      <c r="F89" s="1253"/>
      <c r="G89" s="1253"/>
      <c r="H89" s="1255"/>
      <c r="I89" s="1253"/>
      <c r="J89" s="1253"/>
      <c r="K89" s="1253"/>
      <c r="L89" s="1290"/>
      <c r="M89" s="1290"/>
      <c r="N89" s="1255"/>
      <c r="O89" s="1253"/>
      <c r="P89" s="1253"/>
      <c r="Q89" s="1253"/>
      <c r="R89" s="1253"/>
      <c r="S89" s="1253"/>
      <c r="T89" s="1253"/>
      <c r="U89" s="1253"/>
    </row>
    <row r="90" spans="1:21" ht="12.75">
      <c r="A90" s="1249" t="s">
        <v>382</v>
      </c>
      <c r="B90" s="1246" t="s">
        <v>383</v>
      </c>
      <c r="C90" s="1242"/>
      <c r="D90" s="1243"/>
      <c r="E90" s="1252">
        <f>SUM(H90+N90+T90)</f>
        <v>45</v>
      </c>
      <c r="F90" s="1252">
        <f>SUM(I90+O90+U90)</f>
        <v>45</v>
      </c>
      <c r="G90" s="1252">
        <f>SUM(J90+P90+V90)</f>
        <v>45</v>
      </c>
      <c r="H90" s="1254">
        <v>21</v>
      </c>
      <c r="I90" s="1252">
        <v>21</v>
      </c>
      <c r="J90" s="1252">
        <v>21</v>
      </c>
      <c r="K90" s="1252"/>
      <c r="L90" s="1241"/>
      <c r="M90" s="1241"/>
      <c r="N90" s="1254">
        <v>24</v>
      </c>
      <c r="O90" s="1252">
        <v>24</v>
      </c>
      <c r="P90" s="1252">
        <v>24</v>
      </c>
      <c r="Q90" s="1252"/>
      <c r="R90" s="1252"/>
      <c r="S90" s="1252"/>
      <c r="T90" s="1252"/>
      <c r="U90" s="1252"/>
    </row>
    <row r="91" spans="1:21" ht="11.25" customHeight="1">
      <c r="A91" s="1245"/>
      <c r="B91" s="1244"/>
      <c r="C91" s="1237"/>
      <c r="D91" s="1238"/>
      <c r="E91" s="1253"/>
      <c r="F91" s="1253"/>
      <c r="G91" s="1253"/>
      <c r="H91" s="1255"/>
      <c r="I91" s="1253"/>
      <c r="J91" s="1253"/>
      <c r="K91" s="1253"/>
      <c r="L91" s="1290"/>
      <c r="M91" s="1290"/>
      <c r="N91" s="1255"/>
      <c r="O91" s="1253"/>
      <c r="P91" s="1253"/>
      <c r="Q91" s="1253"/>
      <c r="R91" s="1253"/>
      <c r="S91" s="1253"/>
      <c r="T91" s="1253"/>
      <c r="U91" s="1253"/>
    </row>
    <row r="92" spans="1:21" ht="11.25" customHeight="1">
      <c r="A92" s="1249" t="s">
        <v>781</v>
      </c>
      <c r="B92" s="1246" t="s">
        <v>766</v>
      </c>
      <c r="C92" s="1242"/>
      <c r="D92" s="1243"/>
      <c r="E92" s="1252"/>
      <c r="F92" s="1252">
        <v>3</v>
      </c>
      <c r="G92" s="1252">
        <f>SUM(J92+P92+V92)</f>
        <v>3</v>
      </c>
      <c r="H92" s="1254"/>
      <c r="I92" s="1252">
        <v>3</v>
      </c>
      <c r="J92" s="1252">
        <v>3</v>
      </c>
      <c r="K92" s="1252"/>
      <c r="L92" s="1241"/>
      <c r="M92" s="1241"/>
      <c r="N92" s="1254"/>
      <c r="O92" s="1252"/>
      <c r="P92" s="1252"/>
      <c r="Q92" s="1252"/>
      <c r="R92" s="1252"/>
      <c r="S92" s="1252"/>
      <c r="T92" s="1252"/>
      <c r="U92" s="1252"/>
    </row>
    <row r="93" spans="1:21" ht="11.25" customHeight="1">
      <c r="A93" s="1245"/>
      <c r="B93" s="1244"/>
      <c r="C93" s="1237"/>
      <c r="D93" s="1238"/>
      <c r="E93" s="1253"/>
      <c r="F93" s="1253"/>
      <c r="G93" s="1253"/>
      <c r="H93" s="1255"/>
      <c r="I93" s="1253"/>
      <c r="J93" s="1253"/>
      <c r="K93" s="1253"/>
      <c r="L93" s="1290"/>
      <c r="M93" s="1290"/>
      <c r="N93" s="1255"/>
      <c r="O93" s="1253"/>
      <c r="P93" s="1253"/>
      <c r="Q93" s="1253"/>
      <c r="R93" s="1253"/>
      <c r="S93" s="1253"/>
      <c r="T93" s="1253"/>
      <c r="U93" s="1253"/>
    </row>
    <row r="94" spans="1:21" ht="12.75">
      <c r="A94" s="1325"/>
      <c r="B94" s="1336" t="s">
        <v>384</v>
      </c>
      <c r="C94" s="1337"/>
      <c r="D94" s="1338"/>
      <c r="E94" s="1247">
        <f aca="true" t="shared" si="1" ref="E94:U94">SUM(E42:E91)</f>
        <v>1354</v>
      </c>
      <c r="F94" s="1247">
        <f>SUM(F42:F93)</f>
        <v>1343</v>
      </c>
      <c r="G94" s="1247">
        <f>SUM(G42:G93)</f>
        <v>1343</v>
      </c>
      <c r="H94" s="1301">
        <f t="shared" si="1"/>
        <v>931</v>
      </c>
      <c r="I94" s="1247">
        <f t="shared" si="1"/>
        <v>924</v>
      </c>
      <c r="J94" s="1247">
        <f t="shared" si="1"/>
        <v>924</v>
      </c>
      <c r="K94" s="1247">
        <f t="shared" si="1"/>
        <v>2</v>
      </c>
      <c r="L94" s="1239">
        <f t="shared" si="1"/>
        <v>2</v>
      </c>
      <c r="M94" s="1239">
        <f t="shared" si="1"/>
        <v>0</v>
      </c>
      <c r="N94" s="1301">
        <f t="shared" si="1"/>
        <v>423</v>
      </c>
      <c r="O94" s="1247">
        <f t="shared" si="1"/>
        <v>416</v>
      </c>
      <c r="P94" s="1247">
        <f t="shared" si="1"/>
        <v>416</v>
      </c>
      <c r="Q94" s="1247">
        <f t="shared" si="1"/>
        <v>3</v>
      </c>
      <c r="R94" s="1247">
        <f t="shared" si="1"/>
        <v>3</v>
      </c>
      <c r="S94" s="1247">
        <f t="shared" si="1"/>
        <v>0</v>
      </c>
      <c r="T94" s="1247">
        <f t="shared" si="1"/>
        <v>0</v>
      </c>
      <c r="U94" s="1247">
        <f t="shared" si="1"/>
        <v>0</v>
      </c>
    </row>
    <row r="95" spans="1:21" ht="12.75">
      <c r="A95" s="1245"/>
      <c r="B95" s="1339"/>
      <c r="C95" s="1340"/>
      <c r="D95" s="1341"/>
      <c r="E95" s="1248"/>
      <c r="F95" s="1248"/>
      <c r="G95" s="1248"/>
      <c r="H95" s="1302"/>
      <c r="I95" s="1248"/>
      <c r="J95" s="1248"/>
      <c r="K95" s="1248"/>
      <c r="L95" s="1240"/>
      <c r="M95" s="1240"/>
      <c r="N95" s="1302"/>
      <c r="O95" s="1248"/>
      <c r="P95" s="1248"/>
      <c r="Q95" s="1248"/>
      <c r="R95" s="1248"/>
      <c r="S95" s="1248"/>
      <c r="T95" s="1248"/>
      <c r="U95" s="1248"/>
    </row>
    <row r="96" spans="1:21" ht="12.75">
      <c r="A96" s="1325"/>
      <c r="B96" s="1303" t="s">
        <v>990</v>
      </c>
      <c r="C96" s="1304"/>
      <c r="D96" s="1305"/>
      <c r="E96" s="1247">
        <f aca="true" t="shared" si="2" ref="E96:T96">SUM(E94+E40+E36)</f>
        <v>1676</v>
      </c>
      <c r="F96" s="1247">
        <f t="shared" si="2"/>
        <v>1670</v>
      </c>
      <c r="G96" s="1247">
        <f>SUM(G94+G40+G36)</f>
        <v>1670</v>
      </c>
      <c r="H96" s="1301">
        <f t="shared" si="2"/>
        <v>1219</v>
      </c>
      <c r="I96" s="1247">
        <f t="shared" si="2"/>
        <v>1207</v>
      </c>
      <c r="J96" s="1247">
        <f>SUM(J94+J40+J36)</f>
        <v>1206</v>
      </c>
      <c r="K96" s="1247">
        <f t="shared" si="2"/>
        <v>3</v>
      </c>
      <c r="L96" s="1239">
        <f t="shared" si="2"/>
        <v>3</v>
      </c>
      <c r="M96" s="1239">
        <f>SUM(M94+M40+M36)</f>
        <v>3</v>
      </c>
      <c r="N96" s="1301">
        <f t="shared" si="2"/>
        <v>455</v>
      </c>
      <c r="O96" s="1247">
        <f t="shared" si="2"/>
        <v>459</v>
      </c>
      <c r="P96" s="1247">
        <f>SUM(P94+P40+P36)</f>
        <v>458</v>
      </c>
      <c r="Q96" s="1247">
        <f t="shared" si="2"/>
        <v>4</v>
      </c>
      <c r="R96" s="1247">
        <f t="shared" si="2"/>
        <v>4</v>
      </c>
      <c r="S96" s="1247">
        <f>SUM(S94+S40+S36)</f>
        <v>0</v>
      </c>
      <c r="T96" s="1247">
        <f t="shared" si="2"/>
        <v>6</v>
      </c>
      <c r="U96" s="1247">
        <f>SUM(U94+U40+U36)</f>
        <v>0</v>
      </c>
    </row>
    <row r="97" spans="1:21" ht="12.75">
      <c r="A97" s="1245"/>
      <c r="B97" s="1306"/>
      <c r="C97" s="1307"/>
      <c r="D97" s="1308"/>
      <c r="E97" s="1248"/>
      <c r="F97" s="1248"/>
      <c r="G97" s="1248"/>
      <c r="H97" s="1302"/>
      <c r="I97" s="1248"/>
      <c r="J97" s="1248"/>
      <c r="K97" s="1248"/>
      <c r="L97" s="1240"/>
      <c r="M97" s="1240"/>
      <c r="N97" s="1302"/>
      <c r="O97" s="1248"/>
      <c r="P97" s="1248"/>
      <c r="Q97" s="1248"/>
      <c r="R97" s="1248"/>
      <c r="S97" s="1248"/>
      <c r="T97" s="1248"/>
      <c r="U97" s="1248"/>
    </row>
  </sheetData>
  <sheetProtection/>
  <mergeCells count="860">
    <mergeCell ref="Q90:Q91"/>
    <mergeCell ref="T90:T91"/>
    <mergeCell ref="L90:L91"/>
    <mergeCell ref="R90:R91"/>
    <mergeCell ref="O90:O91"/>
    <mergeCell ref="P90:P91"/>
    <mergeCell ref="S90:S91"/>
    <mergeCell ref="L96:L97"/>
    <mergeCell ref="R96:R97"/>
    <mergeCell ref="O96:O97"/>
    <mergeCell ref="A90:A91"/>
    <mergeCell ref="B90:D91"/>
    <mergeCell ref="E90:E91"/>
    <mergeCell ref="H90:H91"/>
    <mergeCell ref="F90:F91"/>
    <mergeCell ref="K90:K91"/>
    <mergeCell ref="N90:N91"/>
    <mergeCell ref="T44:T45"/>
    <mergeCell ref="A96:A97"/>
    <mergeCell ref="B96:D97"/>
    <mergeCell ref="E96:E97"/>
    <mergeCell ref="H96:H97"/>
    <mergeCell ref="F96:F97"/>
    <mergeCell ref="K96:K97"/>
    <mergeCell ref="N96:N97"/>
    <mergeCell ref="Q96:Q97"/>
    <mergeCell ref="T96:T97"/>
    <mergeCell ref="B44:D45"/>
    <mergeCell ref="E44:E45"/>
    <mergeCell ref="H44:H45"/>
    <mergeCell ref="Q44:Q45"/>
    <mergeCell ref="K44:K45"/>
    <mergeCell ref="N44:N45"/>
    <mergeCell ref="I44:I45"/>
    <mergeCell ref="F44:F45"/>
    <mergeCell ref="N94:N95"/>
    <mergeCell ref="Q94:Q95"/>
    <mergeCell ref="T94:T95"/>
    <mergeCell ref="L94:L95"/>
    <mergeCell ref="R94:R95"/>
    <mergeCell ref="O94:O95"/>
    <mergeCell ref="P94:P95"/>
    <mergeCell ref="A94:A95"/>
    <mergeCell ref="B94:D95"/>
    <mergeCell ref="E94:E95"/>
    <mergeCell ref="H94:H95"/>
    <mergeCell ref="F94:F95"/>
    <mergeCell ref="N88:N89"/>
    <mergeCell ref="Q88:Q89"/>
    <mergeCell ref="T88:T89"/>
    <mergeCell ref="L88:L89"/>
    <mergeCell ref="R88:R89"/>
    <mergeCell ref="O88:O89"/>
    <mergeCell ref="P88:P89"/>
    <mergeCell ref="S88:S89"/>
    <mergeCell ref="A88:A89"/>
    <mergeCell ref="B88:D89"/>
    <mergeCell ref="E88:E89"/>
    <mergeCell ref="H88:H89"/>
    <mergeCell ref="F88:F89"/>
    <mergeCell ref="G88:G89"/>
    <mergeCell ref="N86:N87"/>
    <mergeCell ref="Q86:Q87"/>
    <mergeCell ref="T86:T87"/>
    <mergeCell ref="L86:L87"/>
    <mergeCell ref="R86:R87"/>
    <mergeCell ref="O86:O87"/>
    <mergeCell ref="P86:P87"/>
    <mergeCell ref="S86:S87"/>
    <mergeCell ref="A86:A87"/>
    <mergeCell ref="B86:D87"/>
    <mergeCell ref="E86:E87"/>
    <mergeCell ref="H86:H87"/>
    <mergeCell ref="F86:F87"/>
    <mergeCell ref="G86:G87"/>
    <mergeCell ref="T84:T85"/>
    <mergeCell ref="L84:L85"/>
    <mergeCell ref="R84:R85"/>
    <mergeCell ref="O84:O85"/>
    <mergeCell ref="S84:S85"/>
    <mergeCell ref="K84:K85"/>
    <mergeCell ref="I84:I85"/>
    <mergeCell ref="N84:N85"/>
    <mergeCell ref="Q84:Q85"/>
    <mergeCell ref="J84:J85"/>
    <mergeCell ref="M84:M85"/>
    <mergeCell ref="P84:P85"/>
    <mergeCell ref="A84:A85"/>
    <mergeCell ref="B84:D85"/>
    <mergeCell ref="E84:E85"/>
    <mergeCell ref="H84:H85"/>
    <mergeCell ref="F84:F85"/>
    <mergeCell ref="G84:G85"/>
    <mergeCell ref="N82:N83"/>
    <mergeCell ref="Q82:Q83"/>
    <mergeCell ref="T82:T83"/>
    <mergeCell ref="L82:L83"/>
    <mergeCell ref="R82:R83"/>
    <mergeCell ref="O82:O83"/>
    <mergeCell ref="P82:P83"/>
    <mergeCell ref="S82:S83"/>
    <mergeCell ref="A82:A83"/>
    <mergeCell ref="B82:D83"/>
    <mergeCell ref="E82:E83"/>
    <mergeCell ref="H82:H83"/>
    <mergeCell ref="F82:F83"/>
    <mergeCell ref="G82:G83"/>
    <mergeCell ref="N80:N81"/>
    <mergeCell ref="Q80:Q81"/>
    <mergeCell ref="T80:T81"/>
    <mergeCell ref="L80:L81"/>
    <mergeCell ref="R80:R81"/>
    <mergeCell ref="O80:O81"/>
    <mergeCell ref="P80:P81"/>
    <mergeCell ref="S80:S81"/>
    <mergeCell ref="A80:A81"/>
    <mergeCell ref="B80:D81"/>
    <mergeCell ref="E80:E81"/>
    <mergeCell ref="H80:H81"/>
    <mergeCell ref="F80:F81"/>
    <mergeCell ref="G80:G81"/>
    <mergeCell ref="N78:N79"/>
    <mergeCell ref="Q78:Q79"/>
    <mergeCell ref="T78:T79"/>
    <mergeCell ref="L78:L79"/>
    <mergeCell ref="R78:R79"/>
    <mergeCell ref="O78:O79"/>
    <mergeCell ref="P78:P79"/>
    <mergeCell ref="S78:S79"/>
    <mergeCell ref="A78:A79"/>
    <mergeCell ref="B78:D79"/>
    <mergeCell ref="E78:E79"/>
    <mergeCell ref="H78:H79"/>
    <mergeCell ref="F78:F79"/>
    <mergeCell ref="G78:G79"/>
    <mergeCell ref="N76:N77"/>
    <mergeCell ref="Q76:Q77"/>
    <mergeCell ref="T76:T77"/>
    <mergeCell ref="L76:L77"/>
    <mergeCell ref="R76:R77"/>
    <mergeCell ref="O76:O77"/>
    <mergeCell ref="P76:P77"/>
    <mergeCell ref="S76:S77"/>
    <mergeCell ref="A76:A77"/>
    <mergeCell ref="B76:D77"/>
    <mergeCell ref="E76:E77"/>
    <mergeCell ref="H76:H77"/>
    <mergeCell ref="F76:F77"/>
    <mergeCell ref="G76:G77"/>
    <mergeCell ref="N74:N75"/>
    <mergeCell ref="Q74:Q75"/>
    <mergeCell ref="T74:T75"/>
    <mergeCell ref="L74:L75"/>
    <mergeCell ref="R74:R75"/>
    <mergeCell ref="O74:O75"/>
    <mergeCell ref="P74:P75"/>
    <mergeCell ref="S74:S75"/>
    <mergeCell ref="A74:A75"/>
    <mergeCell ref="B74:D75"/>
    <mergeCell ref="E74:E75"/>
    <mergeCell ref="H74:H75"/>
    <mergeCell ref="F74:F75"/>
    <mergeCell ref="G74:G75"/>
    <mergeCell ref="N72:N73"/>
    <mergeCell ref="Q72:Q73"/>
    <mergeCell ref="T72:T73"/>
    <mergeCell ref="L72:L73"/>
    <mergeCell ref="R72:R73"/>
    <mergeCell ref="O72:O73"/>
    <mergeCell ref="P72:P73"/>
    <mergeCell ref="S72:S73"/>
    <mergeCell ref="A72:A73"/>
    <mergeCell ref="B72:D73"/>
    <mergeCell ref="E72:E73"/>
    <mergeCell ref="H72:H73"/>
    <mergeCell ref="F72:F73"/>
    <mergeCell ref="G72:G73"/>
    <mergeCell ref="N70:N71"/>
    <mergeCell ref="Q70:Q71"/>
    <mergeCell ref="T70:T71"/>
    <mergeCell ref="L70:L71"/>
    <mergeCell ref="R70:R71"/>
    <mergeCell ref="O70:O71"/>
    <mergeCell ref="P70:P71"/>
    <mergeCell ref="S70:S71"/>
    <mergeCell ref="A70:A71"/>
    <mergeCell ref="B70:D71"/>
    <mergeCell ref="E70:E71"/>
    <mergeCell ref="H70:H71"/>
    <mergeCell ref="F70:F71"/>
    <mergeCell ref="G70:G71"/>
    <mergeCell ref="N68:N69"/>
    <mergeCell ref="Q68:Q69"/>
    <mergeCell ref="T68:T69"/>
    <mergeCell ref="L68:L69"/>
    <mergeCell ref="R68:R69"/>
    <mergeCell ref="O68:O69"/>
    <mergeCell ref="A68:A69"/>
    <mergeCell ref="B68:D69"/>
    <mergeCell ref="E68:E69"/>
    <mergeCell ref="H68:H69"/>
    <mergeCell ref="F68:F69"/>
    <mergeCell ref="G68:G69"/>
    <mergeCell ref="T66:T67"/>
    <mergeCell ref="L66:L67"/>
    <mergeCell ref="R66:R67"/>
    <mergeCell ref="O66:O67"/>
    <mergeCell ref="K66:K67"/>
    <mergeCell ref="I66:I67"/>
    <mergeCell ref="N66:N67"/>
    <mergeCell ref="Q66:Q67"/>
    <mergeCell ref="M66:M67"/>
    <mergeCell ref="A66:A67"/>
    <mergeCell ref="B66:D67"/>
    <mergeCell ref="E66:E67"/>
    <mergeCell ref="H66:H67"/>
    <mergeCell ref="F66:F67"/>
    <mergeCell ref="G66:G67"/>
    <mergeCell ref="T64:T65"/>
    <mergeCell ref="L64:L65"/>
    <mergeCell ref="R64:R65"/>
    <mergeCell ref="O64:O65"/>
    <mergeCell ref="I64:I65"/>
    <mergeCell ref="N64:N65"/>
    <mergeCell ref="Q64:Q65"/>
    <mergeCell ref="M64:M65"/>
    <mergeCell ref="P64:P65"/>
    <mergeCell ref="A64:A65"/>
    <mergeCell ref="B64:D65"/>
    <mergeCell ref="E64:E65"/>
    <mergeCell ref="H64:H65"/>
    <mergeCell ref="F64:F65"/>
    <mergeCell ref="N62:N63"/>
    <mergeCell ref="Q62:Q63"/>
    <mergeCell ref="T62:T63"/>
    <mergeCell ref="L62:L63"/>
    <mergeCell ref="R62:R63"/>
    <mergeCell ref="O62:O63"/>
    <mergeCell ref="M62:M63"/>
    <mergeCell ref="P62:P63"/>
    <mergeCell ref="A62:A63"/>
    <mergeCell ref="B62:D63"/>
    <mergeCell ref="E62:E63"/>
    <mergeCell ref="H62:H63"/>
    <mergeCell ref="F62:F63"/>
    <mergeCell ref="N60:N61"/>
    <mergeCell ref="Q60:Q61"/>
    <mergeCell ref="T60:T61"/>
    <mergeCell ref="L60:L61"/>
    <mergeCell ref="R60:R61"/>
    <mergeCell ref="O60:O61"/>
    <mergeCell ref="M60:M61"/>
    <mergeCell ref="P60:P61"/>
    <mergeCell ref="S60:S61"/>
    <mergeCell ref="A60:A61"/>
    <mergeCell ref="B60:D61"/>
    <mergeCell ref="E60:E61"/>
    <mergeCell ref="H60:H61"/>
    <mergeCell ref="F60:F61"/>
    <mergeCell ref="T58:T59"/>
    <mergeCell ref="L58:L59"/>
    <mergeCell ref="R58:R59"/>
    <mergeCell ref="O58:O59"/>
    <mergeCell ref="S58:S59"/>
    <mergeCell ref="H56:H57"/>
    <mergeCell ref="K56:K57"/>
    <mergeCell ref="K54:K55"/>
    <mergeCell ref="I56:I57"/>
    <mergeCell ref="I54:I55"/>
    <mergeCell ref="H58:H59"/>
    <mergeCell ref="K58:K59"/>
    <mergeCell ref="N58:N59"/>
    <mergeCell ref="Q58:Q59"/>
    <mergeCell ref="I58:I59"/>
    <mergeCell ref="P58:P59"/>
    <mergeCell ref="T56:T57"/>
    <mergeCell ref="L56:L57"/>
    <mergeCell ref="R56:R57"/>
    <mergeCell ref="O56:O57"/>
    <mergeCell ref="N56:N57"/>
    <mergeCell ref="Q56:Q57"/>
    <mergeCell ref="S56:S57"/>
    <mergeCell ref="N46:N47"/>
    <mergeCell ref="N54:N55"/>
    <mergeCell ref="T10:T11"/>
    <mergeCell ref="T54:T55"/>
    <mergeCell ref="Q50:Q51"/>
    <mergeCell ref="Q46:Q47"/>
    <mergeCell ref="T46:T47"/>
    <mergeCell ref="N48:N49"/>
    <mergeCell ref="Q48:Q49"/>
    <mergeCell ref="Q54:Q55"/>
    <mergeCell ref="A54:A55"/>
    <mergeCell ref="B54:D55"/>
    <mergeCell ref="E54:E55"/>
    <mergeCell ref="H54:H55"/>
    <mergeCell ref="F54:F55"/>
    <mergeCell ref="H10:H11"/>
    <mergeCell ref="T50:T51"/>
    <mergeCell ref="T52:T53"/>
    <mergeCell ref="B10:D11"/>
    <mergeCell ref="E10:E11"/>
    <mergeCell ref="N52:N53"/>
    <mergeCell ref="Q52:Q53"/>
    <mergeCell ref="L52:L53"/>
    <mergeCell ref="F52:F53"/>
    <mergeCell ref="B52:D53"/>
    <mergeCell ref="B6:D9"/>
    <mergeCell ref="I8:I9"/>
    <mergeCell ref="A6:A9"/>
    <mergeCell ref="A10:A11"/>
    <mergeCell ref="H6:Q6"/>
    <mergeCell ref="F10:F11"/>
    <mergeCell ref="O8:O9"/>
    <mergeCell ref="O10:O11"/>
    <mergeCell ref="I10:I11"/>
    <mergeCell ref="K10:K11"/>
    <mergeCell ref="A44:A45"/>
    <mergeCell ref="A24:A25"/>
    <mergeCell ref="A26:A27"/>
    <mergeCell ref="A28:A29"/>
    <mergeCell ref="A42:A43"/>
    <mergeCell ref="A32:A33"/>
    <mergeCell ref="A38:A39"/>
    <mergeCell ref="A36:A37"/>
    <mergeCell ref="A46:A47"/>
    <mergeCell ref="A48:A49"/>
    <mergeCell ref="A50:A51"/>
    <mergeCell ref="A52:A53"/>
    <mergeCell ref="A20:A21"/>
    <mergeCell ref="A22:A23"/>
    <mergeCell ref="A30:A31"/>
    <mergeCell ref="A40:A41"/>
    <mergeCell ref="A12:A13"/>
    <mergeCell ref="A14:A15"/>
    <mergeCell ref="A16:A17"/>
    <mergeCell ref="A18:A19"/>
    <mergeCell ref="E52:E53"/>
    <mergeCell ref="H52:H53"/>
    <mergeCell ref="K52:K53"/>
    <mergeCell ref="B50:D51"/>
    <mergeCell ref="E50:E51"/>
    <mergeCell ref="H50:H51"/>
    <mergeCell ref="K50:K51"/>
    <mergeCell ref="F50:F51"/>
    <mergeCell ref="I50:I51"/>
    <mergeCell ref="I52:I53"/>
    <mergeCell ref="B48:D49"/>
    <mergeCell ref="E48:E49"/>
    <mergeCell ref="H48:H49"/>
    <mergeCell ref="K48:K49"/>
    <mergeCell ref="I48:I49"/>
    <mergeCell ref="F48:F49"/>
    <mergeCell ref="G48:G49"/>
    <mergeCell ref="T48:T49"/>
    <mergeCell ref="N40:N41"/>
    <mergeCell ref="E40:E41"/>
    <mergeCell ref="H40:H41"/>
    <mergeCell ref="K40:K41"/>
    <mergeCell ref="F40:F41"/>
    <mergeCell ref="I40:I41"/>
    <mergeCell ref="I42:I43"/>
    <mergeCell ref="Q40:Q41"/>
    <mergeCell ref="T40:T41"/>
    <mergeCell ref="B46:D47"/>
    <mergeCell ref="E46:E47"/>
    <mergeCell ref="H46:H47"/>
    <mergeCell ref="K46:K47"/>
    <mergeCell ref="I46:I47"/>
    <mergeCell ref="F46:F47"/>
    <mergeCell ref="T42:T43"/>
    <mergeCell ref="B40:D41"/>
    <mergeCell ref="O40:O41"/>
    <mergeCell ref="F42:F43"/>
    <mergeCell ref="B42:D43"/>
    <mergeCell ref="E42:E43"/>
    <mergeCell ref="H42:H43"/>
    <mergeCell ref="K42:K43"/>
    <mergeCell ref="N42:N43"/>
    <mergeCell ref="M40:M41"/>
    <mergeCell ref="O24:O25"/>
    <mergeCell ref="T28:T29"/>
    <mergeCell ref="B30:D31"/>
    <mergeCell ref="E30:E31"/>
    <mergeCell ref="H30:H31"/>
    <mergeCell ref="K30:K31"/>
    <mergeCell ref="N30:N31"/>
    <mergeCell ref="Q30:Q31"/>
    <mergeCell ref="T30:T31"/>
    <mergeCell ref="N28:N29"/>
    <mergeCell ref="H28:H29"/>
    <mergeCell ref="K28:K29"/>
    <mergeCell ref="N26:N27"/>
    <mergeCell ref="Q26:Q27"/>
    <mergeCell ref="L28:L29"/>
    <mergeCell ref="I28:I29"/>
    <mergeCell ref="B28:D29"/>
    <mergeCell ref="B24:D25"/>
    <mergeCell ref="E24:E25"/>
    <mergeCell ref="E28:E29"/>
    <mergeCell ref="E22:E23"/>
    <mergeCell ref="T22:T23"/>
    <mergeCell ref="T26:T27"/>
    <mergeCell ref="B22:D23"/>
    <mergeCell ref="Q24:Q25"/>
    <mergeCell ref="H24:H25"/>
    <mergeCell ref="K24:K25"/>
    <mergeCell ref="N24:N25"/>
    <mergeCell ref="B26:D27"/>
    <mergeCell ref="E26:E27"/>
    <mergeCell ref="T24:T25"/>
    <mergeCell ref="I18:I19"/>
    <mergeCell ref="Q22:Q23"/>
    <mergeCell ref="T18:T19"/>
    <mergeCell ref="Q20:Q21"/>
    <mergeCell ref="T20:T21"/>
    <mergeCell ref="N22:N23"/>
    <mergeCell ref="Q18:Q19"/>
    <mergeCell ref="R22:R23"/>
    <mergeCell ref="P18:P19"/>
    <mergeCell ref="B18:D19"/>
    <mergeCell ref="E18:E19"/>
    <mergeCell ref="H18:H19"/>
    <mergeCell ref="K18:K19"/>
    <mergeCell ref="T16:T17"/>
    <mergeCell ref="O16:O17"/>
    <mergeCell ref="N20:N21"/>
    <mergeCell ref="L18:L19"/>
    <mergeCell ref="R16:R17"/>
    <mergeCell ref="R18:R19"/>
    <mergeCell ref="R20:R21"/>
    <mergeCell ref="N18:N19"/>
    <mergeCell ref="M18:M19"/>
    <mergeCell ref="M20:M21"/>
    <mergeCell ref="R14:R15"/>
    <mergeCell ref="B20:D21"/>
    <mergeCell ref="I20:I21"/>
    <mergeCell ref="Q16:Q17"/>
    <mergeCell ref="E20:E21"/>
    <mergeCell ref="H20:H21"/>
    <mergeCell ref="K20:K21"/>
    <mergeCell ref="F18:F19"/>
    <mergeCell ref="J18:J19"/>
    <mergeCell ref="G18:G19"/>
    <mergeCell ref="G14:G15"/>
    <mergeCell ref="T14:T15"/>
    <mergeCell ref="O14:O15"/>
    <mergeCell ref="B16:D17"/>
    <mergeCell ref="E16:E17"/>
    <mergeCell ref="H16:H17"/>
    <mergeCell ref="K16:K17"/>
    <mergeCell ref="J16:J17"/>
    <mergeCell ref="G16:G17"/>
    <mergeCell ref="L16:L17"/>
    <mergeCell ref="Q14:Q15"/>
    <mergeCell ref="I16:I17"/>
    <mergeCell ref="N16:N17"/>
    <mergeCell ref="N14:N15"/>
    <mergeCell ref="P16:P17"/>
    <mergeCell ref="P14:P15"/>
    <mergeCell ref="M16:M17"/>
    <mergeCell ref="K14:K15"/>
    <mergeCell ref="I14:I15"/>
    <mergeCell ref="B12:D13"/>
    <mergeCell ref="E12:E13"/>
    <mergeCell ref="F12:F13"/>
    <mergeCell ref="F14:F15"/>
    <mergeCell ref="B14:D15"/>
    <mergeCell ref="E14:E15"/>
    <mergeCell ref="F16:F17"/>
    <mergeCell ref="J14:J15"/>
    <mergeCell ref="G12:G13"/>
    <mergeCell ref="B4:T4"/>
    <mergeCell ref="R12:R13"/>
    <mergeCell ref="N10:N11"/>
    <mergeCell ref="Q12:Q13"/>
    <mergeCell ref="L12:L13"/>
    <mergeCell ref="O12:O13"/>
    <mergeCell ref="I12:I13"/>
    <mergeCell ref="B2:T2"/>
    <mergeCell ref="E6:E9"/>
    <mergeCell ref="H8:H9"/>
    <mergeCell ref="K8:K9"/>
    <mergeCell ref="N8:N9"/>
    <mergeCell ref="Q8:Q9"/>
    <mergeCell ref="F6:F9"/>
    <mergeCell ref="H7:L7"/>
    <mergeCell ref="N7:R7"/>
    <mergeCell ref="S8:S9"/>
    <mergeCell ref="Q32:Q33"/>
    <mergeCell ref="N32:N33"/>
    <mergeCell ref="L32:L33"/>
    <mergeCell ref="O32:O33"/>
    <mergeCell ref="P32:P33"/>
    <mergeCell ref="T32:T33"/>
    <mergeCell ref="A34:A35"/>
    <mergeCell ref="B34:D35"/>
    <mergeCell ref="E34:E35"/>
    <mergeCell ref="H34:H35"/>
    <mergeCell ref="K34:K35"/>
    <mergeCell ref="N34:N35"/>
    <mergeCell ref="Q34:Q35"/>
    <mergeCell ref="B32:D33"/>
    <mergeCell ref="E32:E33"/>
    <mergeCell ref="T34:T35"/>
    <mergeCell ref="B36:D37"/>
    <mergeCell ref="E36:E37"/>
    <mergeCell ref="H36:H37"/>
    <mergeCell ref="K36:K37"/>
    <mergeCell ref="F36:F37"/>
    <mergeCell ref="T36:T37"/>
    <mergeCell ref="I34:I35"/>
    <mergeCell ref="O36:O37"/>
    <mergeCell ref="I36:I37"/>
    <mergeCell ref="N36:N37"/>
    <mergeCell ref="L34:L35"/>
    <mergeCell ref="L36:L37"/>
    <mergeCell ref="J34:J35"/>
    <mergeCell ref="T38:T39"/>
    <mergeCell ref="B38:D39"/>
    <mergeCell ref="E38:E39"/>
    <mergeCell ref="H38:H39"/>
    <mergeCell ref="K38:K39"/>
    <mergeCell ref="F38:F39"/>
    <mergeCell ref="N38:N39"/>
    <mergeCell ref="O38:O39"/>
    <mergeCell ref="I38:I39"/>
    <mergeCell ref="L38:L39"/>
    <mergeCell ref="I74:I75"/>
    <mergeCell ref="I60:I61"/>
    <mergeCell ref="L22:L23"/>
    <mergeCell ref="L24:L25"/>
    <mergeCell ref="L26:L27"/>
    <mergeCell ref="K22:K23"/>
    <mergeCell ref="K26:K27"/>
    <mergeCell ref="K60:K61"/>
    <mergeCell ref="K62:K63"/>
    <mergeCell ref="K64:K65"/>
    <mergeCell ref="I62:I63"/>
    <mergeCell ref="I68:I69"/>
    <mergeCell ref="I70:I71"/>
    <mergeCell ref="I94:I95"/>
    <mergeCell ref="I86:I87"/>
    <mergeCell ref="I76:I77"/>
    <mergeCell ref="I78:I79"/>
    <mergeCell ref="I80:I81"/>
    <mergeCell ref="I82:I83"/>
    <mergeCell ref="I72:I73"/>
    <mergeCell ref="I96:I97"/>
    <mergeCell ref="I88:I89"/>
    <mergeCell ref="I90:I91"/>
    <mergeCell ref="R34:R35"/>
    <mergeCell ref="R36:R37"/>
    <mergeCell ref="L54:L55"/>
    <mergeCell ref="L40:L41"/>
    <mergeCell ref="L42:L43"/>
    <mergeCell ref="L44:L45"/>
    <mergeCell ref="L46:L47"/>
    <mergeCell ref="L48:L49"/>
    <mergeCell ref="L50:L51"/>
    <mergeCell ref="Q42:Q43"/>
    <mergeCell ref="R32:R33"/>
    <mergeCell ref="N50:N51"/>
    <mergeCell ref="P40:P41"/>
    <mergeCell ref="M42:M43"/>
    <mergeCell ref="M46:M47"/>
    <mergeCell ref="M44:M45"/>
    <mergeCell ref="M48:M49"/>
    <mergeCell ref="R24:R25"/>
    <mergeCell ref="R26:R27"/>
    <mergeCell ref="R30:R31"/>
    <mergeCell ref="O26:O27"/>
    <mergeCell ref="O28:O29"/>
    <mergeCell ref="O30:O31"/>
    <mergeCell ref="Q28:Q29"/>
    <mergeCell ref="P24:P25"/>
    <mergeCell ref="P26:P27"/>
    <mergeCell ref="R28:R29"/>
    <mergeCell ref="R54:R55"/>
    <mergeCell ref="R40:R41"/>
    <mergeCell ref="R42:R43"/>
    <mergeCell ref="R44:R45"/>
    <mergeCell ref="R46:R47"/>
    <mergeCell ref="R52:R53"/>
    <mergeCell ref="R48:R49"/>
    <mergeCell ref="R50:R51"/>
    <mergeCell ref="P12:P13"/>
    <mergeCell ref="O50:O51"/>
    <mergeCell ref="O52:O53"/>
    <mergeCell ref="O54:O55"/>
    <mergeCell ref="O42:O43"/>
    <mergeCell ref="O44:O45"/>
    <mergeCell ref="O46:O47"/>
    <mergeCell ref="O48:O49"/>
    <mergeCell ref="P34:P35"/>
    <mergeCell ref="P36:P37"/>
    <mergeCell ref="R8:R9"/>
    <mergeCell ref="R10:R11"/>
    <mergeCell ref="L8:L9"/>
    <mergeCell ref="L10:L11"/>
    <mergeCell ref="Q10:Q11"/>
    <mergeCell ref="P10:P11"/>
    <mergeCell ref="M10:M11"/>
    <mergeCell ref="P8:P9"/>
    <mergeCell ref="F22:F23"/>
    <mergeCell ref="F24:F25"/>
    <mergeCell ref="F26:F27"/>
    <mergeCell ref="F20:F21"/>
    <mergeCell ref="F28:F29"/>
    <mergeCell ref="F30:F31"/>
    <mergeCell ref="F32:F33"/>
    <mergeCell ref="F34:F35"/>
    <mergeCell ref="F56:F57"/>
    <mergeCell ref="F58:F59"/>
    <mergeCell ref="A56:A57"/>
    <mergeCell ref="B56:D57"/>
    <mergeCell ref="E56:E57"/>
    <mergeCell ref="A58:A59"/>
    <mergeCell ref="B58:D59"/>
    <mergeCell ref="E58:E59"/>
    <mergeCell ref="H12:H13"/>
    <mergeCell ref="K12:K13"/>
    <mergeCell ref="N12:N13"/>
    <mergeCell ref="L14:L15"/>
    <mergeCell ref="M14:M15"/>
    <mergeCell ref="M12:M13"/>
    <mergeCell ref="J12:J13"/>
    <mergeCell ref="H14:H15"/>
    <mergeCell ref="P20:P21"/>
    <mergeCell ref="J20:J21"/>
    <mergeCell ref="O18:O19"/>
    <mergeCell ref="O20:O21"/>
    <mergeCell ref="L20:L21"/>
    <mergeCell ref="J22:J23"/>
    <mergeCell ref="J24:J25"/>
    <mergeCell ref="H22:H23"/>
    <mergeCell ref="I22:I23"/>
    <mergeCell ref="I24:I25"/>
    <mergeCell ref="G22:G23"/>
    <mergeCell ref="G24:G25"/>
    <mergeCell ref="H26:H27"/>
    <mergeCell ref="G20:G21"/>
    <mergeCell ref="P22:P23"/>
    <mergeCell ref="G28:G29"/>
    <mergeCell ref="M28:M29"/>
    <mergeCell ref="M26:M27"/>
    <mergeCell ref="M24:M25"/>
    <mergeCell ref="G26:G27"/>
    <mergeCell ref="J28:J29"/>
    <mergeCell ref="M22:M23"/>
    <mergeCell ref="P28:P29"/>
    <mergeCell ref="O22:O23"/>
    <mergeCell ref="I30:I31"/>
    <mergeCell ref="I26:I27"/>
    <mergeCell ref="J26:J27"/>
    <mergeCell ref="J30:J31"/>
    <mergeCell ref="G34:G35"/>
    <mergeCell ref="M34:M35"/>
    <mergeCell ref="P30:P31"/>
    <mergeCell ref="G30:G31"/>
    <mergeCell ref="O34:O35"/>
    <mergeCell ref="H32:H33"/>
    <mergeCell ref="G32:G33"/>
    <mergeCell ref="L30:L31"/>
    <mergeCell ref="J32:J33"/>
    <mergeCell ref="K32:K33"/>
    <mergeCell ref="G6:G9"/>
    <mergeCell ref="J8:J9"/>
    <mergeCell ref="M8:M9"/>
    <mergeCell ref="J36:J37"/>
    <mergeCell ref="M36:M37"/>
    <mergeCell ref="J10:J11"/>
    <mergeCell ref="G10:G11"/>
    <mergeCell ref="M30:M31"/>
    <mergeCell ref="M32:M33"/>
    <mergeCell ref="I32:I33"/>
    <mergeCell ref="U7:U9"/>
    <mergeCell ref="U10:U11"/>
    <mergeCell ref="U12:U13"/>
    <mergeCell ref="T7:T9"/>
    <mergeCell ref="T12:T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U62:U63"/>
    <mergeCell ref="U64:U65"/>
    <mergeCell ref="U66:U67"/>
    <mergeCell ref="U68:U69"/>
    <mergeCell ref="U70:U71"/>
    <mergeCell ref="U72:U73"/>
    <mergeCell ref="U74:U75"/>
    <mergeCell ref="U76:U77"/>
    <mergeCell ref="U78:U79"/>
    <mergeCell ref="U80:U81"/>
    <mergeCell ref="U82:U83"/>
    <mergeCell ref="U84:U85"/>
    <mergeCell ref="U86:U87"/>
    <mergeCell ref="U88:U89"/>
    <mergeCell ref="U90:U91"/>
    <mergeCell ref="U94:U95"/>
    <mergeCell ref="U96:U97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G38:G39"/>
    <mergeCell ref="J38:J39"/>
    <mergeCell ref="M38:M39"/>
    <mergeCell ref="P38:P39"/>
    <mergeCell ref="S38:S39"/>
    <mergeCell ref="Q38:Q39"/>
    <mergeCell ref="Q36:Q37"/>
    <mergeCell ref="R38:R39"/>
    <mergeCell ref="G36:G37"/>
    <mergeCell ref="G42:G43"/>
    <mergeCell ref="G44:G45"/>
    <mergeCell ref="G46:G47"/>
    <mergeCell ref="J40:J41"/>
    <mergeCell ref="G40:G41"/>
    <mergeCell ref="J46:J47"/>
    <mergeCell ref="J42:J43"/>
    <mergeCell ref="G50:G51"/>
    <mergeCell ref="G52:G53"/>
    <mergeCell ref="G54:G55"/>
    <mergeCell ref="G56:G57"/>
    <mergeCell ref="G58:G59"/>
    <mergeCell ref="G60:G61"/>
    <mergeCell ref="G62:G63"/>
    <mergeCell ref="G64:G65"/>
    <mergeCell ref="G90:G91"/>
    <mergeCell ref="G94:G95"/>
    <mergeCell ref="G96:G97"/>
    <mergeCell ref="J44:J45"/>
    <mergeCell ref="J48:J49"/>
    <mergeCell ref="J54:J55"/>
    <mergeCell ref="J60:J61"/>
    <mergeCell ref="J62:J63"/>
    <mergeCell ref="J64:J65"/>
    <mergeCell ref="J66:J67"/>
    <mergeCell ref="J50:J51"/>
    <mergeCell ref="M50:M51"/>
    <mergeCell ref="J52:J53"/>
    <mergeCell ref="M52:M53"/>
    <mergeCell ref="M54:M55"/>
    <mergeCell ref="J56:J57"/>
    <mergeCell ref="M56:M57"/>
    <mergeCell ref="J58:J59"/>
    <mergeCell ref="M58:M59"/>
    <mergeCell ref="J68:J69"/>
    <mergeCell ref="M68:M69"/>
    <mergeCell ref="J70:J71"/>
    <mergeCell ref="M70:M71"/>
    <mergeCell ref="K68:K69"/>
    <mergeCell ref="K70:K71"/>
    <mergeCell ref="J72:J73"/>
    <mergeCell ref="M72:M73"/>
    <mergeCell ref="J74:J75"/>
    <mergeCell ref="M74:M75"/>
    <mergeCell ref="K72:K73"/>
    <mergeCell ref="K74:K75"/>
    <mergeCell ref="J76:J77"/>
    <mergeCell ref="M76:M77"/>
    <mergeCell ref="J78:J79"/>
    <mergeCell ref="M78:M79"/>
    <mergeCell ref="K76:K77"/>
    <mergeCell ref="K78:K79"/>
    <mergeCell ref="J80:J81"/>
    <mergeCell ref="M80:M81"/>
    <mergeCell ref="J82:J83"/>
    <mergeCell ref="M82:M83"/>
    <mergeCell ref="K80:K81"/>
    <mergeCell ref="K82:K83"/>
    <mergeCell ref="J86:J87"/>
    <mergeCell ref="M86:M87"/>
    <mergeCell ref="J88:J89"/>
    <mergeCell ref="M88:M89"/>
    <mergeCell ref="K86:K87"/>
    <mergeCell ref="K88:K89"/>
    <mergeCell ref="J90:J91"/>
    <mergeCell ref="M90:M91"/>
    <mergeCell ref="J94:J95"/>
    <mergeCell ref="M94:M95"/>
    <mergeCell ref="J92:J93"/>
    <mergeCell ref="K92:K93"/>
    <mergeCell ref="L92:L93"/>
    <mergeCell ref="M92:M93"/>
    <mergeCell ref="K94:K95"/>
    <mergeCell ref="J96:J97"/>
    <mergeCell ref="M96:M97"/>
    <mergeCell ref="P42:P43"/>
    <mergeCell ref="P44:P45"/>
    <mergeCell ref="P46:P47"/>
    <mergeCell ref="P48:P49"/>
    <mergeCell ref="P50:P51"/>
    <mergeCell ref="P52:P53"/>
    <mergeCell ref="P54:P55"/>
    <mergeCell ref="P56:P57"/>
    <mergeCell ref="S44:S45"/>
    <mergeCell ref="S46:S47"/>
    <mergeCell ref="S48:S49"/>
    <mergeCell ref="S50:S51"/>
    <mergeCell ref="S40:S41"/>
    <mergeCell ref="S42:S43"/>
    <mergeCell ref="P66:P67"/>
    <mergeCell ref="P68:P69"/>
    <mergeCell ref="S62:S63"/>
    <mergeCell ref="S64:S65"/>
    <mergeCell ref="S66:S67"/>
    <mergeCell ref="S68:S69"/>
    <mergeCell ref="S52:S53"/>
    <mergeCell ref="S54:S55"/>
    <mergeCell ref="P96:P97"/>
    <mergeCell ref="S94:S95"/>
    <mergeCell ref="S96:S97"/>
    <mergeCell ref="A92:A93"/>
    <mergeCell ref="B92:D93"/>
    <mergeCell ref="E92:E93"/>
    <mergeCell ref="F92:F93"/>
    <mergeCell ref="G92:G93"/>
    <mergeCell ref="H92:H93"/>
    <mergeCell ref="I92:I93"/>
    <mergeCell ref="N92:N93"/>
    <mergeCell ref="O92:O93"/>
    <mergeCell ref="P92:P93"/>
    <mergeCell ref="Q92:Q93"/>
    <mergeCell ref="R92:R93"/>
    <mergeCell ref="S92:S93"/>
    <mergeCell ref="T92:T93"/>
    <mergeCell ref="U92:U93"/>
  </mergeCells>
  <printOptions/>
  <pageMargins left="0.3937007874015748" right="0.1968503937007874" top="0" bottom="0.1968503937007874" header="0.11811023622047245" footer="0.11811023622047245"/>
  <pageSetup firstPageNumber="56" useFirstPageNumber="1" horizontalDpi="600" verticalDpi="600" orientation="landscape" paperSize="9" scale="60" r:id="rId1"/>
  <headerFooter alignWithMargins="0">
    <oddFooter>&amp;C&amp;P. oldal</oddFooter>
  </headerFooter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4" sqref="A4"/>
    </sheetView>
  </sheetViews>
  <sheetFormatPr defaultColWidth="9.00390625" defaultRowHeight="12.75"/>
  <cols>
    <col min="1" max="1" width="6.75390625" style="680" customWidth="1"/>
    <col min="2" max="4" width="9.125" style="680" customWidth="1"/>
    <col min="5" max="5" width="23.625" style="680" customWidth="1"/>
    <col min="6" max="6" width="20.875" style="680" customWidth="1"/>
    <col min="7" max="7" width="18.375" style="680" customWidth="1"/>
    <col min="8" max="8" width="19.625" style="680" customWidth="1"/>
    <col min="9" max="9" width="18.375" style="680" customWidth="1"/>
    <col min="10" max="16384" width="9.125" style="680" customWidth="1"/>
  </cols>
  <sheetData>
    <row r="2" spans="1:9" ht="15.75">
      <c r="A2" s="1342" t="s">
        <v>385</v>
      </c>
      <c r="B2" s="1342"/>
      <c r="C2" s="1342"/>
      <c r="D2" s="1342"/>
      <c r="E2" s="1342"/>
      <c r="F2" s="1343"/>
      <c r="G2" s="1343"/>
      <c r="H2" s="1343"/>
      <c r="I2" s="1343"/>
    </row>
    <row r="3" spans="1:9" ht="18" customHeight="1">
      <c r="A3" s="1342" t="s">
        <v>490</v>
      </c>
      <c r="B3" s="1342"/>
      <c r="C3" s="1342"/>
      <c r="D3" s="1342"/>
      <c r="E3" s="1342"/>
      <c r="F3" s="1343"/>
      <c r="G3" s="1343"/>
      <c r="H3" s="1343"/>
      <c r="I3" s="1343"/>
    </row>
    <row r="7" spans="1:9" ht="16.5" customHeight="1">
      <c r="A7" s="681"/>
      <c r="B7" s="681"/>
      <c r="C7" s="681"/>
      <c r="D7" s="681"/>
      <c r="E7" s="681"/>
      <c r="F7" s="681"/>
      <c r="G7" s="681"/>
      <c r="H7" s="681"/>
      <c r="I7" s="207" t="s">
        <v>1060</v>
      </c>
    </row>
    <row r="8" spans="1:9" ht="21.75" customHeight="1">
      <c r="A8" s="1348" t="s">
        <v>1097</v>
      </c>
      <c r="B8" s="1346" t="s">
        <v>386</v>
      </c>
      <c r="C8" s="1346"/>
      <c r="D8" s="1346"/>
      <c r="E8" s="1346"/>
      <c r="F8" s="1344" t="s">
        <v>387</v>
      </c>
      <c r="G8" s="1345"/>
      <c r="H8" s="1344" t="s">
        <v>388</v>
      </c>
      <c r="I8" s="1345"/>
    </row>
    <row r="9" spans="1:9" ht="27" customHeight="1">
      <c r="A9" s="1349"/>
      <c r="B9" s="1347"/>
      <c r="C9" s="1347"/>
      <c r="D9" s="1347"/>
      <c r="E9" s="1347"/>
      <c r="F9" s="682" t="s">
        <v>389</v>
      </c>
      <c r="G9" s="682" t="s">
        <v>390</v>
      </c>
      <c r="H9" s="682" t="s">
        <v>389</v>
      </c>
      <c r="I9" s="682" t="s">
        <v>390</v>
      </c>
    </row>
    <row r="10" spans="1:9" ht="21.75" customHeight="1">
      <c r="A10" s="683" t="s">
        <v>1016</v>
      </c>
      <c r="B10" s="684" t="s">
        <v>391</v>
      </c>
      <c r="C10" s="685"/>
      <c r="D10" s="685"/>
      <c r="E10" s="685"/>
      <c r="F10" s="686" t="s">
        <v>851</v>
      </c>
      <c r="G10" s="687">
        <v>1469</v>
      </c>
      <c r="H10" s="688" t="s">
        <v>392</v>
      </c>
      <c r="I10" s="687">
        <v>374229</v>
      </c>
    </row>
    <row r="11" spans="1:9" ht="21.75" customHeight="1">
      <c r="A11" s="683" t="s">
        <v>1017</v>
      </c>
      <c r="B11" s="684" t="s">
        <v>394</v>
      </c>
      <c r="C11" s="685"/>
      <c r="D11" s="685"/>
      <c r="E11" s="685"/>
      <c r="F11" s="686"/>
      <c r="G11" s="687"/>
      <c r="H11" s="688" t="s">
        <v>392</v>
      </c>
      <c r="I11" s="687">
        <v>13138</v>
      </c>
    </row>
    <row r="12" spans="1:9" ht="21.75" customHeight="1">
      <c r="A12" s="683" t="s">
        <v>1018</v>
      </c>
      <c r="B12" s="684" t="s">
        <v>395</v>
      </c>
      <c r="C12" s="685"/>
      <c r="D12" s="685"/>
      <c r="E12" s="685"/>
      <c r="F12" s="688" t="s">
        <v>851</v>
      </c>
      <c r="G12" s="687">
        <v>757</v>
      </c>
      <c r="H12" s="688" t="s">
        <v>392</v>
      </c>
      <c r="I12" s="687">
        <v>3523</v>
      </c>
    </row>
    <row r="13" spans="1:9" ht="21.75" customHeight="1">
      <c r="A13" s="683" t="s">
        <v>1019</v>
      </c>
      <c r="B13" s="685" t="s">
        <v>396</v>
      </c>
      <c r="C13" s="685"/>
      <c r="D13" s="685"/>
      <c r="E13" s="685"/>
      <c r="F13" s="686"/>
      <c r="G13" s="687"/>
      <c r="H13" s="688" t="s">
        <v>393</v>
      </c>
      <c r="I13" s="687">
        <v>100</v>
      </c>
    </row>
    <row r="14" spans="1:9" ht="21.75" customHeight="1">
      <c r="A14" s="683" t="s">
        <v>1020</v>
      </c>
      <c r="B14" s="685" t="s">
        <v>397</v>
      </c>
      <c r="C14" s="685"/>
      <c r="D14" s="685"/>
      <c r="E14" s="685"/>
      <c r="F14" s="686"/>
      <c r="G14" s="687"/>
      <c r="H14" s="688" t="s">
        <v>393</v>
      </c>
      <c r="I14" s="687">
        <v>1345</v>
      </c>
    </row>
    <row r="15" spans="1:9" ht="21.75" customHeight="1">
      <c r="A15" s="689" t="s">
        <v>1148</v>
      </c>
      <c r="B15" s="690" t="s">
        <v>398</v>
      </c>
      <c r="C15" s="690"/>
      <c r="D15" s="690"/>
      <c r="E15" s="690"/>
      <c r="F15" s="691"/>
      <c r="G15" s="692"/>
      <c r="H15" s="693" t="s">
        <v>399</v>
      </c>
      <c r="I15" s="692">
        <v>92600</v>
      </c>
    </row>
    <row r="16" ht="12.75">
      <c r="I16" s="694"/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8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B1">
      <selection activeCell="C5" sqref="C5"/>
    </sheetView>
  </sheetViews>
  <sheetFormatPr defaultColWidth="9.00390625" defaultRowHeight="12.75"/>
  <cols>
    <col min="1" max="1" width="8.75390625" style="695" customWidth="1"/>
    <col min="2" max="2" width="61.875" style="695" customWidth="1"/>
    <col min="3" max="3" width="12.25390625" style="695" customWidth="1"/>
    <col min="4" max="4" width="16.00390625" style="695" customWidth="1"/>
    <col min="5" max="5" width="16.25390625" style="695" customWidth="1"/>
    <col min="6" max="6" width="16.75390625" style="695" customWidth="1"/>
    <col min="7" max="7" width="15.25390625" style="695" customWidth="1"/>
    <col min="8" max="16384" width="9.125" style="695" customWidth="1"/>
  </cols>
  <sheetData>
    <row r="1" spans="1:7" ht="14.25">
      <c r="A1" s="1354" t="s">
        <v>400</v>
      </c>
      <c r="B1" s="1355"/>
      <c r="C1" s="1355"/>
      <c r="D1" s="1355"/>
      <c r="E1" s="1355"/>
      <c r="F1" s="1355"/>
      <c r="G1" s="1355"/>
    </row>
    <row r="2" spans="1:7" ht="14.25">
      <c r="A2" s="1354" t="s">
        <v>492</v>
      </c>
      <c r="B2" s="1354"/>
      <c r="C2" s="1354"/>
      <c r="D2" s="1354"/>
      <c r="E2" s="1354"/>
      <c r="F2" s="1354"/>
      <c r="G2" s="1354"/>
    </row>
    <row r="3" spans="1:7" ht="12.75">
      <c r="A3" s="696"/>
      <c r="B3" s="696"/>
      <c r="C3" s="696"/>
      <c r="D3" s="696"/>
      <c r="E3" s="696"/>
      <c r="F3" s="696"/>
      <c r="G3" s="697" t="s">
        <v>401</v>
      </c>
    </row>
    <row r="4" spans="1:7" ht="33" customHeight="1">
      <c r="A4" s="1352" t="s">
        <v>402</v>
      </c>
      <c r="B4" s="699" t="s">
        <v>403</v>
      </c>
      <c r="C4" s="700" t="s">
        <v>509</v>
      </c>
      <c r="D4" s="701"/>
      <c r="E4" s="1356" t="s">
        <v>404</v>
      </c>
      <c r="F4" s="1357"/>
      <c r="G4" s="698" t="s">
        <v>406</v>
      </c>
    </row>
    <row r="5" spans="1:7" ht="27.75" customHeight="1">
      <c r="A5" s="1353"/>
      <c r="B5" s="702"/>
      <c r="C5" s="703" t="s">
        <v>407</v>
      </c>
      <c r="D5" s="704" t="s">
        <v>408</v>
      </c>
      <c r="E5" s="703" t="s">
        <v>407</v>
      </c>
      <c r="F5" s="705" t="s">
        <v>409</v>
      </c>
      <c r="G5" s="706" t="s">
        <v>411</v>
      </c>
    </row>
    <row r="6" spans="1:7" ht="14.25" customHeight="1">
      <c r="A6" s="707"/>
      <c r="B6" s="708"/>
      <c r="C6" s="709"/>
      <c r="D6" s="710"/>
      <c r="E6" s="709"/>
      <c r="F6" s="711" t="s">
        <v>412</v>
      </c>
      <c r="G6" s="701"/>
    </row>
    <row r="7" spans="1:7" ht="14.25" customHeight="1">
      <c r="A7" s="713" t="s">
        <v>1016</v>
      </c>
      <c r="B7" s="711" t="s">
        <v>1017</v>
      </c>
      <c r="C7" s="713" t="s">
        <v>1018</v>
      </c>
      <c r="D7" s="712" t="s">
        <v>1019</v>
      </c>
      <c r="E7" s="713" t="s">
        <v>1020</v>
      </c>
      <c r="F7" s="713" t="s">
        <v>1148</v>
      </c>
      <c r="G7" s="712" t="s">
        <v>326</v>
      </c>
    </row>
    <row r="8" spans="1:7" ht="15">
      <c r="A8" s="714">
        <v>1010001</v>
      </c>
      <c r="B8" s="715" t="s">
        <v>413</v>
      </c>
      <c r="C8" s="716">
        <v>55407</v>
      </c>
      <c r="D8" s="717">
        <v>132509558</v>
      </c>
      <c r="E8" s="716">
        <v>55407</v>
      </c>
      <c r="F8" s="717">
        <v>132509558</v>
      </c>
      <c r="G8" s="716">
        <f aca="true" t="shared" si="0" ref="G8:G36">SUM(F8-D8)</f>
        <v>0</v>
      </c>
    </row>
    <row r="9" spans="1:7" ht="15">
      <c r="A9" s="719">
        <v>1020001</v>
      </c>
      <c r="B9" s="720" t="s">
        <v>414</v>
      </c>
      <c r="C9" s="718">
        <v>1</v>
      </c>
      <c r="D9" s="721">
        <v>3000000</v>
      </c>
      <c r="E9" s="718">
        <v>1</v>
      </c>
      <c r="F9" s="721">
        <v>3000000</v>
      </c>
      <c r="G9" s="718">
        <f t="shared" si="0"/>
        <v>0</v>
      </c>
    </row>
    <row r="10" spans="1:7" ht="15">
      <c r="A10" s="719">
        <v>1020002</v>
      </c>
      <c r="B10" s="720" t="s">
        <v>415</v>
      </c>
      <c r="C10" s="718">
        <v>39995</v>
      </c>
      <c r="D10" s="721">
        <v>11038620</v>
      </c>
      <c r="E10" s="722">
        <v>39995</v>
      </c>
      <c r="F10" s="721">
        <v>11038620</v>
      </c>
      <c r="G10" s="718">
        <f t="shared" si="0"/>
        <v>0</v>
      </c>
    </row>
    <row r="11" spans="1:7" ht="15">
      <c r="A11" s="719">
        <v>1020004</v>
      </c>
      <c r="B11" s="720" t="s">
        <v>416</v>
      </c>
      <c r="C11" s="718">
        <v>455</v>
      </c>
      <c r="D11" s="718">
        <v>13013000</v>
      </c>
      <c r="E11" s="718">
        <v>455</v>
      </c>
      <c r="F11" s="718">
        <v>13013000</v>
      </c>
      <c r="G11" s="718">
        <f t="shared" si="0"/>
        <v>0</v>
      </c>
    </row>
    <row r="12" spans="1:7" ht="15">
      <c r="A12" s="719">
        <v>1070004</v>
      </c>
      <c r="B12" s="720" t="s">
        <v>417</v>
      </c>
      <c r="C12" s="718">
        <v>55407</v>
      </c>
      <c r="D12" s="718">
        <v>3102792</v>
      </c>
      <c r="E12" s="718">
        <v>55407</v>
      </c>
      <c r="F12" s="718">
        <v>3102792</v>
      </c>
      <c r="G12" s="718">
        <f t="shared" si="0"/>
        <v>0</v>
      </c>
    </row>
    <row r="13" spans="1:7" ht="15">
      <c r="A13" s="719">
        <v>1070005</v>
      </c>
      <c r="B13" s="720" t="s">
        <v>418</v>
      </c>
      <c r="C13" s="718">
        <v>1048</v>
      </c>
      <c r="D13" s="718">
        <v>8099992</v>
      </c>
      <c r="E13" s="718">
        <v>1048</v>
      </c>
      <c r="F13" s="718">
        <v>8099992</v>
      </c>
      <c r="G13" s="718">
        <f t="shared" si="0"/>
        <v>0</v>
      </c>
    </row>
    <row r="14" spans="1:7" ht="15">
      <c r="A14" s="719">
        <v>1080001</v>
      </c>
      <c r="B14" s="720" t="s">
        <v>419</v>
      </c>
      <c r="C14" s="718">
        <v>55000000</v>
      </c>
      <c r="D14" s="718">
        <v>82500000</v>
      </c>
      <c r="E14" s="718">
        <v>83494000</v>
      </c>
      <c r="F14" s="718">
        <v>125241000</v>
      </c>
      <c r="G14" s="718">
        <f t="shared" si="0"/>
        <v>42741000</v>
      </c>
    </row>
    <row r="15" spans="1:7" ht="15">
      <c r="A15" s="719">
        <v>1110103</v>
      </c>
      <c r="B15" s="720" t="s">
        <v>420</v>
      </c>
      <c r="C15" s="718">
        <v>110814</v>
      </c>
      <c r="D15" s="718">
        <v>21885765</v>
      </c>
      <c r="E15" s="718">
        <v>110814</v>
      </c>
      <c r="F15" s="718">
        <v>21885765</v>
      </c>
      <c r="G15" s="718">
        <f t="shared" si="0"/>
        <v>0</v>
      </c>
    </row>
    <row r="16" spans="1:7" ht="15">
      <c r="A16" s="719">
        <v>1110104</v>
      </c>
      <c r="B16" s="720" t="s">
        <v>421</v>
      </c>
      <c r="C16" s="718">
        <v>110814</v>
      </c>
      <c r="D16" s="718">
        <v>21885765</v>
      </c>
      <c r="E16" s="718">
        <v>110814</v>
      </c>
      <c r="F16" s="718">
        <v>21885765</v>
      </c>
      <c r="G16" s="718">
        <f t="shared" si="0"/>
        <v>0</v>
      </c>
    </row>
    <row r="17" spans="1:7" ht="15">
      <c r="A17" s="719">
        <v>1110201</v>
      </c>
      <c r="B17" s="720" t="s">
        <v>422</v>
      </c>
      <c r="C17" s="718">
        <v>12</v>
      </c>
      <c r="D17" s="718">
        <v>2099400</v>
      </c>
      <c r="E17" s="718">
        <v>12</v>
      </c>
      <c r="F17" s="718">
        <v>2099400</v>
      </c>
      <c r="G17" s="718">
        <f t="shared" si="0"/>
        <v>0</v>
      </c>
    </row>
    <row r="18" spans="1:7" ht="15">
      <c r="A18" s="719">
        <v>1110301</v>
      </c>
      <c r="B18" s="720" t="s">
        <v>423</v>
      </c>
      <c r="C18" s="718">
        <v>331</v>
      </c>
      <c r="D18" s="718">
        <v>18324160</v>
      </c>
      <c r="E18" s="718">
        <v>2464</v>
      </c>
      <c r="F18" s="718">
        <v>14615040</v>
      </c>
      <c r="G18" s="718">
        <f t="shared" si="0"/>
        <v>-3709120</v>
      </c>
    </row>
    <row r="19" spans="1:7" ht="15">
      <c r="A19" s="719">
        <v>1110302</v>
      </c>
      <c r="B19" s="720" t="s">
        <v>424</v>
      </c>
      <c r="C19" s="718">
        <v>50</v>
      </c>
      <c r="D19" s="718">
        <v>8304000</v>
      </c>
      <c r="E19" s="718">
        <v>62</v>
      </c>
      <c r="F19" s="718">
        <v>10296960</v>
      </c>
      <c r="G19" s="718">
        <f t="shared" si="0"/>
        <v>1992960</v>
      </c>
    </row>
    <row r="20" spans="1:7" ht="15">
      <c r="A20" s="719">
        <v>1110303</v>
      </c>
      <c r="B20" s="720" t="s">
        <v>425</v>
      </c>
      <c r="C20" s="718">
        <v>160</v>
      </c>
      <c r="D20" s="718">
        <v>14172800</v>
      </c>
      <c r="E20" s="718">
        <v>139</v>
      </c>
      <c r="F20" s="718">
        <v>12312620</v>
      </c>
      <c r="G20" s="718">
        <f t="shared" si="0"/>
        <v>-1860180</v>
      </c>
    </row>
    <row r="21" spans="1:7" ht="15">
      <c r="A21" s="719">
        <v>1110311</v>
      </c>
      <c r="B21" s="720" t="s">
        <v>426</v>
      </c>
      <c r="C21" s="718">
        <v>15</v>
      </c>
      <c r="D21" s="718">
        <v>3091500</v>
      </c>
      <c r="E21" s="718">
        <v>19</v>
      </c>
      <c r="F21" s="718">
        <v>3915900</v>
      </c>
      <c r="G21" s="718">
        <f t="shared" si="0"/>
        <v>824400</v>
      </c>
    </row>
    <row r="22" spans="1:7" ht="15">
      <c r="A22" s="719">
        <v>1120235</v>
      </c>
      <c r="B22" s="720" t="s">
        <v>427</v>
      </c>
      <c r="C22" s="718">
        <v>22</v>
      </c>
      <c r="D22" s="718">
        <v>13984300</v>
      </c>
      <c r="E22" s="718">
        <v>25</v>
      </c>
      <c r="F22" s="718">
        <v>15891250</v>
      </c>
      <c r="G22" s="718">
        <f t="shared" si="0"/>
        <v>1906950</v>
      </c>
    </row>
    <row r="23" spans="1:7" ht="15">
      <c r="A23" s="719">
        <v>1140101</v>
      </c>
      <c r="B23" s="720" t="s">
        <v>428</v>
      </c>
      <c r="C23" s="718">
        <v>157</v>
      </c>
      <c r="D23" s="718">
        <v>77573700</v>
      </c>
      <c r="E23" s="718">
        <v>154</v>
      </c>
      <c r="F23" s="718">
        <v>76091400</v>
      </c>
      <c r="G23" s="718">
        <f t="shared" si="0"/>
        <v>-1482300</v>
      </c>
    </row>
    <row r="24" spans="1:7" ht="15">
      <c r="A24" s="719">
        <v>1151102</v>
      </c>
      <c r="B24" s="720" t="s">
        <v>429</v>
      </c>
      <c r="C24" s="718">
        <v>1394</v>
      </c>
      <c r="D24" s="718">
        <v>176876667</v>
      </c>
      <c r="E24" s="718">
        <v>1396</v>
      </c>
      <c r="F24" s="718">
        <v>177190000</v>
      </c>
      <c r="G24" s="718">
        <f t="shared" si="0"/>
        <v>313333</v>
      </c>
    </row>
    <row r="25" spans="1:7" ht="15">
      <c r="A25" s="719">
        <v>1151202</v>
      </c>
      <c r="B25" s="720" t="s">
        <v>430</v>
      </c>
      <c r="C25" s="718">
        <v>1394</v>
      </c>
      <c r="D25" s="718">
        <v>88438333</v>
      </c>
      <c r="E25" s="718">
        <v>1423</v>
      </c>
      <c r="F25" s="718">
        <v>90318333</v>
      </c>
      <c r="G25" s="718">
        <f t="shared" si="0"/>
        <v>1880000</v>
      </c>
    </row>
    <row r="26" spans="1:7" ht="15">
      <c r="A26" s="719">
        <v>1152103</v>
      </c>
      <c r="B26" s="720" t="s">
        <v>431</v>
      </c>
      <c r="C26" s="718">
        <v>705</v>
      </c>
      <c r="D26" s="718">
        <v>63136667</v>
      </c>
      <c r="E26" s="718">
        <v>704</v>
      </c>
      <c r="F26" s="718">
        <v>62980000</v>
      </c>
      <c r="G26" s="718">
        <f t="shared" si="0"/>
        <v>-156667</v>
      </c>
    </row>
    <row r="27" spans="1:7" ht="15">
      <c r="A27" s="719">
        <v>1152104</v>
      </c>
      <c r="B27" s="720" t="s">
        <v>432</v>
      </c>
      <c r="C27" s="718">
        <v>318</v>
      </c>
      <c r="D27" s="718">
        <v>28983333</v>
      </c>
      <c r="E27" s="718">
        <v>316</v>
      </c>
      <c r="F27" s="718">
        <v>28826667</v>
      </c>
      <c r="G27" s="718">
        <f t="shared" si="0"/>
        <v>-156666</v>
      </c>
    </row>
    <row r="28" spans="1:7" ht="15">
      <c r="A28" s="719">
        <v>1152105</v>
      </c>
      <c r="B28" s="720" t="s">
        <v>433</v>
      </c>
      <c r="C28" s="718">
        <v>351</v>
      </c>
      <c r="D28" s="718">
        <v>36346667</v>
      </c>
      <c r="E28" s="718">
        <v>348</v>
      </c>
      <c r="F28" s="718">
        <v>36033333</v>
      </c>
      <c r="G28" s="718">
        <f t="shared" si="0"/>
        <v>-313334</v>
      </c>
    </row>
    <row r="29" spans="1:7" ht="15">
      <c r="A29" s="719">
        <v>1152109</v>
      </c>
      <c r="B29" s="720" t="s">
        <v>434</v>
      </c>
      <c r="C29" s="718">
        <v>686</v>
      </c>
      <c r="D29" s="718">
        <v>72380000</v>
      </c>
      <c r="E29" s="718">
        <v>683</v>
      </c>
      <c r="F29" s="718">
        <v>72066667</v>
      </c>
      <c r="G29" s="718">
        <f t="shared" si="0"/>
        <v>-313333</v>
      </c>
    </row>
    <row r="30" spans="1:7" ht="15">
      <c r="A30" s="719">
        <v>1152112</v>
      </c>
      <c r="B30" s="720" t="s">
        <v>435</v>
      </c>
      <c r="C30" s="718">
        <v>669</v>
      </c>
      <c r="D30" s="718">
        <v>80213333</v>
      </c>
      <c r="E30" s="718">
        <v>668</v>
      </c>
      <c r="F30" s="718">
        <v>80056667</v>
      </c>
      <c r="G30" s="718">
        <f t="shared" si="0"/>
        <v>-156666</v>
      </c>
    </row>
    <row r="31" spans="1:7" ht="15">
      <c r="A31" s="719">
        <v>1152203</v>
      </c>
      <c r="B31" s="720" t="s">
        <v>436</v>
      </c>
      <c r="C31" s="718">
        <v>745</v>
      </c>
      <c r="D31" s="718">
        <v>33370000</v>
      </c>
      <c r="E31" s="718">
        <v>776</v>
      </c>
      <c r="F31" s="718">
        <v>34701667</v>
      </c>
      <c r="G31" s="718">
        <f t="shared" si="0"/>
        <v>1331667</v>
      </c>
    </row>
    <row r="32" spans="1:7" ht="15">
      <c r="A32" s="719">
        <v>1152204</v>
      </c>
      <c r="B32" s="720" t="s">
        <v>437</v>
      </c>
      <c r="C32" s="718">
        <v>335</v>
      </c>
      <c r="D32" s="718">
        <v>15275000</v>
      </c>
      <c r="E32" s="718">
        <v>335</v>
      </c>
      <c r="F32" s="718">
        <v>15275000</v>
      </c>
      <c r="G32" s="718">
        <f t="shared" si="0"/>
        <v>0</v>
      </c>
    </row>
    <row r="33" spans="1:7" ht="15">
      <c r="A33" s="719">
        <v>1152205</v>
      </c>
      <c r="B33" s="720" t="s">
        <v>438</v>
      </c>
      <c r="C33" s="718">
        <v>315</v>
      </c>
      <c r="D33" s="718">
        <v>16371667</v>
      </c>
      <c r="E33" s="718">
        <v>334</v>
      </c>
      <c r="F33" s="718">
        <v>17311667</v>
      </c>
      <c r="G33" s="718">
        <f t="shared" si="0"/>
        <v>940000</v>
      </c>
    </row>
    <row r="34" spans="1:7" ht="15">
      <c r="A34" s="719">
        <v>1152209</v>
      </c>
      <c r="B34" s="720" t="s">
        <v>439</v>
      </c>
      <c r="C34" s="718">
        <v>670</v>
      </c>
      <c r="D34" s="718">
        <v>35406667</v>
      </c>
      <c r="E34" s="718">
        <v>696</v>
      </c>
      <c r="F34" s="718">
        <v>36738333</v>
      </c>
      <c r="G34" s="718">
        <f t="shared" si="0"/>
        <v>1331666</v>
      </c>
    </row>
    <row r="35" spans="1:7" ht="15">
      <c r="A35" s="719">
        <v>1152212</v>
      </c>
      <c r="B35" s="720" t="s">
        <v>440</v>
      </c>
      <c r="C35" s="718">
        <v>696</v>
      </c>
      <c r="D35" s="718">
        <v>41751667</v>
      </c>
      <c r="E35" s="718">
        <v>684</v>
      </c>
      <c r="F35" s="718">
        <v>40968333</v>
      </c>
      <c r="G35" s="718">
        <f t="shared" si="0"/>
        <v>-783334</v>
      </c>
    </row>
    <row r="36" spans="1:7" ht="15">
      <c r="A36" s="719">
        <v>1153109</v>
      </c>
      <c r="B36" s="720" t="s">
        <v>441</v>
      </c>
      <c r="C36" s="718">
        <v>821</v>
      </c>
      <c r="D36" s="718">
        <v>107003333</v>
      </c>
      <c r="E36" s="718">
        <v>819</v>
      </c>
      <c r="F36" s="718">
        <v>106846667</v>
      </c>
      <c r="G36" s="718">
        <f t="shared" si="0"/>
        <v>-156666</v>
      </c>
    </row>
    <row r="37" spans="1:7" ht="15">
      <c r="A37" s="719">
        <v>1153119</v>
      </c>
      <c r="B37" s="720" t="s">
        <v>657</v>
      </c>
      <c r="C37" s="718">
        <v>853</v>
      </c>
      <c r="D37" s="718">
        <v>131756667</v>
      </c>
      <c r="E37" s="718">
        <v>853</v>
      </c>
      <c r="F37" s="718">
        <v>131756667</v>
      </c>
      <c r="G37" s="718">
        <f aca="true" t="shared" si="1" ref="G37:G66">SUM(F37-D37)</f>
        <v>0</v>
      </c>
    </row>
    <row r="38" spans="1:7" ht="15">
      <c r="A38" s="719">
        <v>1153209</v>
      </c>
      <c r="B38" s="720" t="s">
        <v>442</v>
      </c>
      <c r="C38" s="718">
        <v>820</v>
      </c>
      <c r="D38" s="718">
        <v>53423333</v>
      </c>
      <c r="E38" s="718">
        <v>812</v>
      </c>
      <c r="F38" s="718">
        <v>52953333</v>
      </c>
      <c r="G38" s="718">
        <f t="shared" si="1"/>
        <v>-470000</v>
      </c>
    </row>
    <row r="39" spans="1:7" ht="15">
      <c r="A39" s="724">
        <v>1153219</v>
      </c>
      <c r="B39" s="725" t="s">
        <v>443</v>
      </c>
      <c r="C39" s="726">
        <v>890</v>
      </c>
      <c r="D39" s="726">
        <v>68698333</v>
      </c>
      <c r="E39" s="1000">
        <v>847</v>
      </c>
      <c r="F39" s="726">
        <v>65408333</v>
      </c>
      <c r="G39" s="726">
        <f t="shared" si="1"/>
        <v>-3290000</v>
      </c>
    </row>
    <row r="40" spans="1:7" ht="15">
      <c r="A40" s="719">
        <v>1154105</v>
      </c>
      <c r="B40" s="720" t="s">
        <v>444</v>
      </c>
      <c r="C40" s="718">
        <v>63</v>
      </c>
      <c r="D40" s="718">
        <v>7206667</v>
      </c>
      <c r="E40" s="723">
        <v>63</v>
      </c>
      <c r="F40" s="718">
        <v>7206667</v>
      </c>
      <c r="G40" s="718">
        <f t="shared" si="1"/>
        <v>0</v>
      </c>
    </row>
    <row r="41" spans="1:7" ht="15">
      <c r="A41" s="719">
        <v>1154205</v>
      </c>
      <c r="B41" s="720" t="s">
        <v>445</v>
      </c>
      <c r="C41" s="718">
        <v>60</v>
      </c>
      <c r="D41" s="718">
        <v>3446667</v>
      </c>
      <c r="E41" s="723">
        <v>48</v>
      </c>
      <c r="F41" s="718">
        <v>2741667</v>
      </c>
      <c r="G41" s="718">
        <f t="shared" si="1"/>
        <v>-705000</v>
      </c>
    </row>
    <row r="42" spans="1:7" ht="15">
      <c r="A42" s="719">
        <v>1155102</v>
      </c>
      <c r="B42" s="720" t="s">
        <v>446</v>
      </c>
      <c r="C42" s="718">
        <v>568</v>
      </c>
      <c r="D42" s="718">
        <v>40106667</v>
      </c>
      <c r="E42" s="718">
        <v>568</v>
      </c>
      <c r="F42" s="718">
        <v>40106667</v>
      </c>
      <c r="G42" s="718">
        <f t="shared" si="1"/>
        <v>0</v>
      </c>
    </row>
    <row r="43" spans="1:7" ht="15">
      <c r="A43" s="719">
        <v>1155106</v>
      </c>
      <c r="B43" s="720" t="s">
        <v>447</v>
      </c>
      <c r="C43" s="718">
        <v>183</v>
      </c>
      <c r="D43" s="718">
        <v>5170000</v>
      </c>
      <c r="E43" s="718">
        <v>177</v>
      </c>
      <c r="F43" s="718">
        <v>5013333</v>
      </c>
      <c r="G43" s="718">
        <f t="shared" si="1"/>
        <v>-156667</v>
      </c>
    </row>
    <row r="44" spans="1:7" ht="15">
      <c r="A44" s="719">
        <v>1155203</v>
      </c>
      <c r="B44" s="720" t="s">
        <v>457</v>
      </c>
      <c r="C44" s="718">
        <v>580</v>
      </c>
      <c r="D44" s="718">
        <v>20445000</v>
      </c>
      <c r="E44" s="718">
        <v>560</v>
      </c>
      <c r="F44" s="718">
        <v>19740000</v>
      </c>
      <c r="G44" s="718">
        <f t="shared" si="1"/>
        <v>-705000</v>
      </c>
    </row>
    <row r="45" spans="1:7" ht="15">
      <c r="A45" s="719">
        <v>1155206</v>
      </c>
      <c r="B45" s="720" t="s">
        <v>458</v>
      </c>
      <c r="C45" s="718">
        <v>150</v>
      </c>
      <c r="D45" s="718">
        <v>2115000</v>
      </c>
      <c r="E45" s="718">
        <v>180</v>
      </c>
      <c r="F45" s="718">
        <v>2506667</v>
      </c>
      <c r="G45" s="718">
        <f t="shared" si="1"/>
        <v>391667</v>
      </c>
    </row>
    <row r="46" spans="1:7" ht="15">
      <c r="A46" s="719">
        <v>1157101</v>
      </c>
      <c r="B46" s="720" t="s">
        <v>459</v>
      </c>
      <c r="C46" s="718">
        <v>800</v>
      </c>
      <c r="D46" s="718">
        <v>12063333</v>
      </c>
      <c r="E46" s="718">
        <v>912</v>
      </c>
      <c r="F46" s="718">
        <v>13786667</v>
      </c>
      <c r="G46" s="718">
        <f t="shared" si="1"/>
        <v>1723334</v>
      </c>
    </row>
    <row r="47" spans="1:7" ht="15">
      <c r="A47" s="719">
        <v>1157102</v>
      </c>
      <c r="B47" s="720" t="s">
        <v>460</v>
      </c>
      <c r="C47" s="718">
        <v>400</v>
      </c>
      <c r="D47" s="718">
        <v>4073333</v>
      </c>
      <c r="E47" s="718">
        <v>345</v>
      </c>
      <c r="F47" s="718">
        <v>3446667</v>
      </c>
      <c r="G47" s="718">
        <f t="shared" si="1"/>
        <v>-626666</v>
      </c>
    </row>
    <row r="48" spans="1:7" ht="15">
      <c r="A48" s="719">
        <v>1157103</v>
      </c>
      <c r="B48" s="720" t="s">
        <v>461</v>
      </c>
      <c r="C48" s="718">
        <v>359</v>
      </c>
      <c r="D48" s="718">
        <v>7206667</v>
      </c>
      <c r="E48" s="718">
        <v>359</v>
      </c>
      <c r="F48" s="718">
        <v>7206667</v>
      </c>
      <c r="G48" s="718">
        <f t="shared" si="1"/>
        <v>0</v>
      </c>
    </row>
    <row r="49" spans="1:7" ht="15">
      <c r="A49" s="719">
        <v>1157201</v>
      </c>
      <c r="B49" s="720" t="s">
        <v>462</v>
      </c>
      <c r="C49" s="718">
        <v>600</v>
      </c>
      <c r="D49" s="718">
        <v>4543333</v>
      </c>
      <c r="E49" s="718">
        <v>1299</v>
      </c>
      <c r="F49" s="718">
        <v>9791667</v>
      </c>
      <c r="G49" s="718">
        <f t="shared" si="1"/>
        <v>5248334</v>
      </c>
    </row>
    <row r="50" spans="1:7" ht="15">
      <c r="A50" s="719">
        <v>1157202</v>
      </c>
      <c r="B50" s="720" t="s">
        <v>463</v>
      </c>
      <c r="C50" s="718">
        <v>300</v>
      </c>
      <c r="D50" s="718">
        <v>1488333</v>
      </c>
      <c r="E50" s="718">
        <v>510</v>
      </c>
      <c r="F50" s="718">
        <v>2585000</v>
      </c>
      <c r="G50" s="718">
        <f t="shared" si="1"/>
        <v>1096667</v>
      </c>
    </row>
    <row r="51" spans="1:7" ht="15">
      <c r="A51" s="719">
        <v>1157203</v>
      </c>
      <c r="B51" s="720" t="s">
        <v>464</v>
      </c>
      <c r="C51" s="718">
        <v>250</v>
      </c>
      <c r="D51" s="718">
        <v>2506667</v>
      </c>
      <c r="E51" s="718">
        <v>362</v>
      </c>
      <c r="F51" s="718">
        <v>3681667</v>
      </c>
      <c r="G51" s="718">
        <f t="shared" si="1"/>
        <v>1175000</v>
      </c>
    </row>
    <row r="52" spans="1:7" ht="15">
      <c r="A52" s="719">
        <v>1161203</v>
      </c>
      <c r="B52" s="720" t="s">
        <v>465</v>
      </c>
      <c r="C52" s="718">
        <v>35</v>
      </c>
      <c r="D52" s="718">
        <v>3201333</v>
      </c>
      <c r="E52" s="718">
        <v>35</v>
      </c>
      <c r="F52" s="718">
        <v>3201333</v>
      </c>
      <c r="G52" s="718">
        <f t="shared" si="1"/>
        <v>0</v>
      </c>
    </row>
    <row r="53" spans="1:7" ht="15">
      <c r="A53" s="719">
        <v>1161204</v>
      </c>
      <c r="B53" s="720" t="s">
        <v>466</v>
      </c>
      <c r="C53" s="718">
        <v>30</v>
      </c>
      <c r="D53" s="718">
        <v>1372000</v>
      </c>
      <c r="E53" s="718">
        <v>15</v>
      </c>
      <c r="F53" s="718">
        <v>686000</v>
      </c>
      <c r="G53" s="718">
        <f t="shared" si="1"/>
        <v>-686000</v>
      </c>
    </row>
    <row r="54" spans="1:7" ht="15">
      <c r="A54" s="719">
        <v>1161205</v>
      </c>
      <c r="B54" s="720" t="s">
        <v>658</v>
      </c>
      <c r="C54" s="718">
        <v>28</v>
      </c>
      <c r="D54" s="718">
        <v>1097600</v>
      </c>
      <c r="E54" s="718">
        <v>28</v>
      </c>
      <c r="F54" s="718">
        <v>1097600</v>
      </c>
      <c r="G54" s="718">
        <f t="shared" si="1"/>
        <v>0</v>
      </c>
    </row>
    <row r="55" spans="1:7" ht="15">
      <c r="A55" s="719">
        <v>1161206</v>
      </c>
      <c r="B55" s="720" t="s">
        <v>467</v>
      </c>
      <c r="C55" s="718">
        <v>30</v>
      </c>
      <c r="D55" s="718">
        <v>588000</v>
      </c>
      <c r="E55" s="718">
        <v>33</v>
      </c>
      <c r="F55" s="718">
        <v>646800</v>
      </c>
      <c r="G55" s="718">
        <f t="shared" si="1"/>
        <v>58800</v>
      </c>
    </row>
    <row r="56" spans="1:7" ht="15">
      <c r="A56" s="719">
        <v>1162506</v>
      </c>
      <c r="B56" s="720" t="s">
        <v>659</v>
      </c>
      <c r="C56" s="718">
        <v>103</v>
      </c>
      <c r="D56" s="718">
        <v>10766933</v>
      </c>
      <c r="E56" s="718">
        <v>81</v>
      </c>
      <c r="F56" s="718">
        <v>8467200</v>
      </c>
      <c r="G56" s="718">
        <f t="shared" si="1"/>
        <v>-2299733</v>
      </c>
    </row>
    <row r="57" spans="1:7" ht="15">
      <c r="A57" s="719">
        <v>1162306</v>
      </c>
      <c r="B57" s="720" t="s">
        <v>660</v>
      </c>
      <c r="C57" s="718">
        <v>98</v>
      </c>
      <c r="D57" s="718">
        <v>5122133</v>
      </c>
      <c r="E57" s="718">
        <v>77</v>
      </c>
      <c r="F57" s="718">
        <v>4024533</v>
      </c>
      <c r="G57" s="718">
        <f t="shared" si="1"/>
        <v>-1097600</v>
      </c>
    </row>
    <row r="58" spans="1:7" ht="15">
      <c r="A58" s="719">
        <v>1162307</v>
      </c>
      <c r="B58" s="720" t="s">
        <v>468</v>
      </c>
      <c r="C58" s="718">
        <v>70</v>
      </c>
      <c r="D58" s="718">
        <v>16725333</v>
      </c>
      <c r="E58" s="718">
        <v>72</v>
      </c>
      <c r="F58" s="718">
        <v>17203200</v>
      </c>
      <c r="G58" s="718">
        <f t="shared" si="1"/>
        <v>477867</v>
      </c>
    </row>
    <row r="59" spans="1:7" ht="15">
      <c r="A59" s="719">
        <v>1162314</v>
      </c>
      <c r="B59" s="720" t="s">
        <v>469</v>
      </c>
      <c r="C59" s="718">
        <v>66</v>
      </c>
      <c r="D59" s="718">
        <v>7884800</v>
      </c>
      <c r="E59" s="718">
        <v>61</v>
      </c>
      <c r="F59" s="718">
        <v>7287467</v>
      </c>
      <c r="G59" s="718">
        <f t="shared" si="1"/>
        <v>-597333</v>
      </c>
    </row>
    <row r="60" spans="1:7" ht="15">
      <c r="A60" s="719">
        <v>1162406</v>
      </c>
      <c r="B60" s="720" t="s">
        <v>470</v>
      </c>
      <c r="C60" s="718">
        <v>90</v>
      </c>
      <c r="D60" s="718">
        <v>10752000</v>
      </c>
      <c r="E60" s="718">
        <v>94</v>
      </c>
      <c r="F60" s="718">
        <v>11229867</v>
      </c>
      <c r="G60" s="718">
        <f t="shared" si="1"/>
        <v>477867</v>
      </c>
    </row>
    <row r="61" spans="1:7" ht="15">
      <c r="A61" s="719">
        <v>1162508</v>
      </c>
      <c r="B61" s="720" t="s">
        <v>471</v>
      </c>
      <c r="C61" s="718">
        <v>95</v>
      </c>
      <c r="D61" s="718">
        <v>5674667</v>
      </c>
      <c r="E61" s="718">
        <v>111</v>
      </c>
      <c r="F61" s="718">
        <v>6630400</v>
      </c>
      <c r="G61" s="718">
        <f t="shared" si="1"/>
        <v>955733</v>
      </c>
    </row>
    <row r="62" spans="1:7" ht="15">
      <c r="A62" s="727">
        <v>1162601</v>
      </c>
      <c r="B62" s="720" t="s">
        <v>472</v>
      </c>
      <c r="C62" s="728">
        <v>12</v>
      </c>
      <c r="D62" s="728">
        <v>2880000</v>
      </c>
      <c r="E62" s="728">
        <v>14</v>
      </c>
      <c r="F62" s="728">
        <v>3360000</v>
      </c>
      <c r="G62" s="718">
        <f t="shared" si="1"/>
        <v>480000</v>
      </c>
    </row>
    <row r="63" spans="1:7" ht="15">
      <c r="A63" s="727">
        <v>1164205</v>
      </c>
      <c r="B63" s="720" t="s">
        <v>473</v>
      </c>
      <c r="C63" s="728">
        <v>193</v>
      </c>
      <c r="D63" s="728">
        <v>8234667</v>
      </c>
      <c r="E63" s="728">
        <v>193</v>
      </c>
      <c r="F63" s="728">
        <v>8234667</v>
      </c>
      <c r="G63" s="718">
        <f t="shared" si="1"/>
        <v>0</v>
      </c>
    </row>
    <row r="64" spans="1:7" ht="15">
      <c r="A64" s="727">
        <v>1164126</v>
      </c>
      <c r="B64" s="720" t="s">
        <v>474</v>
      </c>
      <c r="C64" s="728">
        <v>195</v>
      </c>
      <c r="D64" s="728">
        <v>4160000</v>
      </c>
      <c r="E64" s="728">
        <v>192</v>
      </c>
      <c r="F64" s="728">
        <v>4096000</v>
      </c>
      <c r="G64" s="718">
        <f t="shared" si="1"/>
        <v>-64000</v>
      </c>
    </row>
    <row r="65" spans="1:7" ht="15">
      <c r="A65" s="727">
        <v>1164203</v>
      </c>
      <c r="B65" s="720" t="s">
        <v>475</v>
      </c>
      <c r="C65" s="728">
        <v>175</v>
      </c>
      <c r="D65" s="728">
        <v>7466667</v>
      </c>
      <c r="E65" s="728">
        <v>175</v>
      </c>
      <c r="F65" s="728">
        <v>7466667</v>
      </c>
      <c r="G65" s="718">
        <f t="shared" si="1"/>
        <v>0</v>
      </c>
    </row>
    <row r="66" spans="1:7" ht="15">
      <c r="A66" s="727">
        <v>1164206</v>
      </c>
      <c r="B66" s="720" t="s">
        <v>476</v>
      </c>
      <c r="C66" s="728">
        <v>174</v>
      </c>
      <c r="D66" s="728">
        <v>3712000</v>
      </c>
      <c r="E66" s="728">
        <v>168</v>
      </c>
      <c r="F66" s="728">
        <v>3584000</v>
      </c>
      <c r="G66" s="718">
        <f t="shared" si="1"/>
        <v>-128000</v>
      </c>
    </row>
    <row r="67" spans="1:7" ht="14.25" customHeight="1">
      <c r="A67" s="727">
        <v>1165501</v>
      </c>
      <c r="B67" s="720" t="s">
        <v>477</v>
      </c>
      <c r="C67" s="728">
        <v>319</v>
      </c>
      <c r="D67" s="728">
        <v>1914000</v>
      </c>
      <c r="E67" s="728">
        <v>333</v>
      </c>
      <c r="F67" s="728">
        <v>1998000</v>
      </c>
      <c r="G67" s="718">
        <f>SUM(F67-D67)</f>
        <v>84000</v>
      </c>
    </row>
    <row r="68" spans="1:7" ht="14.25" customHeight="1">
      <c r="A68" s="727">
        <v>1165502</v>
      </c>
      <c r="B68" s="720" t="s">
        <v>478</v>
      </c>
      <c r="C68" s="728">
        <v>28</v>
      </c>
      <c r="D68" s="728">
        <v>168000</v>
      </c>
      <c r="E68" s="728">
        <v>12</v>
      </c>
      <c r="F68" s="728">
        <v>72000</v>
      </c>
      <c r="G68" s="718">
        <f>SUM(F68-D68)</f>
        <v>-96000</v>
      </c>
    </row>
    <row r="69" spans="1:7" ht="15">
      <c r="A69" s="727">
        <v>1166104</v>
      </c>
      <c r="B69" s="720" t="s">
        <v>479</v>
      </c>
      <c r="C69" s="728">
        <v>351</v>
      </c>
      <c r="D69" s="728">
        <v>3580200</v>
      </c>
      <c r="E69" s="728">
        <v>351</v>
      </c>
      <c r="F69" s="728">
        <v>3580200</v>
      </c>
      <c r="G69" s="718">
        <f>SUM(F69-D69)</f>
        <v>0</v>
      </c>
    </row>
    <row r="70" spans="1:7" ht="15">
      <c r="A70" s="727">
        <v>1166108</v>
      </c>
      <c r="B70" s="720" t="s">
        <v>480</v>
      </c>
      <c r="C70" s="728">
        <v>390</v>
      </c>
      <c r="D70" s="728">
        <v>1989000</v>
      </c>
      <c r="E70" s="728">
        <v>378</v>
      </c>
      <c r="F70" s="728">
        <v>1927800</v>
      </c>
      <c r="G70" s="718">
        <f>SUM(F70-D70)</f>
        <v>-61200</v>
      </c>
    </row>
    <row r="71" spans="1:7" ht="15.75" customHeight="1">
      <c r="A71" s="1350" t="s">
        <v>481</v>
      </c>
      <c r="B71" s="1351"/>
      <c r="C71" s="729">
        <f>SUM(C8:C70)</f>
        <v>55393145</v>
      </c>
      <c r="D71" s="729">
        <f>SUM(D8:D70)</f>
        <v>1691678019</v>
      </c>
      <c r="E71" s="729">
        <f>SUM(E8:E70)</f>
        <v>83890316</v>
      </c>
      <c r="F71" s="729">
        <f>SUM(F8:F70)</f>
        <v>1737037799</v>
      </c>
      <c r="G71" s="729">
        <f>SUM(G8:G70)</f>
        <v>45359780</v>
      </c>
    </row>
    <row r="78" ht="14.25" customHeight="1"/>
  </sheetData>
  <mergeCells count="5">
    <mergeCell ref="A71:B71"/>
    <mergeCell ref="A4:A5"/>
    <mergeCell ref="A2:G2"/>
    <mergeCell ref="A1:G1"/>
    <mergeCell ref="E4:F4"/>
  </mergeCells>
  <printOptions horizontalCentered="1"/>
  <pageMargins left="0" right="0" top="0.1968503937007874" bottom="0.1968503937007874" header="0.11811023622047245" footer="0"/>
  <pageSetup firstPageNumber="59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B10">
      <selection activeCell="D36" sqref="D36"/>
    </sheetView>
  </sheetViews>
  <sheetFormatPr defaultColWidth="9.00390625" defaultRowHeight="12.75"/>
  <cols>
    <col min="1" max="1" width="7.75390625" style="0" customWidth="1"/>
    <col min="2" max="2" width="39.875" style="0" customWidth="1"/>
    <col min="3" max="3" width="11.00390625" style="0" customWidth="1"/>
    <col min="4" max="4" width="13.00390625" style="0" customWidth="1"/>
    <col min="5" max="5" width="8.25390625" style="0" customWidth="1"/>
    <col min="6" max="6" width="12.625" style="0" customWidth="1"/>
    <col min="7" max="7" width="12.25390625" style="0" customWidth="1"/>
    <col min="8" max="8" width="11.625" style="0" customWidth="1"/>
    <col min="9" max="9" width="14.875" style="0" customWidth="1"/>
  </cols>
  <sheetData>
    <row r="2" spans="1:9" ht="14.25">
      <c r="A2" s="1354" t="s">
        <v>534</v>
      </c>
      <c r="B2" s="1355"/>
      <c r="C2" s="1355"/>
      <c r="D2" s="1355"/>
      <c r="E2" s="1355"/>
      <c r="F2" s="1355"/>
      <c r="G2" s="1355"/>
      <c r="H2" s="633"/>
      <c r="I2" s="633"/>
    </row>
    <row r="3" spans="1:9" ht="14.25">
      <c r="A3" s="1354" t="s">
        <v>491</v>
      </c>
      <c r="B3" s="1354"/>
      <c r="C3" s="1354"/>
      <c r="D3" s="1354"/>
      <c r="E3" s="1354"/>
      <c r="F3" s="1354"/>
      <c r="G3" s="1354"/>
      <c r="H3" s="633"/>
      <c r="I3" s="633"/>
    </row>
    <row r="4" spans="1:9" ht="12.75">
      <c r="A4" s="633"/>
      <c r="B4" s="633"/>
      <c r="C4" s="633"/>
      <c r="D4" s="633"/>
      <c r="E4" s="633"/>
      <c r="F4" s="633"/>
      <c r="G4" s="633"/>
      <c r="H4" s="633"/>
      <c r="I4" s="633"/>
    </row>
    <row r="6" spans="1:9" ht="28.5">
      <c r="A6" s="1352" t="s">
        <v>402</v>
      </c>
      <c r="B6" s="699" t="s">
        <v>403</v>
      </c>
      <c r="C6" s="700" t="s">
        <v>509</v>
      </c>
      <c r="D6" s="701"/>
      <c r="E6" s="1356" t="s">
        <v>404</v>
      </c>
      <c r="F6" s="1357"/>
      <c r="G6" s="1360"/>
      <c r="H6" s="1361" t="s">
        <v>405</v>
      </c>
      <c r="I6" s="698" t="s">
        <v>406</v>
      </c>
    </row>
    <row r="7" spans="1:9" ht="15">
      <c r="A7" s="1353"/>
      <c r="B7" s="702"/>
      <c r="C7" s="703" t="s">
        <v>407</v>
      </c>
      <c r="D7" s="704" t="s">
        <v>408</v>
      </c>
      <c r="E7" s="703" t="s">
        <v>407</v>
      </c>
      <c r="F7" s="705" t="s">
        <v>409</v>
      </c>
      <c r="G7" s="704" t="s">
        <v>410</v>
      </c>
      <c r="H7" s="1362"/>
      <c r="I7" s="706" t="s">
        <v>482</v>
      </c>
    </row>
    <row r="8" spans="1:9" ht="15">
      <c r="A8" s="707"/>
      <c r="B8" s="708"/>
      <c r="C8" s="709"/>
      <c r="D8" s="710"/>
      <c r="E8" s="709"/>
      <c r="F8" s="1363" t="s">
        <v>412</v>
      </c>
      <c r="G8" s="1364"/>
      <c r="H8" s="707"/>
      <c r="I8" s="701"/>
    </row>
    <row r="9" spans="1:9" ht="14.25">
      <c r="A9" s="713" t="s">
        <v>1016</v>
      </c>
      <c r="B9" s="711" t="s">
        <v>1017</v>
      </c>
      <c r="C9" s="713" t="s">
        <v>1018</v>
      </c>
      <c r="D9" s="712" t="s">
        <v>1019</v>
      </c>
      <c r="E9" s="713" t="s">
        <v>1020</v>
      </c>
      <c r="F9" s="713" t="s">
        <v>1148</v>
      </c>
      <c r="G9" s="712" t="s">
        <v>229</v>
      </c>
      <c r="H9" s="713" t="s">
        <v>324</v>
      </c>
      <c r="I9" s="712" t="s">
        <v>326</v>
      </c>
    </row>
    <row r="10" spans="1:9" ht="15">
      <c r="A10" s="719">
        <v>5010101</v>
      </c>
      <c r="B10" s="719" t="s">
        <v>483</v>
      </c>
      <c r="C10" s="730">
        <v>47</v>
      </c>
      <c r="D10" s="731">
        <v>37600000</v>
      </c>
      <c r="E10" s="730">
        <v>47</v>
      </c>
      <c r="F10" s="731">
        <v>37600000</v>
      </c>
      <c r="G10" s="731">
        <v>37600000</v>
      </c>
      <c r="H10" s="732"/>
      <c r="I10" s="718">
        <f aca="true" t="shared" si="0" ref="I10:I23">SUM(G10-D10)</f>
        <v>0</v>
      </c>
    </row>
    <row r="11" spans="1:9" ht="15">
      <c r="A11" s="719">
        <v>5010102</v>
      </c>
      <c r="B11" s="719" t="s">
        <v>484</v>
      </c>
      <c r="C11" s="730">
        <v>47</v>
      </c>
      <c r="D11" s="731">
        <v>18800000</v>
      </c>
      <c r="E11" s="730">
        <v>51</v>
      </c>
      <c r="F11" s="731">
        <v>20400000</v>
      </c>
      <c r="G11" s="731">
        <v>20400000</v>
      </c>
      <c r="H11" s="732"/>
      <c r="I11" s="718">
        <f t="shared" si="0"/>
        <v>1600000</v>
      </c>
    </row>
    <row r="12" spans="1:9" ht="15">
      <c r="A12" s="719">
        <v>5010201</v>
      </c>
      <c r="B12" s="727" t="s">
        <v>485</v>
      </c>
      <c r="C12" s="733">
        <v>727</v>
      </c>
      <c r="D12" s="731">
        <v>3053400</v>
      </c>
      <c r="E12" s="733">
        <v>727</v>
      </c>
      <c r="F12" s="731">
        <v>3053400</v>
      </c>
      <c r="G12" s="731">
        <v>3053400</v>
      </c>
      <c r="H12" s="734"/>
      <c r="I12" s="718">
        <f t="shared" si="0"/>
        <v>0</v>
      </c>
    </row>
    <row r="13" spans="1:9" ht="15">
      <c r="A13" s="719">
        <v>5010202</v>
      </c>
      <c r="B13" s="727" t="s">
        <v>485</v>
      </c>
      <c r="C13" s="733">
        <v>675</v>
      </c>
      <c r="D13" s="731">
        <v>1417500</v>
      </c>
      <c r="E13" s="733">
        <v>724</v>
      </c>
      <c r="F13" s="731">
        <v>1520400</v>
      </c>
      <c r="G13" s="731">
        <v>1520400</v>
      </c>
      <c r="H13" s="734"/>
      <c r="I13" s="718">
        <f t="shared" si="0"/>
        <v>102900</v>
      </c>
    </row>
    <row r="14" spans="1:9" ht="15">
      <c r="A14" s="719">
        <v>5010301</v>
      </c>
      <c r="B14" s="727" t="s">
        <v>486</v>
      </c>
      <c r="C14" s="733">
        <v>218</v>
      </c>
      <c r="D14" s="731">
        <v>3778667</v>
      </c>
      <c r="E14" s="733">
        <v>218</v>
      </c>
      <c r="F14" s="731">
        <v>3778667</v>
      </c>
      <c r="G14" s="731">
        <v>3778667</v>
      </c>
      <c r="H14" s="734"/>
      <c r="I14" s="718">
        <f t="shared" si="0"/>
        <v>0</v>
      </c>
    </row>
    <row r="15" spans="1:9" ht="15">
      <c r="A15" s="719">
        <v>5010302</v>
      </c>
      <c r="B15" s="727" t="s">
        <v>487</v>
      </c>
      <c r="C15" s="733">
        <v>197</v>
      </c>
      <c r="D15" s="731">
        <v>1707333</v>
      </c>
      <c r="E15" s="733">
        <v>209</v>
      </c>
      <c r="F15" s="731">
        <v>1811333</v>
      </c>
      <c r="G15" s="731">
        <v>1811333</v>
      </c>
      <c r="H15" s="734"/>
      <c r="I15" s="718">
        <f t="shared" si="0"/>
        <v>104000</v>
      </c>
    </row>
    <row r="16" spans="1:9" ht="15">
      <c r="A16" s="719">
        <v>5010303</v>
      </c>
      <c r="B16" s="727" t="s">
        <v>488</v>
      </c>
      <c r="C16" s="733">
        <v>57</v>
      </c>
      <c r="D16" s="731">
        <v>2470000</v>
      </c>
      <c r="E16" s="733">
        <v>57</v>
      </c>
      <c r="F16" s="731">
        <v>2470000</v>
      </c>
      <c r="G16" s="731">
        <v>2470000</v>
      </c>
      <c r="H16" s="734"/>
      <c r="I16" s="718">
        <f t="shared" si="0"/>
        <v>0</v>
      </c>
    </row>
    <row r="17" spans="1:9" ht="15">
      <c r="A17" s="719">
        <v>5010304</v>
      </c>
      <c r="B17" s="727" t="s">
        <v>487</v>
      </c>
      <c r="C17" s="733">
        <v>65</v>
      </c>
      <c r="D17" s="731">
        <v>1408333</v>
      </c>
      <c r="E17" s="733">
        <v>59</v>
      </c>
      <c r="F17" s="731">
        <v>1278333</v>
      </c>
      <c r="G17" s="731">
        <v>1278330</v>
      </c>
      <c r="H17" s="734"/>
      <c r="I17" s="718">
        <f t="shared" si="0"/>
        <v>-130003</v>
      </c>
    </row>
    <row r="18" spans="1:9" ht="15">
      <c r="A18" s="719">
        <v>5010419</v>
      </c>
      <c r="B18" s="727" t="s">
        <v>510</v>
      </c>
      <c r="C18" s="733">
        <v>1006</v>
      </c>
      <c r="D18" s="731">
        <v>68408000</v>
      </c>
      <c r="E18" s="733">
        <v>1336</v>
      </c>
      <c r="F18" s="731">
        <v>90848000</v>
      </c>
      <c r="G18" s="731">
        <v>90848000</v>
      </c>
      <c r="H18" s="734"/>
      <c r="I18" s="718">
        <f t="shared" si="0"/>
        <v>22440000</v>
      </c>
    </row>
    <row r="19" spans="1:9" ht="15">
      <c r="A19" s="719">
        <v>5010501</v>
      </c>
      <c r="B19" s="727" t="s">
        <v>511</v>
      </c>
      <c r="C19" s="733">
        <v>4239</v>
      </c>
      <c r="D19" s="731">
        <v>4945500</v>
      </c>
      <c r="E19" s="733">
        <v>4226</v>
      </c>
      <c r="F19" s="731">
        <v>4930000</v>
      </c>
      <c r="G19" s="731">
        <v>0</v>
      </c>
      <c r="H19" s="734"/>
      <c r="I19" s="718">
        <f t="shared" si="0"/>
        <v>-4945500</v>
      </c>
    </row>
    <row r="20" spans="1:9" ht="15">
      <c r="A20" s="719">
        <v>5010502</v>
      </c>
      <c r="B20" s="727" t="s">
        <v>511</v>
      </c>
      <c r="C20" s="733">
        <v>4220</v>
      </c>
      <c r="D20" s="731">
        <v>2461667</v>
      </c>
      <c r="E20" s="733">
        <v>4343</v>
      </c>
      <c r="F20" s="731">
        <v>2533417</v>
      </c>
      <c r="G20" s="731">
        <v>1266722</v>
      </c>
      <c r="H20" s="734"/>
      <c r="I20" s="718">
        <f t="shared" si="0"/>
        <v>-1194945</v>
      </c>
    </row>
    <row r="21" spans="1:9" ht="15">
      <c r="A21" s="719">
        <v>5010601</v>
      </c>
      <c r="B21" s="727" t="s">
        <v>512</v>
      </c>
      <c r="C21" s="733">
        <v>1200</v>
      </c>
      <c r="D21" s="731">
        <v>14400000</v>
      </c>
      <c r="E21" s="733">
        <v>1441</v>
      </c>
      <c r="F21" s="731">
        <v>17292000</v>
      </c>
      <c r="G21" s="731">
        <v>17292000</v>
      </c>
      <c r="H21" s="734"/>
      <c r="I21" s="718">
        <f t="shared" si="0"/>
        <v>2892000</v>
      </c>
    </row>
    <row r="22" spans="1:9" ht="15">
      <c r="A22" s="719">
        <v>5020201</v>
      </c>
      <c r="B22" s="1050" t="s">
        <v>529</v>
      </c>
      <c r="C22" s="730">
        <v>143</v>
      </c>
      <c r="D22" s="731">
        <v>234520</v>
      </c>
      <c r="E22" s="730">
        <v>149</v>
      </c>
      <c r="F22" s="731">
        <v>244360</v>
      </c>
      <c r="G22" s="731">
        <v>244360</v>
      </c>
      <c r="H22" s="732"/>
      <c r="I22" s="718">
        <f t="shared" si="0"/>
        <v>9840</v>
      </c>
    </row>
    <row r="23" spans="1:9" ht="15">
      <c r="A23" s="724">
        <v>5020301</v>
      </c>
      <c r="B23" s="1050" t="s">
        <v>513</v>
      </c>
      <c r="C23" s="735">
        <v>11</v>
      </c>
      <c r="D23" s="736">
        <v>748000</v>
      </c>
      <c r="E23" s="735">
        <v>15</v>
      </c>
      <c r="F23" s="736">
        <v>1020000</v>
      </c>
      <c r="G23" s="736">
        <v>1020000</v>
      </c>
      <c r="H23" s="737"/>
      <c r="I23" s="718">
        <f t="shared" si="0"/>
        <v>272000</v>
      </c>
    </row>
    <row r="24" spans="1:9" ht="14.25">
      <c r="A24" s="1358" t="s">
        <v>530</v>
      </c>
      <c r="B24" s="1359"/>
      <c r="C24" s="738">
        <f>SUM(C10:C23)</f>
        <v>12852</v>
      </c>
      <c r="D24" s="739">
        <f>SUM(D10:D23)</f>
        <v>161432920</v>
      </c>
      <c r="E24" s="738">
        <f>SUM(E10:E23)</f>
        <v>13602</v>
      </c>
      <c r="F24" s="739">
        <f>SUM(F10:F23)</f>
        <v>188779910</v>
      </c>
      <c r="G24" s="739">
        <f>SUM(G10:G23)</f>
        <v>182583212</v>
      </c>
      <c r="H24" s="738"/>
      <c r="I24" s="740">
        <f>SUM(I10:I23)</f>
        <v>21150292</v>
      </c>
    </row>
    <row r="25" spans="1:9" ht="15">
      <c r="A25" s="741"/>
      <c r="B25" s="720" t="s">
        <v>514</v>
      </c>
      <c r="C25" s="742"/>
      <c r="D25" s="731">
        <v>275000</v>
      </c>
      <c r="E25" s="742"/>
      <c r="F25" s="731">
        <v>275000</v>
      </c>
      <c r="G25" s="731">
        <v>275000</v>
      </c>
      <c r="H25" s="743"/>
      <c r="I25" s="718">
        <f aca="true" t="shared" si="1" ref="I25:I33">SUM(G25-D25)</f>
        <v>0</v>
      </c>
    </row>
    <row r="26" spans="1:9" ht="15">
      <c r="A26" s="741"/>
      <c r="B26" s="720" t="s">
        <v>515</v>
      </c>
      <c r="C26" s="742"/>
      <c r="D26" s="731">
        <v>2112000</v>
      </c>
      <c r="E26" s="742"/>
      <c r="F26" s="731">
        <v>2112000</v>
      </c>
      <c r="G26" s="731">
        <v>0</v>
      </c>
      <c r="H26" s="744"/>
      <c r="I26" s="718">
        <f t="shared" si="1"/>
        <v>-2112000</v>
      </c>
    </row>
    <row r="27" spans="1:9" ht="15">
      <c r="A27" s="741"/>
      <c r="B27" s="720" t="s">
        <v>516</v>
      </c>
      <c r="C27" s="742"/>
      <c r="D27" s="731">
        <v>2805000</v>
      </c>
      <c r="E27" s="742"/>
      <c r="F27" s="731">
        <v>2805000</v>
      </c>
      <c r="G27" s="731">
        <v>2155000</v>
      </c>
      <c r="H27" s="743"/>
      <c r="I27" s="718">
        <f t="shared" si="1"/>
        <v>-650000</v>
      </c>
    </row>
    <row r="28" spans="1:9" ht="15">
      <c r="A28" s="741"/>
      <c r="B28" s="720" t="s">
        <v>520</v>
      </c>
      <c r="C28" s="742"/>
      <c r="D28" s="731">
        <v>10000000</v>
      </c>
      <c r="E28" s="742"/>
      <c r="F28" s="731">
        <v>10000000</v>
      </c>
      <c r="G28" s="731">
        <v>9500000</v>
      </c>
      <c r="H28" s="744">
        <v>500000</v>
      </c>
      <c r="I28" s="718">
        <f>SUM(G28-D28)+H28</f>
        <v>0</v>
      </c>
    </row>
    <row r="29" spans="1:9" ht="15">
      <c r="A29" s="741"/>
      <c r="B29" s="745" t="s">
        <v>531</v>
      </c>
      <c r="C29" s="742"/>
      <c r="D29" s="731">
        <v>7333000</v>
      </c>
      <c r="E29" s="742"/>
      <c r="F29" s="731">
        <v>7333000</v>
      </c>
      <c r="G29" s="731">
        <v>0</v>
      </c>
      <c r="H29" s="744"/>
      <c r="I29" s="718">
        <f t="shared" si="1"/>
        <v>-7333000</v>
      </c>
    </row>
    <row r="30" spans="1:9" ht="15">
      <c r="A30" s="746"/>
      <c r="B30" s="720" t="s">
        <v>521</v>
      </c>
      <c r="C30" s="742"/>
      <c r="D30" s="731">
        <v>5154000</v>
      </c>
      <c r="E30" s="742"/>
      <c r="F30" s="731">
        <v>5154000</v>
      </c>
      <c r="G30" s="731">
        <v>5154000</v>
      </c>
      <c r="H30" s="744"/>
      <c r="I30" s="718">
        <f t="shared" si="1"/>
        <v>0</v>
      </c>
    </row>
    <row r="31" spans="1:9" ht="15">
      <c r="A31" s="746"/>
      <c r="B31" s="720" t="s">
        <v>522</v>
      </c>
      <c r="C31" s="742"/>
      <c r="D31" s="731">
        <v>268788000</v>
      </c>
      <c r="E31" s="742"/>
      <c r="F31" s="731">
        <v>268788000</v>
      </c>
      <c r="G31" s="731">
        <v>268788000</v>
      </c>
      <c r="H31" s="744"/>
      <c r="I31" s="718">
        <f t="shared" si="1"/>
        <v>0</v>
      </c>
    </row>
    <row r="32" spans="1:9" ht="15">
      <c r="A32" s="746"/>
      <c r="B32" s="720" t="s">
        <v>523</v>
      </c>
      <c r="C32" s="742"/>
      <c r="D32" s="731">
        <v>147929000</v>
      </c>
      <c r="E32" s="742"/>
      <c r="F32" s="731">
        <v>147929000</v>
      </c>
      <c r="G32" s="731">
        <v>147929000</v>
      </c>
      <c r="H32" s="744"/>
      <c r="I32" s="718">
        <f t="shared" si="1"/>
        <v>0</v>
      </c>
    </row>
    <row r="33" spans="1:9" ht="15">
      <c r="A33" s="746"/>
      <c r="B33" s="720" t="s">
        <v>524</v>
      </c>
      <c r="C33" s="742"/>
      <c r="D33" s="731">
        <v>164134000</v>
      </c>
      <c r="E33" s="742"/>
      <c r="F33" s="731">
        <v>164134000</v>
      </c>
      <c r="G33" s="731">
        <v>164134000</v>
      </c>
      <c r="H33" s="744"/>
      <c r="I33" s="718">
        <f t="shared" si="1"/>
        <v>0</v>
      </c>
    </row>
    <row r="34" spans="1:9" ht="15">
      <c r="A34" s="746"/>
      <c r="B34" s="720" t="s">
        <v>525</v>
      </c>
      <c r="C34" s="742"/>
      <c r="D34" s="731">
        <v>11000000</v>
      </c>
      <c r="E34" s="742"/>
      <c r="F34" s="731">
        <v>11000000</v>
      </c>
      <c r="G34" s="731"/>
      <c r="H34" s="744">
        <v>11000000</v>
      </c>
      <c r="I34" s="718">
        <f>SUM(G34-D34)+H34</f>
        <v>0</v>
      </c>
    </row>
    <row r="35" spans="1:9" ht="15">
      <c r="A35" s="747" t="s">
        <v>532</v>
      </c>
      <c r="B35" s="748"/>
      <c r="C35" s="749"/>
      <c r="D35" s="750">
        <f>SUM(D25:D34)</f>
        <v>619530000</v>
      </c>
      <c r="E35" s="740"/>
      <c r="F35" s="740">
        <f>SUM(F25:F34)</f>
        <v>619530000</v>
      </c>
      <c r="G35" s="751">
        <f>SUM(G25:G34)</f>
        <v>597935000</v>
      </c>
      <c r="H35" s="751">
        <f>SUM(H25:H34)</f>
        <v>11500000</v>
      </c>
      <c r="I35" s="740">
        <f>SUM(I25:I34)</f>
        <v>-10095000</v>
      </c>
    </row>
    <row r="36" spans="1:9" ht="14.25">
      <c r="A36" s="752" t="s">
        <v>533</v>
      </c>
      <c r="B36" s="753"/>
      <c r="C36" s="738"/>
      <c r="D36" s="754">
        <f>SUM(D24+D35)</f>
        <v>780962920</v>
      </c>
      <c r="E36" s="755"/>
      <c r="F36" s="754">
        <f>SUM(F24+F35)</f>
        <v>808309910</v>
      </c>
      <c r="G36" s="751">
        <f>SUM(G24+G35)</f>
        <v>780518212</v>
      </c>
      <c r="H36" s="751">
        <f>SUM(H24+H35)</f>
        <v>11500000</v>
      </c>
      <c r="I36" s="756">
        <f>SUM(I24+I35)</f>
        <v>11055292</v>
      </c>
    </row>
  </sheetData>
  <mergeCells count="7">
    <mergeCell ref="H6:H7"/>
    <mergeCell ref="F8:G8"/>
    <mergeCell ref="A2:G2"/>
    <mergeCell ref="A3:G3"/>
    <mergeCell ref="A24:B24"/>
    <mergeCell ref="A6:A7"/>
    <mergeCell ref="E6:G6"/>
  </mergeCells>
  <printOptions/>
  <pageMargins left="0.75" right="0.75" top="1" bottom="1" header="0.5" footer="0.5"/>
  <pageSetup firstPageNumber="61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75" workbookViewId="0" topLeftCell="A28">
      <selection activeCell="K52" sqref="K52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8.625" style="0" customWidth="1"/>
    <col min="4" max="5" width="8.125" style="0" customWidth="1"/>
    <col min="6" max="6" width="8.625" style="0" customWidth="1"/>
    <col min="7" max="10" width="8.75390625" style="0" customWidth="1"/>
    <col min="11" max="11" width="9.75390625" style="0" customWidth="1"/>
    <col min="13" max="13" width="8.75390625" style="0" customWidth="1"/>
  </cols>
  <sheetData>
    <row r="1" spans="1:16" ht="12.75">
      <c r="A1" s="1373" t="s">
        <v>493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4"/>
    </row>
    <row r="2" spans="1:16" ht="12.75">
      <c r="A2" s="757"/>
      <c r="B2" s="758"/>
      <c r="C2" s="758"/>
      <c r="D2" s="758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ht="12.75">
      <c r="A3" s="1373" t="s">
        <v>535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</row>
    <row r="4" spans="1:16" ht="12.75">
      <c r="A4" s="1375" t="s">
        <v>494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</row>
    <row r="5" spans="1:16" ht="12.75">
      <c r="A5" s="760"/>
      <c r="B5" s="761"/>
      <c r="C5" s="761"/>
      <c r="D5" s="761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3"/>
      <c r="P5" s="207" t="s">
        <v>1060</v>
      </c>
    </row>
    <row r="6" spans="1:16" ht="12.75" customHeight="1">
      <c r="A6" s="764" t="s">
        <v>1015</v>
      </c>
      <c r="B6" s="1376" t="s">
        <v>784</v>
      </c>
      <c r="C6" s="1365" t="s">
        <v>536</v>
      </c>
      <c r="D6" s="1366"/>
      <c r="E6" s="1367" t="s">
        <v>537</v>
      </c>
      <c r="F6" s="1379" t="s">
        <v>153</v>
      </c>
      <c r="G6" s="1380"/>
      <c r="H6" s="1367" t="s">
        <v>156</v>
      </c>
      <c r="I6" s="1367" t="s">
        <v>783</v>
      </c>
      <c r="J6" s="1367" t="s">
        <v>155</v>
      </c>
      <c r="K6" s="1367" t="s">
        <v>157</v>
      </c>
      <c r="L6" s="1379" t="s">
        <v>538</v>
      </c>
      <c r="M6" s="1380"/>
      <c r="N6" s="1380"/>
      <c r="O6" s="1381"/>
      <c r="P6" s="1382"/>
    </row>
    <row r="7" spans="1:16" ht="12.75">
      <c r="A7" s="766"/>
      <c r="B7" s="1377"/>
      <c r="C7" s="767" t="s">
        <v>539</v>
      </c>
      <c r="D7" s="767" t="s">
        <v>540</v>
      </c>
      <c r="E7" s="1368"/>
      <c r="F7" s="768" t="s">
        <v>154</v>
      </c>
      <c r="G7" s="769" t="s">
        <v>541</v>
      </c>
      <c r="H7" s="1368"/>
      <c r="I7" s="1377"/>
      <c r="J7" s="1368"/>
      <c r="K7" s="1368"/>
      <c r="L7" s="768" t="s">
        <v>542</v>
      </c>
      <c r="M7" s="768" t="s">
        <v>543</v>
      </c>
      <c r="N7" s="765" t="s">
        <v>544</v>
      </c>
      <c r="O7" s="770" t="s">
        <v>545</v>
      </c>
      <c r="P7" s="771" t="s">
        <v>546</v>
      </c>
    </row>
    <row r="8" spans="1:16" ht="12.75">
      <c r="A8" s="766"/>
      <c r="B8" s="1377"/>
      <c r="C8" s="1365" t="s">
        <v>547</v>
      </c>
      <c r="D8" s="1366"/>
      <c r="E8" s="1368"/>
      <c r="F8" s="772"/>
      <c r="G8" s="773" t="s">
        <v>548</v>
      </c>
      <c r="H8" s="1368"/>
      <c r="I8" s="1377"/>
      <c r="J8" s="1368"/>
      <c r="K8" s="1368"/>
      <c r="L8" s="768" t="s">
        <v>549</v>
      </c>
      <c r="M8" s="768" t="s">
        <v>550</v>
      </c>
      <c r="N8" s="768" t="s">
        <v>551</v>
      </c>
      <c r="O8" s="770" t="s">
        <v>552</v>
      </c>
      <c r="P8" s="771" t="s">
        <v>553</v>
      </c>
    </row>
    <row r="9" spans="1:16" ht="12.75">
      <c r="A9" s="774" t="s">
        <v>1098</v>
      </c>
      <c r="B9" s="1378"/>
      <c r="C9" s="1369" t="s">
        <v>554</v>
      </c>
      <c r="D9" s="1370"/>
      <c r="E9" s="1298"/>
      <c r="F9" s="1371"/>
      <c r="G9" s="1372"/>
      <c r="H9" s="1298"/>
      <c r="I9" s="1378"/>
      <c r="J9" s="1298"/>
      <c r="K9" s="1298"/>
      <c r="L9" s="768"/>
      <c r="M9" s="768"/>
      <c r="N9" s="768"/>
      <c r="O9" s="776"/>
      <c r="P9" s="771"/>
    </row>
    <row r="10" spans="1:16" ht="12.75">
      <c r="A10" s="777" t="s">
        <v>1016</v>
      </c>
      <c r="B10" s="777" t="s">
        <v>1017</v>
      </c>
      <c r="C10" s="777" t="s">
        <v>1018</v>
      </c>
      <c r="D10" s="777" t="s">
        <v>1019</v>
      </c>
      <c r="E10" s="778" t="s">
        <v>1020</v>
      </c>
      <c r="F10" s="778" t="s">
        <v>1148</v>
      </c>
      <c r="G10" s="778" t="s">
        <v>229</v>
      </c>
      <c r="H10" s="778" t="s">
        <v>324</v>
      </c>
      <c r="I10" s="778" t="s">
        <v>326</v>
      </c>
      <c r="J10" s="778" t="s">
        <v>328</v>
      </c>
      <c r="K10" s="778" t="s">
        <v>330</v>
      </c>
      <c r="L10" s="778" t="s">
        <v>328</v>
      </c>
      <c r="M10" s="778" t="s">
        <v>330</v>
      </c>
      <c r="N10" s="778" t="s">
        <v>331</v>
      </c>
      <c r="O10" s="779" t="s">
        <v>332</v>
      </c>
      <c r="P10" s="777" t="s">
        <v>334</v>
      </c>
    </row>
    <row r="11" spans="1:16" ht="12.75">
      <c r="A11" s="780" t="s">
        <v>555</v>
      </c>
      <c r="B11" s="781">
        <f aca="true" t="shared" si="0" ref="B11:K11">SUM(B12:B20)</f>
        <v>22476</v>
      </c>
      <c r="C11" s="781">
        <f t="shared" si="0"/>
        <v>3100</v>
      </c>
      <c r="D11" s="781">
        <f t="shared" si="0"/>
        <v>0</v>
      </c>
      <c r="E11" s="781">
        <f t="shared" si="0"/>
        <v>25576</v>
      </c>
      <c r="F11" s="781">
        <f t="shared" si="0"/>
        <v>0</v>
      </c>
      <c r="G11" s="781">
        <f t="shared" si="0"/>
        <v>0</v>
      </c>
      <c r="H11" s="781">
        <f t="shared" si="0"/>
        <v>25576</v>
      </c>
      <c r="I11" s="781"/>
      <c r="J11" s="781">
        <f t="shared" si="0"/>
        <v>0</v>
      </c>
      <c r="K11" s="781">
        <f t="shared" si="0"/>
        <v>25576</v>
      </c>
      <c r="L11" s="781">
        <f>SUM(L12:L20)</f>
        <v>5025</v>
      </c>
      <c r="M11" s="781">
        <f>SUM(M12:M20)</f>
        <v>1247</v>
      </c>
      <c r="N11" s="781">
        <f>SUM(N12:N20)</f>
        <v>0</v>
      </c>
      <c r="O11" s="781">
        <f>SUM(O12:O20)</f>
        <v>19304</v>
      </c>
      <c r="P11" s="781">
        <f>SUM(P12:P20)</f>
        <v>0</v>
      </c>
    </row>
    <row r="12" spans="1:16" ht="12.75">
      <c r="A12" s="782" t="s">
        <v>336</v>
      </c>
      <c r="B12" s="783">
        <v>3026</v>
      </c>
      <c r="C12" s="783">
        <v>314</v>
      </c>
      <c r="D12" s="783"/>
      <c r="E12" s="784">
        <f aca="true" t="shared" si="1" ref="E12:E20">SUM(B12+C12-D12)</f>
        <v>3340</v>
      </c>
      <c r="F12" s="785"/>
      <c r="G12" s="785"/>
      <c r="H12" s="784">
        <f aca="true" t="shared" si="2" ref="H12:H20">SUM(E12:G12)</f>
        <v>3340</v>
      </c>
      <c r="I12" s="784"/>
      <c r="J12" s="785"/>
      <c r="K12" s="785">
        <f>SUM(E12+G12+I12+J12)</f>
        <v>3340</v>
      </c>
      <c r="L12" s="785">
        <v>362</v>
      </c>
      <c r="M12" s="785">
        <v>98</v>
      </c>
      <c r="N12" s="785"/>
      <c r="O12" s="785">
        <v>2880</v>
      </c>
      <c r="P12" s="782"/>
    </row>
    <row r="13" spans="1:16" ht="12.75">
      <c r="A13" s="782" t="s">
        <v>556</v>
      </c>
      <c r="B13" s="783">
        <v>1075</v>
      </c>
      <c r="C13" s="783">
        <v>309</v>
      </c>
      <c r="D13" s="783"/>
      <c r="E13" s="784">
        <f t="shared" si="1"/>
        <v>1384</v>
      </c>
      <c r="F13" s="785"/>
      <c r="G13" s="785"/>
      <c r="H13" s="784">
        <f t="shared" si="2"/>
        <v>1384</v>
      </c>
      <c r="I13" s="784"/>
      <c r="J13" s="785"/>
      <c r="K13" s="785">
        <f aca="true" t="shared" si="3" ref="K13:K52">SUM(E13+G13+I13+J13)</f>
        <v>1384</v>
      </c>
      <c r="L13" s="785">
        <v>457</v>
      </c>
      <c r="M13" s="785">
        <v>105</v>
      </c>
      <c r="N13" s="785"/>
      <c r="O13" s="785">
        <v>822</v>
      </c>
      <c r="P13" s="782"/>
    </row>
    <row r="14" spans="1:16" ht="12.75">
      <c r="A14" s="782" t="s">
        <v>342</v>
      </c>
      <c r="B14" s="783">
        <v>4705</v>
      </c>
      <c r="C14" s="783">
        <v>421</v>
      </c>
      <c r="D14" s="783"/>
      <c r="E14" s="784">
        <f t="shared" si="1"/>
        <v>5126</v>
      </c>
      <c r="F14" s="785"/>
      <c r="G14" s="785"/>
      <c r="H14" s="784">
        <f t="shared" si="2"/>
        <v>5126</v>
      </c>
      <c r="I14" s="784"/>
      <c r="J14" s="785"/>
      <c r="K14" s="785">
        <f t="shared" si="3"/>
        <v>5126</v>
      </c>
      <c r="L14" s="785">
        <v>771</v>
      </c>
      <c r="M14" s="785">
        <v>208</v>
      </c>
      <c r="N14" s="785"/>
      <c r="O14" s="785">
        <v>4147</v>
      </c>
      <c r="P14" s="782"/>
    </row>
    <row r="15" spans="1:16" ht="12.75">
      <c r="A15" s="782" t="s">
        <v>557</v>
      </c>
      <c r="B15" s="783">
        <v>2168</v>
      </c>
      <c r="C15" s="783">
        <v>360</v>
      </c>
      <c r="D15" s="783"/>
      <c r="E15" s="784">
        <f t="shared" si="1"/>
        <v>2528</v>
      </c>
      <c r="F15" s="785"/>
      <c r="G15" s="785"/>
      <c r="H15" s="784">
        <f t="shared" si="2"/>
        <v>2528</v>
      </c>
      <c r="I15" s="784"/>
      <c r="J15" s="785"/>
      <c r="K15" s="785">
        <f t="shared" si="3"/>
        <v>2528</v>
      </c>
      <c r="L15" s="785">
        <v>365</v>
      </c>
      <c r="M15" s="785">
        <v>99</v>
      </c>
      <c r="N15" s="785"/>
      <c r="O15" s="785">
        <v>2064</v>
      </c>
      <c r="P15" s="782"/>
    </row>
    <row r="16" spans="1:16" ht="12.75">
      <c r="A16" s="782" t="s">
        <v>558</v>
      </c>
      <c r="B16" s="783">
        <v>773</v>
      </c>
      <c r="C16" s="783">
        <v>213</v>
      </c>
      <c r="D16" s="783"/>
      <c r="E16" s="784">
        <f t="shared" si="1"/>
        <v>986</v>
      </c>
      <c r="F16" s="785"/>
      <c r="G16" s="785"/>
      <c r="H16" s="784">
        <f t="shared" si="2"/>
        <v>986</v>
      </c>
      <c r="I16" s="784"/>
      <c r="J16" s="785"/>
      <c r="K16" s="785">
        <f t="shared" si="3"/>
        <v>986</v>
      </c>
      <c r="L16" s="785">
        <v>342</v>
      </c>
      <c r="M16" s="785">
        <v>91</v>
      </c>
      <c r="N16" s="785"/>
      <c r="O16" s="785">
        <v>553</v>
      </c>
      <c r="P16" s="782"/>
    </row>
    <row r="17" spans="1:16" ht="12.75">
      <c r="A17" s="782" t="s">
        <v>348</v>
      </c>
      <c r="B17" s="783">
        <v>2344</v>
      </c>
      <c r="C17" s="783">
        <v>241</v>
      </c>
      <c r="D17" s="783"/>
      <c r="E17" s="784">
        <f t="shared" si="1"/>
        <v>2585</v>
      </c>
      <c r="F17" s="785"/>
      <c r="G17" s="785"/>
      <c r="H17" s="784">
        <f t="shared" si="2"/>
        <v>2585</v>
      </c>
      <c r="I17" s="784"/>
      <c r="J17" s="785"/>
      <c r="K17" s="785">
        <f t="shared" si="3"/>
        <v>2585</v>
      </c>
      <c r="L17" s="785">
        <v>370</v>
      </c>
      <c r="M17" s="785">
        <v>91</v>
      </c>
      <c r="N17" s="785"/>
      <c r="O17" s="785">
        <v>2124</v>
      </c>
      <c r="P17" s="782"/>
    </row>
    <row r="18" spans="1:16" ht="12.75">
      <c r="A18" s="782" t="s">
        <v>559</v>
      </c>
      <c r="B18" s="783">
        <v>1948</v>
      </c>
      <c r="C18" s="783">
        <v>195</v>
      </c>
      <c r="D18" s="783"/>
      <c r="E18" s="784">
        <f t="shared" si="1"/>
        <v>2143</v>
      </c>
      <c r="F18" s="785"/>
      <c r="G18" s="785"/>
      <c r="H18" s="784">
        <f t="shared" si="2"/>
        <v>2143</v>
      </c>
      <c r="I18" s="784"/>
      <c r="J18" s="785"/>
      <c r="K18" s="785">
        <f t="shared" si="3"/>
        <v>2143</v>
      </c>
      <c r="L18" s="785">
        <v>315</v>
      </c>
      <c r="M18" s="785">
        <v>85</v>
      </c>
      <c r="N18" s="785"/>
      <c r="O18" s="785">
        <v>1743</v>
      </c>
      <c r="P18" s="782"/>
    </row>
    <row r="19" spans="1:16" ht="12.75">
      <c r="A19" s="782" t="s">
        <v>560</v>
      </c>
      <c r="B19" s="783">
        <v>3997</v>
      </c>
      <c r="C19" s="783">
        <v>822</v>
      </c>
      <c r="D19" s="783"/>
      <c r="E19" s="784">
        <f t="shared" si="1"/>
        <v>4819</v>
      </c>
      <c r="F19" s="785"/>
      <c r="G19" s="785"/>
      <c r="H19" s="784">
        <f t="shared" si="2"/>
        <v>4819</v>
      </c>
      <c r="I19" s="784"/>
      <c r="J19" s="785"/>
      <c r="K19" s="785">
        <f t="shared" si="3"/>
        <v>4819</v>
      </c>
      <c r="L19" s="785">
        <v>1691</v>
      </c>
      <c r="M19" s="785">
        <v>380</v>
      </c>
      <c r="N19" s="785"/>
      <c r="O19" s="785">
        <v>2748</v>
      </c>
      <c r="P19" s="782"/>
    </row>
    <row r="20" spans="1:16" ht="12.75">
      <c r="A20" s="782" t="s">
        <v>561</v>
      </c>
      <c r="B20" s="783">
        <v>2440</v>
      </c>
      <c r="C20" s="783">
        <v>225</v>
      </c>
      <c r="D20" s="783"/>
      <c r="E20" s="784">
        <f t="shared" si="1"/>
        <v>2665</v>
      </c>
      <c r="F20" s="785"/>
      <c r="G20" s="784"/>
      <c r="H20" s="784">
        <f t="shared" si="2"/>
        <v>2665</v>
      </c>
      <c r="I20" s="784"/>
      <c r="J20" s="785"/>
      <c r="K20" s="785">
        <f t="shared" si="3"/>
        <v>2665</v>
      </c>
      <c r="L20" s="785">
        <v>352</v>
      </c>
      <c r="M20" s="785">
        <v>90</v>
      </c>
      <c r="N20" s="785"/>
      <c r="O20" s="785">
        <v>2223</v>
      </c>
      <c r="P20" s="782"/>
    </row>
    <row r="21" spans="1:16" ht="12.75">
      <c r="A21" s="782"/>
      <c r="B21" s="783"/>
      <c r="C21" s="783"/>
      <c r="D21" s="783"/>
      <c r="E21" s="784"/>
      <c r="F21" s="785"/>
      <c r="G21" s="784"/>
      <c r="H21" s="784"/>
      <c r="I21" s="784"/>
      <c r="J21" s="785"/>
      <c r="K21" s="785">
        <f t="shared" si="3"/>
        <v>0</v>
      </c>
      <c r="L21" s="785"/>
      <c r="M21" s="785"/>
      <c r="N21" s="785"/>
      <c r="O21" s="785"/>
      <c r="P21" s="782"/>
    </row>
    <row r="22" spans="1:16" ht="12.75">
      <c r="A22" s="780" t="s">
        <v>562</v>
      </c>
      <c r="B22" s="786">
        <f aca="true" t="shared" si="4" ref="B22:M22">SUM(B23:B35)</f>
        <v>15372</v>
      </c>
      <c r="C22" s="786">
        <f t="shared" si="4"/>
        <v>17387</v>
      </c>
      <c r="D22" s="786">
        <f t="shared" si="4"/>
        <v>1072</v>
      </c>
      <c r="E22" s="786">
        <f t="shared" si="4"/>
        <v>31687</v>
      </c>
      <c r="F22" s="786">
        <f t="shared" si="4"/>
        <v>0</v>
      </c>
      <c r="G22" s="786">
        <f t="shared" si="4"/>
        <v>0</v>
      </c>
      <c r="H22" s="786">
        <f t="shared" si="4"/>
        <v>31687</v>
      </c>
      <c r="I22" s="786">
        <f t="shared" si="4"/>
        <v>-31687</v>
      </c>
      <c r="J22" s="786">
        <f t="shared" si="4"/>
        <v>0</v>
      </c>
      <c r="K22" s="784">
        <f t="shared" si="3"/>
        <v>0</v>
      </c>
      <c r="L22" s="786">
        <f t="shared" si="4"/>
        <v>0</v>
      </c>
      <c r="M22" s="786">
        <f t="shared" si="4"/>
        <v>0</v>
      </c>
      <c r="N22" s="786">
        <f>SUM(N23:N34)</f>
        <v>0</v>
      </c>
      <c r="O22" s="786">
        <f>SUM(O23:O35)</f>
        <v>0</v>
      </c>
      <c r="P22" s="786">
        <f>SUM(P23:P34)</f>
        <v>0</v>
      </c>
    </row>
    <row r="23" spans="1:16" ht="12.75">
      <c r="A23" s="782" t="s">
        <v>563</v>
      </c>
      <c r="B23" s="783">
        <v>299</v>
      </c>
      <c r="C23" s="783">
        <v>782</v>
      </c>
      <c r="D23" s="783"/>
      <c r="E23" s="784">
        <f aca="true" t="shared" si="5" ref="E23:E35">SUM(B23+C23-D23)</f>
        <v>1081</v>
      </c>
      <c r="F23" s="785"/>
      <c r="G23" s="785"/>
      <c r="H23" s="784">
        <f aca="true" t="shared" si="6" ref="H23:H35">SUM(E23:G23)</f>
        <v>1081</v>
      </c>
      <c r="I23" s="784">
        <v>-1081</v>
      </c>
      <c r="J23" s="785"/>
      <c r="K23" s="784">
        <f t="shared" si="3"/>
        <v>0</v>
      </c>
      <c r="L23" s="785"/>
      <c r="M23" s="785"/>
      <c r="N23" s="785"/>
      <c r="O23" s="785"/>
      <c r="P23" s="782"/>
    </row>
    <row r="24" spans="1:16" ht="12.75">
      <c r="A24" s="787" t="s">
        <v>564</v>
      </c>
      <c r="B24" s="783"/>
      <c r="C24" s="783">
        <v>2543</v>
      </c>
      <c r="D24" s="783"/>
      <c r="E24" s="784">
        <f t="shared" si="5"/>
        <v>2543</v>
      </c>
      <c r="F24" s="785"/>
      <c r="G24" s="785"/>
      <c r="H24" s="784">
        <f t="shared" si="6"/>
        <v>2543</v>
      </c>
      <c r="I24" s="784">
        <v>-2543</v>
      </c>
      <c r="J24" s="785"/>
      <c r="K24" s="784">
        <f t="shared" si="3"/>
        <v>0</v>
      </c>
      <c r="L24" s="785"/>
      <c r="M24" s="785"/>
      <c r="N24" s="785"/>
      <c r="O24" s="785"/>
      <c r="P24" s="782"/>
    </row>
    <row r="25" spans="1:16" ht="12.75">
      <c r="A25" s="782" t="s">
        <v>565</v>
      </c>
      <c r="B25" s="783"/>
      <c r="C25" s="783">
        <v>3120</v>
      </c>
      <c r="D25" s="783"/>
      <c r="E25" s="784">
        <f t="shared" si="5"/>
        <v>3120</v>
      </c>
      <c r="F25" s="785"/>
      <c r="G25" s="785"/>
      <c r="H25" s="784">
        <f t="shared" si="6"/>
        <v>3120</v>
      </c>
      <c r="I25" s="784">
        <v>-3120</v>
      </c>
      <c r="J25" s="785"/>
      <c r="K25" s="784">
        <f t="shared" si="3"/>
        <v>0</v>
      </c>
      <c r="L25" s="785"/>
      <c r="M25" s="785"/>
      <c r="N25" s="785"/>
      <c r="O25" s="785"/>
      <c r="P25" s="785"/>
    </row>
    <row r="26" spans="1:16" ht="12.75">
      <c r="A26" s="782" t="s">
        <v>566</v>
      </c>
      <c r="B26" s="783">
        <v>4408</v>
      </c>
      <c r="C26" s="783">
        <v>123</v>
      </c>
      <c r="D26" s="783"/>
      <c r="E26" s="784">
        <f t="shared" si="5"/>
        <v>4531</v>
      </c>
      <c r="F26" s="785"/>
      <c r="G26" s="784"/>
      <c r="H26" s="784">
        <f t="shared" si="6"/>
        <v>4531</v>
      </c>
      <c r="I26" s="784">
        <v>-4531</v>
      </c>
      <c r="J26" s="785"/>
      <c r="K26" s="784">
        <f t="shared" si="3"/>
        <v>0</v>
      </c>
      <c r="L26" s="785"/>
      <c r="M26" s="785"/>
      <c r="N26" s="785"/>
      <c r="O26" s="785"/>
      <c r="P26" s="785"/>
    </row>
    <row r="27" spans="1:16" ht="12.75">
      <c r="A27" s="787" t="s">
        <v>567</v>
      </c>
      <c r="B27" s="783">
        <v>106</v>
      </c>
      <c r="C27" s="783">
        <v>937</v>
      </c>
      <c r="D27" s="783"/>
      <c r="E27" s="784">
        <f t="shared" si="5"/>
        <v>1043</v>
      </c>
      <c r="F27" s="785"/>
      <c r="G27" s="784"/>
      <c r="H27" s="784">
        <f t="shared" si="6"/>
        <v>1043</v>
      </c>
      <c r="I27" s="784">
        <v>-1043</v>
      </c>
      <c r="J27" s="785"/>
      <c r="K27" s="784">
        <f t="shared" si="3"/>
        <v>0</v>
      </c>
      <c r="L27" s="785"/>
      <c r="M27" s="785"/>
      <c r="N27" s="785"/>
      <c r="O27" s="785"/>
      <c r="P27" s="785"/>
    </row>
    <row r="28" spans="1:16" ht="12.75">
      <c r="A28" s="787" t="s">
        <v>568</v>
      </c>
      <c r="B28" s="783"/>
      <c r="C28" s="783">
        <v>577</v>
      </c>
      <c r="D28" s="783"/>
      <c r="E28" s="784">
        <f t="shared" si="5"/>
        <v>577</v>
      </c>
      <c r="F28" s="785"/>
      <c r="G28" s="785"/>
      <c r="H28" s="784">
        <f t="shared" si="6"/>
        <v>577</v>
      </c>
      <c r="I28" s="784">
        <v>-577</v>
      </c>
      <c r="J28" s="785"/>
      <c r="K28" s="784">
        <f t="shared" si="3"/>
        <v>0</v>
      </c>
      <c r="L28" s="785"/>
      <c r="M28" s="785"/>
      <c r="N28" s="785"/>
      <c r="O28" s="785"/>
      <c r="P28" s="785"/>
    </row>
    <row r="29" spans="1:16" ht="12.75">
      <c r="A29" s="788" t="s">
        <v>569</v>
      </c>
      <c r="B29" s="783">
        <v>2408</v>
      </c>
      <c r="C29" s="783">
        <v>712</v>
      </c>
      <c r="D29" s="783"/>
      <c r="E29" s="784">
        <f t="shared" si="5"/>
        <v>3120</v>
      </c>
      <c r="F29" s="785"/>
      <c r="G29" s="785"/>
      <c r="H29" s="784">
        <f t="shared" si="6"/>
        <v>3120</v>
      </c>
      <c r="I29" s="784">
        <v>-3120</v>
      </c>
      <c r="J29" s="785"/>
      <c r="K29" s="784">
        <f t="shared" si="3"/>
        <v>0</v>
      </c>
      <c r="L29" s="785"/>
      <c r="M29" s="785"/>
      <c r="N29" s="785"/>
      <c r="O29" s="785"/>
      <c r="P29" s="785"/>
    </row>
    <row r="30" spans="1:16" ht="12.75">
      <c r="A30" s="787" t="s">
        <v>356</v>
      </c>
      <c r="B30" s="783"/>
      <c r="C30" s="783"/>
      <c r="D30" s="783"/>
      <c r="E30" s="784">
        <f t="shared" si="5"/>
        <v>0</v>
      </c>
      <c r="F30" s="785"/>
      <c r="G30" s="785"/>
      <c r="H30" s="784">
        <f t="shared" si="6"/>
        <v>0</v>
      </c>
      <c r="I30" s="784"/>
      <c r="J30" s="785"/>
      <c r="K30" s="784">
        <f t="shared" si="3"/>
        <v>0</v>
      </c>
      <c r="L30" s="785"/>
      <c r="M30" s="785"/>
      <c r="N30" s="785"/>
      <c r="O30" s="785"/>
      <c r="P30" s="785"/>
    </row>
    <row r="31" spans="1:16" ht="12.75">
      <c r="A31" s="787" t="s">
        <v>570</v>
      </c>
      <c r="B31" s="783"/>
      <c r="C31" s="783">
        <v>1016</v>
      </c>
      <c r="D31" s="783"/>
      <c r="E31" s="784">
        <f t="shared" si="5"/>
        <v>1016</v>
      </c>
      <c r="F31" s="785"/>
      <c r="G31" s="784"/>
      <c r="H31" s="784">
        <f t="shared" si="6"/>
        <v>1016</v>
      </c>
      <c r="I31" s="784">
        <v>-1016</v>
      </c>
      <c r="J31" s="785"/>
      <c r="K31" s="784">
        <f t="shared" si="3"/>
        <v>0</v>
      </c>
      <c r="L31" s="785"/>
      <c r="M31" s="785"/>
      <c r="N31" s="785"/>
      <c r="O31" s="785"/>
      <c r="P31" s="785"/>
    </row>
    <row r="32" spans="1:16" ht="12.75">
      <c r="A32" s="787" t="s">
        <v>571</v>
      </c>
      <c r="B32" s="783">
        <v>6978</v>
      </c>
      <c r="C32" s="783">
        <v>258</v>
      </c>
      <c r="D32" s="783"/>
      <c r="E32" s="784">
        <f t="shared" si="5"/>
        <v>7236</v>
      </c>
      <c r="F32" s="785"/>
      <c r="G32" s="785"/>
      <c r="H32" s="784">
        <f t="shared" si="6"/>
        <v>7236</v>
      </c>
      <c r="I32" s="784">
        <v>-7236</v>
      </c>
      <c r="J32" s="785"/>
      <c r="K32" s="784">
        <f t="shared" si="3"/>
        <v>0</v>
      </c>
      <c r="L32" s="785"/>
      <c r="M32" s="785"/>
      <c r="N32" s="785"/>
      <c r="O32" s="785"/>
      <c r="P32" s="785"/>
    </row>
    <row r="33" spans="1:16" ht="12.75">
      <c r="A33" s="787" t="s">
        <v>572</v>
      </c>
      <c r="B33" s="783">
        <v>6</v>
      </c>
      <c r="C33" s="783">
        <v>12</v>
      </c>
      <c r="D33" s="783"/>
      <c r="E33" s="784">
        <f t="shared" si="5"/>
        <v>18</v>
      </c>
      <c r="F33" s="785"/>
      <c r="G33" s="785"/>
      <c r="H33" s="784">
        <f t="shared" si="6"/>
        <v>18</v>
      </c>
      <c r="I33" s="784">
        <v>-18</v>
      </c>
      <c r="J33" s="785"/>
      <c r="K33" s="784">
        <f t="shared" si="3"/>
        <v>0</v>
      </c>
      <c r="L33" s="785"/>
      <c r="M33" s="785"/>
      <c r="N33" s="785"/>
      <c r="O33" s="785"/>
      <c r="P33" s="785"/>
    </row>
    <row r="34" spans="1:16" ht="12.75">
      <c r="A34" s="787" t="s">
        <v>573</v>
      </c>
      <c r="B34" s="783">
        <v>1165</v>
      </c>
      <c r="C34" s="783">
        <v>4225</v>
      </c>
      <c r="D34" s="783">
        <v>1072</v>
      </c>
      <c r="E34" s="784">
        <f t="shared" si="5"/>
        <v>4318</v>
      </c>
      <c r="F34" s="785"/>
      <c r="G34" s="785"/>
      <c r="H34" s="784">
        <f t="shared" si="6"/>
        <v>4318</v>
      </c>
      <c r="I34" s="784">
        <v>-4318</v>
      </c>
      <c r="J34" s="785"/>
      <c r="K34" s="784">
        <f t="shared" si="3"/>
        <v>0</v>
      </c>
      <c r="L34" s="785"/>
      <c r="M34" s="785"/>
      <c r="N34" s="785"/>
      <c r="O34" s="785"/>
      <c r="P34" s="785"/>
    </row>
    <row r="35" spans="1:16" ht="12.75">
      <c r="A35" s="782" t="s">
        <v>782</v>
      </c>
      <c r="B35" s="783">
        <v>2</v>
      </c>
      <c r="C35" s="783">
        <v>3082</v>
      </c>
      <c r="D35" s="783"/>
      <c r="E35" s="784">
        <f t="shared" si="5"/>
        <v>3084</v>
      </c>
      <c r="F35" s="785"/>
      <c r="G35" s="784"/>
      <c r="H35" s="784">
        <f t="shared" si="6"/>
        <v>3084</v>
      </c>
      <c r="I35" s="784">
        <v>-3084</v>
      </c>
      <c r="J35" s="785"/>
      <c r="K35" s="784">
        <f t="shared" si="3"/>
        <v>0</v>
      </c>
      <c r="L35" s="785"/>
      <c r="M35" s="785"/>
      <c r="N35" s="785"/>
      <c r="O35" s="785"/>
      <c r="P35" s="782"/>
    </row>
    <row r="36" spans="1:16" ht="12.75">
      <c r="A36" s="782"/>
      <c r="B36" s="783"/>
      <c r="C36" s="783"/>
      <c r="D36" s="783"/>
      <c r="E36" s="784"/>
      <c r="F36" s="785"/>
      <c r="G36" s="784"/>
      <c r="H36" s="784"/>
      <c r="I36" s="784"/>
      <c r="J36" s="785"/>
      <c r="K36" s="784"/>
      <c r="L36" s="785"/>
      <c r="M36" s="785"/>
      <c r="N36" s="785"/>
      <c r="O36" s="785"/>
      <c r="P36" s="785"/>
    </row>
    <row r="37" spans="1:16" ht="12.75">
      <c r="A37" s="790" t="s">
        <v>574</v>
      </c>
      <c r="B37" s="786">
        <v>381</v>
      </c>
      <c r="C37" s="786">
        <v>436</v>
      </c>
      <c r="D37" s="786">
        <v>0</v>
      </c>
      <c r="E37" s="784">
        <f>SUM(B37+C37-D37)</f>
        <v>817</v>
      </c>
      <c r="F37" s="784"/>
      <c r="G37" s="784"/>
      <c r="H37" s="784">
        <f>SUM(E37:G37)</f>
        <v>817</v>
      </c>
      <c r="I37" s="784"/>
      <c r="J37" s="784">
        <v>1040</v>
      </c>
      <c r="K37" s="784">
        <f t="shared" si="3"/>
        <v>1857</v>
      </c>
      <c r="L37" s="784">
        <v>345</v>
      </c>
      <c r="M37" s="784">
        <v>93</v>
      </c>
      <c r="N37" s="784"/>
      <c r="O37" s="784">
        <v>1419</v>
      </c>
      <c r="P37" s="790"/>
    </row>
    <row r="38" spans="1:16" ht="12.75">
      <c r="A38" s="790"/>
      <c r="B38" s="786"/>
      <c r="C38" s="786"/>
      <c r="D38" s="786"/>
      <c r="E38" s="784"/>
      <c r="F38" s="784"/>
      <c r="G38" s="784"/>
      <c r="H38" s="784"/>
      <c r="I38" s="784"/>
      <c r="J38" s="784"/>
      <c r="K38" s="785"/>
      <c r="L38" s="784"/>
      <c r="M38" s="784"/>
      <c r="N38" s="784"/>
      <c r="O38" s="784"/>
      <c r="P38" s="782"/>
    </row>
    <row r="39" spans="1:16" ht="12.75">
      <c r="A39" s="789" t="s">
        <v>575</v>
      </c>
      <c r="B39" s="786">
        <f aca="true" t="shared" si="7" ref="B39:J39">SUM(B40:B41)</f>
        <v>904</v>
      </c>
      <c r="C39" s="786">
        <f t="shared" si="7"/>
        <v>5005</v>
      </c>
      <c r="D39" s="786">
        <f t="shared" si="7"/>
        <v>26</v>
      </c>
      <c r="E39" s="786">
        <f t="shared" si="7"/>
        <v>5883</v>
      </c>
      <c r="F39" s="789"/>
      <c r="G39" s="789">
        <f t="shared" si="7"/>
        <v>0</v>
      </c>
      <c r="H39" s="786">
        <f t="shared" si="7"/>
        <v>5883</v>
      </c>
      <c r="I39" s="786"/>
      <c r="J39" s="789">
        <f t="shared" si="7"/>
        <v>9209</v>
      </c>
      <c r="K39" s="784">
        <f t="shared" si="3"/>
        <v>15092</v>
      </c>
      <c r="L39" s="786">
        <f>SUM(L40:L41)</f>
        <v>6186</v>
      </c>
      <c r="M39" s="786">
        <f>SUM(M40:M41)</f>
        <v>1030</v>
      </c>
      <c r="N39" s="786">
        <f>SUM(N40:N41)</f>
        <v>0</v>
      </c>
      <c r="O39" s="786">
        <f>SUM(O40:O41)</f>
        <v>7876</v>
      </c>
      <c r="P39" s="786">
        <f>SUM(P40:P41)</f>
        <v>0</v>
      </c>
    </row>
    <row r="40" spans="1:16" ht="12.75">
      <c r="A40" s="782" t="s">
        <v>576</v>
      </c>
      <c r="B40" s="783">
        <v>487</v>
      </c>
      <c r="C40" s="783">
        <v>1888</v>
      </c>
      <c r="D40" s="783"/>
      <c r="E40" s="784">
        <f>SUM(B40+C40-D40)</f>
        <v>2375</v>
      </c>
      <c r="F40" s="785"/>
      <c r="G40" s="785"/>
      <c r="H40" s="784">
        <f>SUM(E40:G40)</f>
        <v>2375</v>
      </c>
      <c r="I40" s="784"/>
      <c r="J40" s="785">
        <v>2357</v>
      </c>
      <c r="K40" s="785">
        <f t="shared" si="3"/>
        <v>4732</v>
      </c>
      <c r="L40" s="785">
        <v>2567</v>
      </c>
      <c r="M40" s="785">
        <v>573</v>
      </c>
      <c r="N40" s="785"/>
      <c r="O40" s="785">
        <v>1592</v>
      </c>
      <c r="P40" s="782"/>
    </row>
    <row r="41" spans="1:16" ht="12.75">
      <c r="A41" s="782" t="s">
        <v>1168</v>
      </c>
      <c r="B41" s="783">
        <v>417</v>
      </c>
      <c r="C41" s="783">
        <v>3117</v>
      </c>
      <c r="D41" s="783">
        <v>26</v>
      </c>
      <c r="E41" s="784">
        <f>SUM(B41+C41-D41)</f>
        <v>3508</v>
      </c>
      <c r="F41" s="785"/>
      <c r="G41" s="785"/>
      <c r="H41" s="784">
        <f>SUM(E41:G41)</f>
        <v>3508</v>
      </c>
      <c r="I41" s="784"/>
      <c r="J41" s="785">
        <v>6852</v>
      </c>
      <c r="K41" s="785">
        <f t="shared" si="3"/>
        <v>10360</v>
      </c>
      <c r="L41" s="785">
        <v>3619</v>
      </c>
      <c r="M41" s="785">
        <v>457</v>
      </c>
      <c r="N41" s="785"/>
      <c r="O41" s="785">
        <v>6284</v>
      </c>
      <c r="P41" s="782"/>
    </row>
    <row r="42" spans="1:16" ht="12.75">
      <c r="A42" s="782"/>
      <c r="B42" s="783"/>
      <c r="C42" s="783"/>
      <c r="D42" s="783"/>
      <c r="E42" s="784"/>
      <c r="F42" s="785"/>
      <c r="G42" s="785"/>
      <c r="H42" s="784"/>
      <c r="I42" s="1052"/>
      <c r="J42" s="785"/>
      <c r="K42" s="785">
        <f t="shared" si="3"/>
        <v>0</v>
      </c>
      <c r="L42" s="775"/>
      <c r="M42" s="775"/>
      <c r="N42" s="775"/>
      <c r="O42" s="775"/>
      <c r="P42" s="782"/>
    </row>
    <row r="43" spans="1:16" ht="12.75">
      <c r="A43" s="782" t="s">
        <v>766</v>
      </c>
      <c r="B43" s="783">
        <v>11463</v>
      </c>
      <c r="C43" s="783">
        <v>375</v>
      </c>
      <c r="D43" s="783">
        <v>11801</v>
      </c>
      <c r="E43" s="784">
        <f>SUM(B43+C43-D43)</f>
        <v>37</v>
      </c>
      <c r="F43" s="785"/>
      <c r="G43" s="785"/>
      <c r="H43" s="784">
        <f>SUM(E43:G43)</f>
        <v>37</v>
      </c>
      <c r="I43" s="1052">
        <v>31687</v>
      </c>
      <c r="J43" s="785">
        <v>2113</v>
      </c>
      <c r="K43" s="784">
        <f t="shared" si="3"/>
        <v>33837</v>
      </c>
      <c r="L43" s="775">
        <v>17847</v>
      </c>
      <c r="M43" s="775">
        <v>403</v>
      </c>
      <c r="N43" s="775"/>
      <c r="O43" s="775">
        <v>15587</v>
      </c>
      <c r="P43" s="782"/>
    </row>
    <row r="44" spans="1:16" ht="12.75">
      <c r="A44" s="782"/>
      <c r="B44" s="783"/>
      <c r="C44" s="783"/>
      <c r="D44" s="783"/>
      <c r="E44" s="784"/>
      <c r="F44" s="785"/>
      <c r="G44" s="784"/>
      <c r="H44" s="784"/>
      <c r="I44" s="1052"/>
      <c r="J44" s="785"/>
      <c r="K44" s="785">
        <f t="shared" si="3"/>
        <v>0</v>
      </c>
      <c r="L44" s="775"/>
      <c r="M44" s="775"/>
      <c r="N44" s="775"/>
      <c r="O44" s="775"/>
      <c r="P44" s="782"/>
    </row>
    <row r="45" spans="1:16" ht="12.75">
      <c r="A45" s="791" t="s">
        <v>577</v>
      </c>
      <c r="B45" s="792">
        <f aca="true" t="shared" si="8" ref="B45:O45">B39+B22+B11+B37+B43</f>
        <v>50596</v>
      </c>
      <c r="C45" s="792">
        <f t="shared" si="8"/>
        <v>26303</v>
      </c>
      <c r="D45" s="792">
        <f t="shared" si="8"/>
        <v>12899</v>
      </c>
      <c r="E45" s="792">
        <f t="shared" si="8"/>
        <v>64000</v>
      </c>
      <c r="F45" s="792"/>
      <c r="G45" s="792">
        <f t="shared" si="8"/>
        <v>0</v>
      </c>
      <c r="H45" s="792">
        <f t="shared" si="8"/>
        <v>64000</v>
      </c>
      <c r="I45" s="792">
        <f t="shared" si="8"/>
        <v>0</v>
      </c>
      <c r="J45" s="792">
        <f>J39+J22+J11+J37+J43</f>
        <v>12362</v>
      </c>
      <c r="K45" s="792">
        <f>K39+K22+K11+K37+K43</f>
        <v>76362</v>
      </c>
      <c r="L45" s="792">
        <f>L39+L22+L11+L37+L43</f>
        <v>29403</v>
      </c>
      <c r="M45" s="792">
        <f t="shared" si="8"/>
        <v>2773</v>
      </c>
      <c r="N45" s="792">
        <f t="shared" si="8"/>
        <v>0</v>
      </c>
      <c r="O45" s="792">
        <f t="shared" si="8"/>
        <v>44186</v>
      </c>
      <c r="P45" s="792">
        <f>P39+P22+P11+P37</f>
        <v>0</v>
      </c>
    </row>
    <row r="46" spans="1:16" ht="12.75">
      <c r="A46" s="782"/>
      <c r="B46" s="793"/>
      <c r="C46" s="783"/>
      <c r="D46" s="783"/>
      <c r="E46" s="784"/>
      <c r="F46" s="785"/>
      <c r="G46" s="785"/>
      <c r="H46" s="784"/>
      <c r="I46" s="784"/>
      <c r="J46" s="785"/>
      <c r="K46" s="785">
        <f t="shared" si="3"/>
        <v>0</v>
      </c>
      <c r="L46" s="785"/>
      <c r="M46" s="785"/>
      <c r="N46" s="785"/>
      <c r="O46" s="785"/>
      <c r="P46" s="785"/>
    </row>
    <row r="47" spans="1:16" ht="12.75">
      <c r="A47" s="790" t="s">
        <v>1088</v>
      </c>
      <c r="B47" s="786">
        <v>1676</v>
      </c>
      <c r="C47" s="783">
        <v>1573</v>
      </c>
      <c r="D47" s="783"/>
      <c r="E47" s="784">
        <f>SUM(B47+C47-D47)</f>
        <v>3249</v>
      </c>
      <c r="F47" s="785"/>
      <c r="G47" s="785"/>
      <c r="H47" s="784">
        <f>SUM(E47:G47)</f>
        <v>3249</v>
      </c>
      <c r="I47" s="784"/>
      <c r="J47" s="785"/>
      <c r="K47" s="784">
        <f t="shared" si="3"/>
        <v>3249</v>
      </c>
      <c r="L47" s="785"/>
      <c r="M47" s="785"/>
      <c r="N47" s="785"/>
      <c r="O47" s="785"/>
      <c r="P47" s="782"/>
    </row>
    <row r="48" spans="1:16" ht="12.75">
      <c r="A48" s="790" t="s">
        <v>450</v>
      </c>
      <c r="B48" s="786">
        <v>141316</v>
      </c>
      <c r="C48" s="783">
        <v>14640</v>
      </c>
      <c r="D48" s="783">
        <v>9</v>
      </c>
      <c r="E48" s="784">
        <f>SUM(B48+C48-D48)</f>
        <v>155947</v>
      </c>
      <c r="F48" s="785"/>
      <c r="G48" s="785"/>
      <c r="H48" s="784">
        <f>SUM(E48:G48)</f>
        <v>155947</v>
      </c>
      <c r="I48" s="784"/>
      <c r="J48" s="785">
        <v>6940</v>
      </c>
      <c r="K48" s="784">
        <f t="shared" si="3"/>
        <v>162887</v>
      </c>
      <c r="L48" s="785"/>
      <c r="M48" s="785"/>
      <c r="N48" s="785"/>
      <c r="O48" s="785"/>
      <c r="P48" s="785"/>
    </row>
    <row r="49" spans="1:16" ht="12.75">
      <c r="A49" s="790"/>
      <c r="B49" s="786"/>
      <c r="C49" s="783"/>
      <c r="D49" s="783"/>
      <c r="E49" s="784"/>
      <c r="F49" s="785"/>
      <c r="G49" s="785"/>
      <c r="H49" s="784"/>
      <c r="I49" s="784"/>
      <c r="J49" s="785"/>
      <c r="K49" s="784">
        <f t="shared" si="3"/>
        <v>0</v>
      </c>
      <c r="L49" s="785"/>
      <c r="M49" s="784"/>
      <c r="N49" s="784"/>
      <c r="O49" s="785"/>
      <c r="P49" s="785"/>
    </row>
    <row r="50" spans="1:16" ht="12.75">
      <c r="A50" s="790" t="s">
        <v>787</v>
      </c>
      <c r="B50" s="786">
        <v>1152061</v>
      </c>
      <c r="C50" s="786">
        <v>601338</v>
      </c>
      <c r="D50" s="786">
        <v>303502</v>
      </c>
      <c r="E50" s="784">
        <f>SUM(B50+C50-D50)</f>
        <v>1449897</v>
      </c>
      <c r="F50" s="786">
        <v>10095</v>
      </c>
      <c r="G50" s="786">
        <v>66510</v>
      </c>
      <c r="H50" s="784">
        <f>SUM(E50+G50-F50)</f>
        <v>1506312</v>
      </c>
      <c r="I50" s="784"/>
      <c r="J50" s="786"/>
      <c r="K50" s="784">
        <f t="shared" si="3"/>
        <v>1516407</v>
      </c>
      <c r="L50" s="786"/>
      <c r="M50" s="786"/>
      <c r="N50" s="786"/>
      <c r="O50" s="786"/>
      <c r="P50" s="786"/>
    </row>
    <row r="51" spans="1:16" ht="12.75">
      <c r="A51" s="784"/>
      <c r="B51" s="793"/>
      <c r="C51" s="793"/>
      <c r="D51" s="793"/>
      <c r="E51" s="784"/>
      <c r="F51" s="785"/>
      <c r="G51" s="785"/>
      <c r="H51" s="784"/>
      <c r="I51" s="784"/>
      <c r="J51" s="785"/>
      <c r="K51" s="785">
        <f t="shared" si="3"/>
        <v>0</v>
      </c>
      <c r="L51" s="785"/>
      <c r="M51" s="785"/>
      <c r="N51" s="785"/>
      <c r="O51" s="785"/>
      <c r="P51" s="785"/>
    </row>
    <row r="52" spans="1:16" ht="12.75">
      <c r="A52" s="790" t="s">
        <v>578</v>
      </c>
      <c r="B52" s="786">
        <f aca="true" t="shared" si="9" ref="B52:I52">SUM(B45+B50+B47+B48)</f>
        <v>1345649</v>
      </c>
      <c r="C52" s="786">
        <f t="shared" si="9"/>
        <v>643854</v>
      </c>
      <c r="D52" s="786">
        <f t="shared" si="9"/>
        <v>316410</v>
      </c>
      <c r="E52" s="786">
        <f t="shared" si="9"/>
        <v>1673093</v>
      </c>
      <c r="F52" s="786">
        <f t="shared" si="9"/>
        <v>10095</v>
      </c>
      <c r="G52" s="786">
        <f t="shared" si="9"/>
        <v>66510</v>
      </c>
      <c r="H52" s="786">
        <f t="shared" si="9"/>
        <v>1729508</v>
      </c>
      <c r="I52" s="786">
        <f t="shared" si="9"/>
        <v>0</v>
      </c>
      <c r="J52" s="786">
        <f>SUM(J45+J50+J47+J48)</f>
        <v>19302</v>
      </c>
      <c r="K52" s="784">
        <f t="shared" si="3"/>
        <v>1758905</v>
      </c>
      <c r="L52" s="786">
        <f>SUM(L45+L50)</f>
        <v>29403</v>
      </c>
      <c r="M52" s="786">
        <f>SUM(M45+M50)</f>
        <v>2773</v>
      </c>
      <c r="N52" s="786">
        <f>SUM(N45+N50)</f>
        <v>0</v>
      </c>
      <c r="O52" s="786">
        <f>SUM(O45+O50)</f>
        <v>44186</v>
      </c>
      <c r="P52" s="786">
        <f>SUM(P45+P50)</f>
        <v>0</v>
      </c>
    </row>
    <row r="57" ht="12.75">
      <c r="O57" s="618"/>
    </row>
    <row r="58" ht="12.75">
      <c r="O58" s="794"/>
    </row>
  </sheetData>
  <mergeCells count="15">
    <mergeCell ref="A1:P1"/>
    <mergeCell ref="A3:P3"/>
    <mergeCell ref="A4:P4"/>
    <mergeCell ref="B6:B9"/>
    <mergeCell ref="C6:D6"/>
    <mergeCell ref="E6:E9"/>
    <mergeCell ref="F6:G6"/>
    <mergeCell ref="L6:P6"/>
    <mergeCell ref="K6:K9"/>
    <mergeCell ref="I6:I9"/>
    <mergeCell ref="C8:D8"/>
    <mergeCell ref="H6:H9"/>
    <mergeCell ref="J6:J9"/>
    <mergeCell ref="C9:D9"/>
    <mergeCell ref="F9:G9"/>
  </mergeCells>
  <printOptions/>
  <pageMargins left="0.7874015748031497" right="0.7874015748031497" top="0.3937007874015748" bottom="0.3937007874015748" header="0.5118110236220472" footer="0.5118110236220472"/>
  <pageSetup firstPageNumber="62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4">
      <selection activeCell="C26" sqref="C26"/>
    </sheetView>
  </sheetViews>
  <sheetFormatPr defaultColWidth="9.00390625" defaultRowHeight="12.75"/>
  <cols>
    <col min="1" max="1" width="8.25390625" style="795" customWidth="1"/>
    <col min="2" max="2" width="67.75390625" style="795" customWidth="1"/>
    <col min="3" max="3" width="12.875" style="795" customWidth="1"/>
    <col min="4" max="16384" width="9.125" style="795" customWidth="1"/>
  </cols>
  <sheetData>
    <row r="1" spans="1:3" ht="12.75">
      <c r="A1" s="1383"/>
      <c r="B1" s="1384"/>
      <c r="C1" s="1384"/>
    </row>
    <row r="2" spans="1:3" ht="12.75">
      <c r="A2" s="946"/>
      <c r="B2" s="947"/>
      <c r="C2" s="947"/>
    </row>
    <row r="3" spans="1:3" ht="12.75">
      <c r="A3" s="1387" t="s">
        <v>495</v>
      </c>
      <c r="B3" s="1388"/>
      <c r="C3" s="1388"/>
    </row>
    <row r="4" spans="1:3" ht="12.75">
      <c r="A4" s="1385" t="s">
        <v>450</v>
      </c>
      <c r="B4" s="1384"/>
      <c r="C4" s="1384"/>
    </row>
    <row r="5" spans="1:3" ht="12.75">
      <c r="A5" s="1385" t="s">
        <v>451</v>
      </c>
      <c r="B5" s="1386"/>
      <c r="C5" s="1386"/>
    </row>
    <row r="6" spans="1:3" ht="12.75">
      <c r="A6" s="948"/>
      <c r="B6" s="949"/>
      <c r="C6" s="949"/>
    </row>
    <row r="7" spans="1:3" ht="12.75">
      <c r="A7" s="948"/>
      <c r="B7" s="949"/>
      <c r="C7" s="949"/>
    </row>
    <row r="8" spans="1:3" ht="12.75">
      <c r="A8" s="796"/>
      <c r="B8" s="796"/>
      <c r="C8" s="797" t="s">
        <v>1060</v>
      </c>
    </row>
    <row r="9" spans="1:3" ht="12.75">
      <c r="A9" s="798" t="s">
        <v>579</v>
      </c>
      <c r="B9" s="799" t="s">
        <v>1015</v>
      </c>
      <c r="C9" s="799" t="s">
        <v>408</v>
      </c>
    </row>
    <row r="10" spans="1:3" ht="12.75">
      <c r="A10" s="798"/>
      <c r="B10" s="799"/>
      <c r="C10" s="799"/>
    </row>
    <row r="11" spans="1:3" ht="12.75">
      <c r="A11" s="798"/>
      <c r="B11" s="798"/>
      <c r="C11" s="798"/>
    </row>
    <row r="12" spans="1:3" ht="12.75">
      <c r="A12" s="800"/>
      <c r="B12" s="801" t="s">
        <v>580</v>
      </c>
      <c r="C12" s="802">
        <v>155947</v>
      </c>
    </row>
    <row r="13" spans="1:3" ht="12.75">
      <c r="A13" s="803"/>
      <c r="B13" s="801" t="s">
        <v>448</v>
      </c>
      <c r="C13" s="802">
        <v>6940</v>
      </c>
    </row>
    <row r="14" spans="1:3" ht="12.75">
      <c r="A14" s="803"/>
      <c r="B14" s="806" t="s">
        <v>582</v>
      </c>
      <c r="C14" s="807">
        <f>SUM(C12:C13)</f>
        <v>162887</v>
      </c>
    </row>
    <row r="15" spans="1:3" ht="12.75">
      <c r="A15" s="800"/>
      <c r="B15" s="809"/>
      <c r="C15" s="810"/>
    </row>
    <row r="16" spans="1:3" ht="12.75">
      <c r="A16" s="800"/>
      <c r="B16" s="798" t="s">
        <v>586</v>
      </c>
      <c r="C16" s="810"/>
    </row>
    <row r="17" spans="1:3" ht="12.75">
      <c r="A17" s="800">
        <v>3021</v>
      </c>
      <c r="B17" s="803" t="s">
        <v>587</v>
      </c>
      <c r="C17" s="807">
        <f>SUM(C18:C22)</f>
        <v>82699</v>
      </c>
    </row>
    <row r="18" spans="1:3" ht="12.75">
      <c r="A18" s="800"/>
      <c r="B18" s="961" t="s">
        <v>1145</v>
      </c>
      <c r="C18" s="962">
        <v>26772</v>
      </c>
    </row>
    <row r="19" spans="1:3" ht="12.75">
      <c r="A19" s="800"/>
      <c r="B19" s="963" t="s">
        <v>452</v>
      </c>
      <c r="C19" s="962">
        <v>23555</v>
      </c>
    </row>
    <row r="20" spans="1:3" ht="12.75">
      <c r="A20" s="800"/>
      <c r="B20" s="961" t="s">
        <v>1146</v>
      </c>
      <c r="C20" s="962">
        <v>16945</v>
      </c>
    </row>
    <row r="21" spans="1:3" ht="12.75">
      <c r="A21" s="800"/>
      <c r="B21" s="961" t="s">
        <v>1373</v>
      </c>
      <c r="C21" s="962">
        <v>8285</v>
      </c>
    </row>
    <row r="22" spans="1:3" ht="12.75">
      <c r="A22" s="800"/>
      <c r="B22" s="961" t="s">
        <v>1372</v>
      </c>
      <c r="C22" s="962">
        <v>7142</v>
      </c>
    </row>
    <row r="23" spans="1:3" ht="12.75">
      <c r="A23" s="800">
        <v>3026</v>
      </c>
      <c r="B23" s="803" t="s">
        <v>588</v>
      </c>
      <c r="C23" s="807">
        <f>SUM(C24:C25)</f>
        <v>17990</v>
      </c>
    </row>
    <row r="24" spans="1:3" ht="12.75">
      <c r="A24" s="800"/>
      <c r="B24" s="961" t="s">
        <v>1146</v>
      </c>
      <c r="C24" s="962">
        <v>16418</v>
      </c>
    </row>
    <row r="25" spans="1:3" ht="12.75">
      <c r="A25" s="800"/>
      <c r="B25" s="961" t="s">
        <v>1373</v>
      </c>
      <c r="C25" s="962">
        <v>1572</v>
      </c>
    </row>
    <row r="26" spans="1:3" ht="12.75">
      <c r="A26" s="800">
        <v>4502</v>
      </c>
      <c r="B26" s="803" t="s">
        <v>453</v>
      </c>
      <c r="C26" s="807">
        <f>SUM(C27:C28)</f>
        <v>38068</v>
      </c>
    </row>
    <row r="27" spans="1:3" ht="12.75">
      <c r="A27" s="800"/>
      <c r="B27" s="961" t="s">
        <v>1372</v>
      </c>
      <c r="C27" s="962">
        <v>36925</v>
      </c>
    </row>
    <row r="28" spans="1:3" ht="12.75">
      <c r="A28" s="800"/>
      <c r="B28" s="961" t="s">
        <v>1146</v>
      </c>
      <c r="C28" s="962">
        <v>1143</v>
      </c>
    </row>
    <row r="29" spans="1:3" ht="12.75">
      <c r="A29" s="800">
        <v>5054</v>
      </c>
      <c r="B29" s="803" t="s">
        <v>454</v>
      </c>
      <c r="C29" s="807">
        <f>SUM(C30)</f>
        <v>24130</v>
      </c>
    </row>
    <row r="30" spans="1:3" ht="12.75">
      <c r="A30" s="800"/>
      <c r="B30" s="961" t="s">
        <v>1373</v>
      </c>
      <c r="C30" s="962">
        <v>24130</v>
      </c>
    </row>
    <row r="31" spans="1:3" ht="12.75">
      <c r="A31" s="800"/>
      <c r="B31" s="798"/>
      <c r="C31" s="807"/>
    </row>
    <row r="32" spans="1:3" ht="12.75">
      <c r="A32" s="816"/>
      <c r="B32" s="819" t="s">
        <v>1051</v>
      </c>
      <c r="C32" s="807">
        <f>SUM(C17+C23+C26+C29)</f>
        <v>162887</v>
      </c>
    </row>
    <row r="33" spans="1:3" ht="12.75">
      <c r="A33" s="816"/>
      <c r="B33" s="820"/>
      <c r="C33" s="802"/>
    </row>
    <row r="34" spans="1:3" ht="12.75">
      <c r="A34" s="821"/>
      <c r="B34" s="821"/>
      <c r="C34" s="821"/>
    </row>
    <row r="35" ht="12.75">
      <c r="B35" s="822"/>
    </row>
  </sheetData>
  <mergeCells count="4">
    <mergeCell ref="A1:C1"/>
    <mergeCell ref="A4:C4"/>
    <mergeCell ref="A5:C5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63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55">
      <selection activeCell="B65" sqref="B65"/>
    </sheetView>
  </sheetViews>
  <sheetFormatPr defaultColWidth="9.00390625" defaultRowHeight="12.75"/>
  <cols>
    <col min="1" max="1" width="8.25390625" style="795" customWidth="1"/>
    <col min="2" max="2" width="67.75390625" style="795" customWidth="1"/>
    <col min="3" max="3" width="12.875" style="795" customWidth="1"/>
    <col min="4" max="16384" width="9.125" style="795" customWidth="1"/>
  </cols>
  <sheetData>
    <row r="1" spans="1:3" ht="12.75">
      <c r="A1" s="1383" t="s">
        <v>496</v>
      </c>
      <c r="B1" s="1384"/>
      <c r="C1" s="1384"/>
    </row>
    <row r="2" spans="1:3" ht="12.75">
      <c r="A2" s="1385" t="s">
        <v>455</v>
      </c>
      <c r="B2" s="1384"/>
      <c r="C2" s="1384"/>
    </row>
    <row r="3" spans="1:3" ht="12.75">
      <c r="A3" s="1385" t="s">
        <v>449</v>
      </c>
      <c r="B3" s="1386"/>
      <c r="C3" s="1386"/>
    </row>
    <row r="4" spans="1:3" ht="12.75">
      <c r="A4" s="796"/>
      <c r="B4" s="796"/>
      <c r="C4" s="797" t="s">
        <v>1060</v>
      </c>
    </row>
    <row r="5" spans="1:3" ht="12.75">
      <c r="A5" s="798" t="s">
        <v>579</v>
      </c>
      <c r="B5" s="799" t="s">
        <v>1015</v>
      </c>
      <c r="C5" s="799" t="s">
        <v>408</v>
      </c>
    </row>
    <row r="6" spans="1:3" ht="12.75">
      <c r="A6" s="798"/>
      <c r="B6" s="798"/>
      <c r="C6" s="798"/>
    </row>
    <row r="7" spans="1:3" ht="12.75">
      <c r="A7" s="800"/>
      <c r="B7" s="801" t="s">
        <v>580</v>
      </c>
      <c r="C7" s="802">
        <v>1449897</v>
      </c>
    </row>
    <row r="8" spans="1:3" ht="12.75">
      <c r="A8" s="803"/>
      <c r="B8" s="804" t="s">
        <v>581</v>
      </c>
      <c r="C8" s="805">
        <v>66510</v>
      </c>
    </row>
    <row r="9" spans="1:3" ht="12.75">
      <c r="A9" s="803"/>
      <c r="B9" s="804"/>
      <c r="C9" s="805"/>
    </row>
    <row r="10" spans="1:3" ht="12.75">
      <c r="A10" s="803"/>
      <c r="B10" s="806" t="s">
        <v>582</v>
      </c>
      <c r="C10" s="807">
        <f>SUM(C7:C8)</f>
        <v>1516407</v>
      </c>
    </row>
    <row r="11" spans="1:3" ht="12.75">
      <c r="A11" s="803"/>
      <c r="B11" s="806"/>
      <c r="C11" s="807"/>
    </row>
    <row r="12" spans="1:3" ht="12.75">
      <c r="A12" s="803"/>
      <c r="B12" s="806" t="s">
        <v>456</v>
      </c>
      <c r="C12" s="807">
        <v>248534</v>
      </c>
    </row>
    <row r="13" spans="1:3" ht="12.75">
      <c r="A13" s="808"/>
      <c r="B13" s="809"/>
      <c r="C13" s="810"/>
    </row>
    <row r="14" spans="1:3" ht="12.75">
      <c r="A14" s="808"/>
      <c r="B14" s="809" t="s">
        <v>583</v>
      </c>
      <c r="C14" s="810"/>
    </row>
    <row r="15" spans="1:3" ht="12.75">
      <c r="A15" s="803">
        <v>1806</v>
      </c>
      <c r="B15" s="811" t="s">
        <v>1273</v>
      </c>
      <c r="C15" s="802">
        <v>11511</v>
      </c>
    </row>
    <row r="16" spans="1:3" ht="12.75">
      <c r="A16" s="808"/>
      <c r="B16" s="811" t="s">
        <v>584</v>
      </c>
      <c r="C16" s="802">
        <v>19302</v>
      </c>
    </row>
    <row r="17" spans="1:3" ht="12.75">
      <c r="A17" s="808"/>
      <c r="B17" s="809" t="s">
        <v>585</v>
      </c>
      <c r="C17" s="810">
        <f>SUM(C15:C16)</f>
        <v>30813</v>
      </c>
    </row>
    <row r="18" spans="1:3" ht="12.75">
      <c r="A18" s="808"/>
      <c r="B18" s="809"/>
      <c r="C18" s="810"/>
    </row>
    <row r="19" spans="1:3" ht="12.75">
      <c r="A19" s="800"/>
      <c r="B19" s="809" t="s">
        <v>507</v>
      </c>
      <c r="C19" s="810"/>
    </row>
    <row r="20" spans="1:3" ht="12.75">
      <c r="A20" s="800"/>
      <c r="B20" s="811" t="s">
        <v>508</v>
      </c>
      <c r="C20" s="802">
        <v>62166</v>
      </c>
    </row>
    <row r="21" spans="1:3" ht="12.75">
      <c r="A21" s="800"/>
      <c r="B21" s="809" t="s">
        <v>507</v>
      </c>
      <c r="C21" s="810">
        <f>SUM(C20)</f>
        <v>62166</v>
      </c>
    </row>
    <row r="22" spans="1:3" ht="12.75">
      <c r="A22" s="813"/>
      <c r="B22" s="814"/>
      <c r="C22" s="812"/>
    </row>
    <row r="23" spans="1:3" ht="12.75">
      <c r="A23" s="800"/>
      <c r="B23" s="798" t="s">
        <v>589</v>
      </c>
      <c r="C23" s="805"/>
    </row>
    <row r="24" spans="1:3" ht="12.75">
      <c r="A24" s="800">
        <v>3051</v>
      </c>
      <c r="B24" s="803" t="s">
        <v>910</v>
      </c>
      <c r="C24" s="805">
        <v>24298</v>
      </c>
    </row>
    <row r="25" spans="1:3" ht="12.75">
      <c r="A25" s="800">
        <v>3071</v>
      </c>
      <c r="B25" s="803" t="s">
        <v>972</v>
      </c>
      <c r="C25" s="805">
        <v>714</v>
      </c>
    </row>
    <row r="26" spans="1:3" ht="12.75">
      <c r="A26" s="800">
        <v>3091</v>
      </c>
      <c r="B26" s="803" t="s">
        <v>518</v>
      </c>
      <c r="C26" s="805">
        <v>1486</v>
      </c>
    </row>
    <row r="27" spans="1:3" ht="12.75">
      <c r="A27" s="800">
        <v>3111</v>
      </c>
      <c r="B27" s="803" t="s">
        <v>517</v>
      </c>
      <c r="C27" s="805">
        <v>100000</v>
      </c>
    </row>
    <row r="28" spans="1:3" ht="12.75">
      <c r="A28" s="800">
        <v>3115</v>
      </c>
      <c r="B28" s="803" t="s">
        <v>1138</v>
      </c>
      <c r="C28" s="805">
        <v>4167</v>
      </c>
    </row>
    <row r="29" spans="1:3" ht="12.75">
      <c r="A29" s="800">
        <v>3123</v>
      </c>
      <c r="B29" s="803" t="s">
        <v>768</v>
      </c>
      <c r="C29" s="805">
        <v>3938</v>
      </c>
    </row>
    <row r="30" spans="1:3" ht="12.75">
      <c r="A30" s="800">
        <v>3203</v>
      </c>
      <c r="B30" s="803" t="s">
        <v>1032</v>
      </c>
      <c r="C30" s="805">
        <v>9051</v>
      </c>
    </row>
    <row r="31" spans="1:3" ht="12.75">
      <c r="A31" s="800">
        <v>3205</v>
      </c>
      <c r="B31" s="803" t="s">
        <v>197</v>
      </c>
      <c r="C31" s="805">
        <v>6596</v>
      </c>
    </row>
    <row r="32" spans="1:3" ht="12.75">
      <c r="A32" s="800">
        <v>3211</v>
      </c>
      <c r="B32" s="803" t="s">
        <v>767</v>
      </c>
      <c r="C32" s="805">
        <v>7010</v>
      </c>
    </row>
    <row r="33" spans="1:3" ht="12.75">
      <c r="A33" s="800">
        <v>3214</v>
      </c>
      <c r="B33" s="803" t="s">
        <v>769</v>
      </c>
      <c r="C33" s="805">
        <v>74618</v>
      </c>
    </row>
    <row r="34" spans="1:3" ht="12.75">
      <c r="A34" s="800">
        <v>3215</v>
      </c>
      <c r="B34" s="803" t="s">
        <v>770</v>
      </c>
      <c r="C34" s="805">
        <v>11307</v>
      </c>
    </row>
    <row r="35" spans="1:3" ht="12.75">
      <c r="A35" s="800">
        <v>3222</v>
      </c>
      <c r="B35" s="803" t="s">
        <v>590</v>
      </c>
      <c r="C35" s="805">
        <v>86206</v>
      </c>
    </row>
    <row r="36" spans="1:3" ht="12.75">
      <c r="A36" s="800">
        <v>3350</v>
      </c>
      <c r="B36" s="803" t="s">
        <v>771</v>
      </c>
      <c r="C36" s="805">
        <v>427</v>
      </c>
    </row>
    <row r="37" spans="1:3" ht="12.75">
      <c r="A37" s="800">
        <v>3353</v>
      </c>
      <c r="B37" s="803" t="s">
        <v>591</v>
      </c>
      <c r="C37" s="805">
        <v>644</v>
      </c>
    </row>
    <row r="38" spans="1:3" ht="12.75">
      <c r="A38" s="800">
        <v>3355</v>
      </c>
      <c r="B38" s="803" t="s">
        <v>772</v>
      </c>
      <c r="C38" s="805">
        <v>1710</v>
      </c>
    </row>
    <row r="39" spans="1:3" ht="12.75">
      <c r="A39" s="800">
        <v>3358</v>
      </c>
      <c r="B39" s="803" t="s">
        <v>592</v>
      </c>
      <c r="C39" s="805">
        <v>2475</v>
      </c>
    </row>
    <row r="40" spans="1:3" ht="12.75">
      <c r="A40" s="800">
        <v>3422</v>
      </c>
      <c r="B40" s="803" t="s">
        <v>976</v>
      </c>
      <c r="C40" s="805">
        <v>5062</v>
      </c>
    </row>
    <row r="41" spans="1:3" ht="12.75">
      <c r="A41" s="800">
        <v>3423</v>
      </c>
      <c r="B41" s="803" t="s">
        <v>975</v>
      </c>
      <c r="C41" s="805">
        <v>1168</v>
      </c>
    </row>
    <row r="42" spans="1:3" ht="12.75">
      <c r="A42" s="800"/>
      <c r="B42" s="798" t="s">
        <v>593</v>
      </c>
      <c r="C42" s="807">
        <f>SUM(C24:C41)</f>
        <v>340877</v>
      </c>
    </row>
    <row r="43" spans="1:3" ht="12.75">
      <c r="A43" s="800"/>
      <c r="B43" s="803"/>
      <c r="C43" s="805"/>
    </row>
    <row r="44" spans="1:3" ht="12.75">
      <c r="A44" s="800"/>
      <c r="B44" s="808" t="s">
        <v>594</v>
      </c>
      <c r="C44" s="805"/>
    </row>
    <row r="45" spans="1:3" ht="12.75">
      <c r="A45" s="800">
        <v>3923</v>
      </c>
      <c r="B45" s="803" t="s">
        <v>1209</v>
      </c>
      <c r="C45" s="805">
        <v>836</v>
      </c>
    </row>
    <row r="46" spans="1:3" ht="12.75">
      <c r="A46" s="800">
        <v>3924</v>
      </c>
      <c r="B46" s="803" t="s">
        <v>1210</v>
      </c>
      <c r="C46" s="805">
        <v>3000</v>
      </c>
    </row>
    <row r="47" spans="1:3" ht="12.75">
      <c r="A47" s="800">
        <v>3926</v>
      </c>
      <c r="B47" s="803" t="s">
        <v>1211</v>
      </c>
      <c r="C47" s="805">
        <v>2000</v>
      </c>
    </row>
    <row r="48" spans="1:3" ht="12.75">
      <c r="A48" s="800"/>
      <c r="B48" s="808" t="s">
        <v>595</v>
      </c>
      <c r="C48" s="807">
        <f>SUM(C45:C47)</f>
        <v>5836</v>
      </c>
    </row>
    <row r="49" spans="1:3" ht="12.75">
      <c r="A49" s="813"/>
      <c r="B49" s="803"/>
      <c r="C49" s="812"/>
    </row>
    <row r="50" spans="1:3" ht="12.75">
      <c r="A50" s="800"/>
      <c r="B50" s="798" t="s">
        <v>985</v>
      </c>
      <c r="C50" s="805"/>
    </row>
    <row r="51" spans="1:3" ht="12.75">
      <c r="A51" s="800">
        <v>4021</v>
      </c>
      <c r="B51" s="803" t="s">
        <v>931</v>
      </c>
      <c r="C51" s="805">
        <v>9294</v>
      </c>
    </row>
    <row r="52" spans="1:3" ht="12.75">
      <c r="A52" s="816">
        <v>4033</v>
      </c>
      <c r="B52" s="815" t="s">
        <v>1106</v>
      </c>
      <c r="C52" s="805">
        <v>10239</v>
      </c>
    </row>
    <row r="53" spans="1:3" ht="12.75">
      <c r="A53" s="816">
        <v>4034</v>
      </c>
      <c r="B53" s="815" t="s">
        <v>1134</v>
      </c>
      <c r="C53" s="805">
        <v>600</v>
      </c>
    </row>
    <row r="54" spans="1:4" ht="12.75">
      <c r="A54" s="800">
        <v>4121</v>
      </c>
      <c r="B54" s="803" t="s">
        <v>596</v>
      </c>
      <c r="C54" s="805">
        <v>32886</v>
      </c>
      <c r="D54" s="818"/>
    </row>
    <row r="55" spans="1:4" ht="12.75">
      <c r="A55" s="800">
        <v>4122</v>
      </c>
      <c r="B55" s="803" t="s">
        <v>1078</v>
      </c>
      <c r="C55" s="805">
        <v>25179</v>
      </c>
      <c r="D55" s="818"/>
    </row>
    <row r="56" spans="1:4" ht="12.75">
      <c r="A56" s="816">
        <v>4132</v>
      </c>
      <c r="B56" s="817" t="s">
        <v>597</v>
      </c>
      <c r="C56" s="805">
        <v>5676</v>
      </c>
      <c r="D56" s="818"/>
    </row>
    <row r="57" spans="1:4" ht="12.75">
      <c r="A57" s="816">
        <v>4133</v>
      </c>
      <c r="B57" s="815" t="s">
        <v>598</v>
      </c>
      <c r="C57" s="805">
        <v>80896</v>
      </c>
      <c r="D57" s="818"/>
    </row>
    <row r="58" spans="1:4" ht="12.75">
      <c r="A58" s="816">
        <v>4134</v>
      </c>
      <c r="B58" s="815" t="s">
        <v>994</v>
      </c>
      <c r="C58" s="805">
        <v>85886</v>
      </c>
      <c r="D58" s="818"/>
    </row>
    <row r="59" spans="1:4" ht="12.75">
      <c r="A59" s="816">
        <v>4135</v>
      </c>
      <c r="B59" s="815" t="s">
        <v>764</v>
      </c>
      <c r="C59" s="805">
        <v>66008</v>
      </c>
      <c r="D59" s="818"/>
    </row>
    <row r="60" spans="1:4" ht="12.75">
      <c r="A60" s="816">
        <v>4137</v>
      </c>
      <c r="B60" s="815" t="s">
        <v>765</v>
      </c>
      <c r="C60" s="805">
        <v>104365</v>
      </c>
      <c r="D60" s="818"/>
    </row>
    <row r="61" spans="1:4" ht="12.75">
      <c r="A61" s="800">
        <v>4255</v>
      </c>
      <c r="B61" s="815" t="s">
        <v>599</v>
      </c>
      <c r="C61" s="805">
        <v>5969</v>
      </c>
      <c r="D61" s="818"/>
    </row>
    <row r="62" spans="1:4" ht="12.75">
      <c r="A62" s="800">
        <v>4281</v>
      </c>
      <c r="B62" s="815" t="s">
        <v>600</v>
      </c>
      <c r="C62" s="805">
        <v>9315</v>
      </c>
      <c r="D62" s="818"/>
    </row>
    <row r="63" spans="1:4" ht="12.75">
      <c r="A63" s="800">
        <v>4310</v>
      </c>
      <c r="B63" s="815" t="s">
        <v>1041</v>
      </c>
      <c r="C63" s="805">
        <v>1762</v>
      </c>
      <c r="D63" s="818"/>
    </row>
    <row r="64" spans="1:4" ht="12.75">
      <c r="A64" s="800">
        <v>4340</v>
      </c>
      <c r="B64" s="815" t="s">
        <v>519</v>
      </c>
      <c r="C64" s="805">
        <v>20594</v>
      </c>
      <c r="D64" s="818"/>
    </row>
    <row r="65" spans="1:3" ht="12.75">
      <c r="A65" s="816"/>
      <c r="B65" s="798" t="s">
        <v>985</v>
      </c>
      <c r="C65" s="807">
        <f>SUM(C51:C64)</f>
        <v>458669</v>
      </c>
    </row>
    <row r="66" spans="1:3" ht="12.75">
      <c r="A66" s="816"/>
      <c r="B66" s="798"/>
      <c r="C66" s="807"/>
    </row>
    <row r="67" spans="1:3" ht="12.75">
      <c r="A67" s="816"/>
      <c r="B67" s="798" t="s">
        <v>987</v>
      </c>
      <c r="C67" s="807"/>
    </row>
    <row r="68" spans="1:3" ht="12.75">
      <c r="A68" s="816">
        <v>5011</v>
      </c>
      <c r="B68" s="803" t="s">
        <v>1045</v>
      </c>
      <c r="C68" s="802">
        <v>11000</v>
      </c>
    </row>
    <row r="69" spans="1:4" ht="12.75">
      <c r="A69" s="816">
        <v>5041</v>
      </c>
      <c r="B69" s="803" t="s">
        <v>1119</v>
      </c>
      <c r="C69" s="802">
        <v>326306</v>
      </c>
      <c r="D69" s="818"/>
    </row>
    <row r="70" spans="1:4" ht="12.75">
      <c r="A70" s="816">
        <v>5033</v>
      </c>
      <c r="B70" s="1049" t="s">
        <v>257</v>
      </c>
      <c r="C70" s="802">
        <v>26162</v>
      </c>
      <c r="D70" s="818"/>
    </row>
    <row r="71" spans="1:3" ht="12.75">
      <c r="A71" s="816"/>
      <c r="B71" s="798" t="s">
        <v>601</v>
      </c>
      <c r="C71" s="807">
        <f>SUM(C68:C70)</f>
        <v>363468</v>
      </c>
    </row>
    <row r="72" spans="1:3" ht="12.75">
      <c r="A72" s="816"/>
      <c r="B72" s="798"/>
      <c r="C72" s="807"/>
    </row>
    <row r="73" spans="1:3" ht="12.75">
      <c r="A73" s="816"/>
      <c r="B73" s="798" t="s">
        <v>602</v>
      </c>
      <c r="C73" s="807"/>
    </row>
    <row r="74" spans="1:3" ht="12.75">
      <c r="A74" s="816">
        <v>6130</v>
      </c>
      <c r="B74" s="815" t="s">
        <v>210</v>
      </c>
      <c r="C74" s="802">
        <v>6044</v>
      </c>
    </row>
    <row r="75" spans="1:3" ht="12.75">
      <c r="A75" s="816"/>
      <c r="B75" s="798" t="s">
        <v>603</v>
      </c>
      <c r="C75" s="807">
        <f>SUM(C74)</f>
        <v>6044</v>
      </c>
    </row>
    <row r="76" spans="1:3" ht="12.75">
      <c r="A76" s="816"/>
      <c r="B76" s="815"/>
      <c r="C76" s="807"/>
    </row>
    <row r="77" spans="1:3" ht="12.75">
      <c r="A77" s="816"/>
      <c r="B77" s="819" t="s">
        <v>1051</v>
      </c>
      <c r="C77" s="807">
        <f>SUM(C75+C71+C65+C42+C12+C48+C21+C17)</f>
        <v>1516407</v>
      </c>
    </row>
    <row r="78" spans="1:3" ht="12.75">
      <c r="A78" s="816"/>
      <c r="B78" s="820"/>
      <c r="C78" s="802"/>
    </row>
    <row r="79" spans="1:3" ht="12.75">
      <c r="A79" s="821"/>
      <c r="B79" s="821"/>
      <c r="C79" s="821"/>
    </row>
    <row r="80" ht="12.75">
      <c r="B80" s="822"/>
    </row>
  </sheetData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64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4" sqref="A4:C4"/>
    </sheetView>
  </sheetViews>
  <sheetFormatPr defaultColWidth="9.00390625" defaultRowHeight="12.75"/>
  <cols>
    <col min="1" max="1" width="8.375" style="0" customWidth="1"/>
    <col min="2" max="2" width="51.875" style="0" customWidth="1"/>
    <col min="3" max="3" width="15.125" style="0" customWidth="1"/>
  </cols>
  <sheetData>
    <row r="3" spans="1:3" ht="12.75">
      <c r="A3" s="1387" t="s">
        <v>158</v>
      </c>
      <c r="B3" s="1388"/>
      <c r="C3" s="1388"/>
    </row>
    <row r="4" spans="1:3" ht="12.75">
      <c r="A4" s="1385" t="s">
        <v>504</v>
      </c>
      <c r="B4" s="1384"/>
      <c r="C4" s="1384"/>
    </row>
    <row r="5" spans="1:3" ht="12.75">
      <c r="A5" s="1385" t="s">
        <v>451</v>
      </c>
      <c r="B5" s="1386"/>
      <c r="C5" s="1386"/>
    </row>
    <row r="6" spans="1:3" ht="12.75">
      <c r="A6" s="948"/>
      <c r="B6" s="949"/>
      <c r="C6" s="949"/>
    </row>
    <row r="7" spans="1:3" ht="12.75">
      <c r="A7" s="948"/>
      <c r="B7" s="949"/>
      <c r="C7" s="949"/>
    </row>
    <row r="8" spans="1:3" ht="12.75">
      <c r="A8" s="796"/>
      <c r="B8" s="796"/>
      <c r="C8" s="797" t="s">
        <v>1060</v>
      </c>
    </row>
    <row r="9" spans="1:3" ht="12.75">
      <c r="A9" s="798" t="s">
        <v>579</v>
      </c>
      <c r="B9" s="799" t="s">
        <v>1015</v>
      </c>
      <c r="C9" s="799" t="s">
        <v>408</v>
      </c>
    </row>
    <row r="10" spans="1:3" ht="12.75">
      <c r="A10" s="798"/>
      <c r="B10" s="799"/>
      <c r="C10" s="799"/>
    </row>
    <row r="11" spans="1:3" ht="12.75">
      <c r="A11" s="798"/>
      <c r="B11" s="798"/>
      <c r="C11" s="798"/>
    </row>
    <row r="12" spans="1:3" ht="12.75">
      <c r="A12" s="800"/>
      <c r="B12" s="801" t="s">
        <v>580</v>
      </c>
      <c r="C12" s="802">
        <v>3249</v>
      </c>
    </row>
    <row r="13" spans="1:3" ht="12.75">
      <c r="A13" s="803"/>
      <c r="B13" s="806" t="s">
        <v>582</v>
      </c>
      <c r="C13" s="807">
        <f>SUM(C12:C12)</f>
        <v>3249</v>
      </c>
    </row>
    <row r="14" spans="1:3" ht="12.75">
      <c r="A14" s="800"/>
      <c r="B14" s="809"/>
      <c r="C14" s="810"/>
    </row>
    <row r="15" spans="1:3" ht="12.75">
      <c r="A15" s="800"/>
      <c r="B15" s="798" t="s">
        <v>505</v>
      </c>
      <c r="C15" s="810"/>
    </row>
    <row r="16" spans="1:3" ht="12.75">
      <c r="A16" s="800">
        <v>3030</v>
      </c>
      <c r="B16" s="803" t="s">
        <v>506</v>
      </c>
      <c r="C16" s="807"/>
    </row>
    <row r="17" spans="1:3" ht="12.75">
      <c r="A17" s="800"/>
      <c r="B17" s="961" t="s">
        <v>1145</v>
      </c>
      <c r="C17" s="962">
        <v>361</v>
      </c>
    </row>
    <row r="18" spans="1:3" ht="12.75">
      <c r="A18" s="800"/>
      <c r="B18" s="963" t="s">
        <v>452</v>
      </c>
      <c r="C18" s="962">
        <v>676</v>
      </c>
    </row>
    <row r="19" spans="1:3" ht="12.75">
      <c r="A19" s="800"/>
      <c r="B19" s="961" t="s">
        <v>1146</v>
      </c>
      <c r="C19" s="962">
        <v>2212</v>
      </c>
    </row>
    <row r="20" spans="1:3" ht="12.75">
      <c r="A20" s="816"/>
      <c r="B20" s="819" t="s">
        <v>1051</v>
      </c>
      <c r="C20" s="807">
        <f>SUM(C17:C19)</f>
        <v>3249</v>
      </c>
    </row>
    <row r="21" spans="1:3" ht="12.75">
      <c r="A21" s="816"/>
      <c r="B21" s="820"/>
      <c r="C21" s="802"/>
    </row>
  </sheetData>
  <mergeCells count="3">
    <mergeCell ref="A3:C3"/>
    <mergeCell ref="A4:C4"/>
    <mergeCell ref="A5:C5"/>
  </mergeCells>
  <printOptions/>
  <pageMargins left="0.75" right="0.75" top="1" bottom="1" header="0.5" footer="0.5"/>
  <pageSetup firstPageNumber="66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showZeros="0" zoomScalePageLayoutView="0" workbookViewId="0" topLeftCell="A145">
      <selection activeCell="E169" sqref="E169"/>
    </sheetView>
  </sheetViews>
  <sheetFormatPr defaultColWidth="9.00390625" defaultRowHeight="12.75"/>
  <cols>
    <col min="1" max="1" width="8.375" style="493" customWidth="1"/>
    <col min="2" max="2" width="68.75390625" style="397" customWidth="1"/>
    <col min="3" max="3" width="14.125" style="493" customWidth="1"/>
    <col min="4" max="5" width="12.75390625" style="397" customWidth="1"/>
    <col min="6" max="6" width="9.75390625" style="397" customWidth="1"/>
    <col min="7" max="16384" width="9.125" style="397" customWidth="1"/>
  </cols>
  <sheetData>
    <row r="1" spans="1:6" ht="12.75">
      <c r="A1" s="1269" t="s">
        <v>1059</v>
      </c>
      <c r="B1" s="1269"/>
      <c r="C1" s="1270"/>
      <c r="D1" s="1271"/>
      <c r="E1" s="1271"/>
      <c r="F1" s="1271"/>
    </row>
    <row r="2" spans="1:6" ht="12.75">
      <c r="A2" s="1269" t="s">
        <v>1140</v>
      </c>
      <c r="B2" s="1269"/>
      <c r="C2" s="1270"/>
      <c r="D2" s="1271"/>
      <c r="E2" s="1271"/>
      <c r="F2" s="1271"/>
    </row>
    <row r="3" spans="1:3" ht="10.5" customHeight="1">
      <c r="A3" s="339"/>
      <c r="B3" s="340"/>
      <c r="C3" s="340"/>
    </row>
    <row r="4" spans="1:6" ht="12" customHeight="1">
      <c r="A4" s="339"/>
      <c r="B4" s="339"/>
      <c r="C4" s="398"/>
      <c r="F4" s="398" t="s">
        <v>1060</v>
      </c>
    </row>
    <row r="5" spans="1:6" s="399" customFormat="1" ht="16.5" customHeight="1">
      <c r="A5" s="1275" t="s">
        <v>1080</v>
      </c>
      <c r="B5" s="1273" t="s">
        <v>1048</v>
      </c>
      <c r="C5" s="1263" t="s">
        <v>196</v>
      </c>
      <c r="D5" s="1263" t="s">
        <v>302</v>
      </c>
      <c r="E5" s="1263" t="s">
        <v>849</v>
      </c>
      <c r="F5" s="1263" t="s">
        <v>231</v>
      </c>
    </row>
    <row r="6" spans="1:6" s="399" customFormat="1" ht="18.75" customHeight="1">
      <c r="A6" s="1274"/>
      <c r="B6" s="1274"/>
      <c r="C6" s="1272"/>
      <c r="D6" s="1272"/>
      <c r="E6" s="1272"/>
      <c r="F6" s="1272"/>
    </row>
    <row r="7" spans="1:6" s="399" customFormat="1" ht="11.25" customHeight="1">
      <c r="A7" s="400" t="s">
        <v>1016</v>
      </c>
      <c r="B7" s="401" t="s">
        <v>1017</v>
      </c>
      <c r="C7" s="402" t="s">
        <v>1018</v>
      </c>
      <c r="D7" s="402" t="s">
        <v>1019</v>
      </c>
      <c r="E7" s="402" t="s">
        <v>1020</v>
      </c>
      <c r="F7" s="402" t="s">
        <v>1148</v>
      </c>
    </row>
    <row r="8" spans="1:6" s="405" customFormat="1" ht="12.75">
      <c r="A8" s="403"/>
      <c r="B8" s="404" t="s">
        <v>1304</v>
      </c>
      <c r="C8" s="404"/>
      <c r="D8" s="404"/>
      <c r="E8" s="404"/>
      <c r="F8" s="404"/>
    </row>
    <row r="9" spans="1:6" ht="8.25" customHeight="1">
      <c r="A9" s="406"/>
      <c r="B9" s="407"/>
      <c r="C9" s="407"/>
      <c r="D9" s="407"/>
      <c r="E9" s="407"/>
      <c r="F9" s="407"/>
    </row>
    <row r="10" spans="1:6" s="399" customFormat="1" ht="12">
      <c r="A10" s="408">
        <v>1010</v>
      </c>
      <c r="B10" s="409" t="s">
        <v>1245</v>
      </c>
      <c r="C10" s="408">
        <f>SUM(C11:C16)</f>
        <v>761696</v>
      </c>
      <c r="D10" s="408">
        <f>SUM(D11:D16)</f>
        <v>688279</v>
      </c>
      <c r="E10" s="408">
        <f>SUM(E11:E16)</f>
        <v>678341</v>
      </c>
      <c r="F10" s="573">
        <f aca="true" t="shared" si="0" ref="F10:F72">SUM(E10/D10)</f>
        <v>0.9855610878727957</v>
      </c>
    </row>
    <row r="11" spans="1:6" s="399" customFormat="1" ht="12">
      <c r="A11" s="410">
        <v>1011</v>
      </c>
      <c r="B11" s="411" t="s">
        <v>1305</v>
      </c>
      <c r="C11" s="412">
        <v>1000</v>
      </c>
      <c r="D11" s="412">
        <v>1000</v>
      </c>
      <c r="E11" s="412">
        <v>131</v>
      </c>
      <c r="F11" s="572">
        <f>SUM(E11/D11)</f>
        <v>0.131</v>
      </c>
    </row>
    <row r="12" spans="1:6" s="399" customFormat="1" ht="12">
      <c r="A12" s="410">
        <v>1012</v>
      </c>
      <c r="B12" s="411" t="s">
        <v>1047</v>
      </c>
      <c r="C12" s="412">
        <v>6500</v>
      </c>
      <c r="D12" s="412">
        <v>6608</v>
      </c>
      <c r="E12" s="412">
        <v>7988</v>
      </c>
      <c r="F12" s="572">
        <f t="shared" si="0"/>
        <v>1.2088377723970944</v>
      </c>
    </row>
    <row r="13" spans="1:6" s="399" customFormat="1" ht="12">
      <c r="A13" s="410">
        <v>1013</v>
      </c>
      <c r="B13" s="411" t="s">
        <v>1306</v>
      </c>
      <c r="C13" s="412">
        <v>30643</v>
      </c>
      <c r="D13" s="412">
        <v>15643</v>
      </c>
      <c r="E13" s="412">
        <v>7938</v>
      </c>
      <c r="F13" s="572">
        <f t="shared" si="0"/>
        <v>0.5074474205715016</v>
      </c>
    </row>
    <row r="14" spans="1:6" s="399" customFormat="1" ht="12">
      <c r="A14" s="410">
        <v>1014</v>
      </c>
      <c r="B14" s="411" t="s">
        <v>12</v>
      </c>
      <c r="C14" s="410">
        <v>130000</v>
      </c>
      <c r="D14" s="410">
        <v>130000</v>
      </c>
      <c r="E14" s="410">
        <v>123934</v>
      </c>
      <c r="F14" s="572">
        <f t="shared" si="0"/>
        <v>0.9533384615384616</v>
      </c>
    </row>
    <row r="15" spans="1:6" s="399" customFormat="1" ht="12">
      <c r="A15" s="410">
        <v>1015</v>
      </c>
      <c r="B15" s="411" t="s">
        <v>13</v>
      </c>
      <c r="C15" s="410">
        <v>583253</v>
      </c>
      <c r="D15" s="410">
        <v>509409</v>
      </c>
      <c r="E15" s="410">
        <v>501756</v>
      </c>
      <c r="F15" s="572">
        <f t="shared" si="0"/>
        <v>0.9849767083031513</v>
      </c>
    </row>
    <row r="16" spans="1:6" s="399" customFormat="1" ht="12">
      <c r="A16" s="410">
        <v>1016</v>
      </c>
      <c r="B16" s="411" t="s">
        <v>1307</v>
      </c>
      <c r="C16" s="412">
        <v>10300</v>
      </c>
      <c r="D16" s="412">
        <v>25619</v>
      </c>
      <c r="E16" s="412">
        <v>36594</v>
      </c>
      <c r="F16" s="572">
        <f t="shared" si="0"/>
        <v>1.4283929895780476</v>
      </c>
    </row>
    <row r="17" spans="1:6" s="399" customFormat="1" ht="12">
      <c r="A17" s="413">
        <v>1020</v>
      </c>
      <c r="B17" s="409" t="s">
        <v>1152</v>
      </c>
      <c r="C17" s="408">
        <f>SUM(C18:C20)</f>
        <v>222209</v>
      </c>
      <c r="D17" s="408">
        <f>SUM(D18:D20)</f>
        <v>233493</v>
      </c>
      <c r="E17" s="408">
        <f>SUM(E18:E20)</f>
        <v>193435</v>
      </c>
      <c r="F17" s="573">
        <f t="shared" si="0"/>
        <v>0.8284402530268573</v>
      </c>
    </row>
    <row r="18" spans="1:6" s="399" customFormat="1" ht="12">
      <c r="A18" s="410">
        <v>1021</v>
      </c>
      <c r="B18" s="414" t="s">
        <v>1153</v>
      </c>
      <c r="C18" s="415">
        <v>4000</v>
      </c>
      <c r="D18" s="415">
        <v>8143</v>
      </c>
      <c r="E18" s="415">
        <v>10567</v>
      </c>
      <c r="F18" s="572">
        <f t="shared" si="0"/>
        <v>1.2976789880879283</v>
      </c>
    </row>
    <row r="19" spans="1:6" s="399" customFormat="1" ht="12">
      <c r="A19" s="410">
        <v>1022</v>
      </c>
      <c r="B19" s="416" t="s">
        <v>175</v>
      </c>
      <c r="C19" s="412">
        <v>190600</v>
      </c>
      <c r="D19" s="412">
        <v>190600</v>
      </c>
      <c r="E19" s="412">
        <v>154273</v>
      </c>
      <c r="F19" s="572">
        <f t="shared" si="0"/>
        <v>0.8094071353620147</v>
      </c>
    </row>
    <row r="20" spans="1:6" s="399" customFormat="1" ht="12">
      <c r="A20" s="410">
        <v>1023</v>
      </c>
      <c r="B20" s="411" t="s">
        <v>1174</v>
      </c>
      <c r="C20" s="410">
        <v>27609</v>
      </c>
      <c r="D20" s="410">
        <v>34750</v>
      </c>
      <c r="E20" s="410">
        <v>28595</v>
      </c>
      <c r="F20" s="572">
        <f t="shared" si="0"/>
        <v>0.8228776978417266</v>
      </c>
    </row>
    <row r="21" spans="1:6" s="399" customFormat="1" ht="12">
      <c r="A21" s="413">
        <v>1030</v>
      </c>
      <c r="B21" s="417" t="s">
        <v>198</v>
      </c>
      <c r="C21" s="418">
        <f>SUM(C22:C22)</f>
        <v>15000</v>
      </c>
      <c r="D21" s="418">
        <f>SUM(D22:D23)</f>
        <v>76990</v>
      </c>
      <c r="E21" s="418">
        <f>SUM(E22:E23)</f>
        <v>71919</v>
      </c>
      <c r="F21" s="573">
        <f t="shared" si="0"/>
        <v>0.934134303156254</v>
      </c>
    </row>
    <row r="22" spans="1:6" s="399" customFormat="1" ht="12">
      <c r="A22" s="410">
        <v>1031</v>
      </c>
      <c r="B22" s="416" t="s">
        <v>1053</v>
      </c>
      <c r="C22" s="412">
        <v>15000</v>
      </c>
      <c r="D22" s="412">
        <v>15000</v>
      </c>
      <c r="E22" s="412">
        <v>14775</v>
      </c>
      <c r="F22" s="572">
        <f t="shared" si="0"/>
        <v>0.985</v>
      </c>
    </row>
    <row r="23" spans="1:6" s="399" customFormat="1" ht="12">
      <c r="A23" s="580">
        <v>1037</v>
      </c>
      <c r="B23" s="414" t="s">
        <v>199</v>
      </c>
      <c r="C23" s="415"/>
      <c r="D23" s="415">
        <v>61990</v>
      </c>
      <c r="E23" s="415">
        <v>57144</v>
      </c>
      <c r="F23" s="572">
        <f t="shared" si="0"/>
        <v>0.9218261009840297</v>
      </c>
    </row>
    <row r="24" spans="1:6" s="399" customFormat="1" ht="12">
      <c r="A24" s="419">
        <v>1040</v>
      </c>
      <c r="B24" s="420" t="s">
        <v>1247</v>
      </c>
      <c r="C24" s="419">
        <f>SUM(C25:C29)</f>
        <v>1064086</v>
      </c>
      <c r="D24" s="419">
        <f>SUM(D25:D29)</f>
        <v>1002882</v>
      </c>
      <c r="E24" s="419">
        <f>SUM(E25:E29)</f>
        <v>801071</v>
      </c>
      <c r="F24" s="573">
        <f t="shared" si="0"/>
        <v>0.7987689478921748</v>
      </c>
    </row>
    <row r="25" spans="1:6" s="399" customFormat="1" ht="12">
      <c r="A25" s="412">
        <v>1041</v>
      </c>
      <c r="B25" s="407" t="s">
        <v>1154</v>
      </c>
      <c r="C25" s="406">
        <v>193320</v>
      </c>
      <c r="D25" s="406">
        <v>148716</v>
      </c>
      <c r="E25" s="406">
        <v>58300</v>
      </c>
      <c r="F25" s="933">
        <f t="shared" si="0"/>
        <v>0.3920223782242664</v>
      </c>
    </row>
    <row r="26" spans="1:6" s="399" customFormat="1" ht="12">
      <c r="A26" s="415">
        <v>1042</v>
      </c>
      <c r="B26" s="421" t="s">
        <v>1155</v>
      </c>
      <c r="C26" s="406">
        <v>333350</v>
      </c>
      <c r="D26" s="406">
        <v>333350</v>
      </c>
      <c r="E26" s="406">
        <v>319220</v>
      </c>
      <c r="F26" s="933">
        <f t="shared" si="0"/>
        <v>0.9576121193940303</v>
      </c>
    </row>
    <row r="27" spans="1:6" s="399" customFormat="1" ht="12">
      <c r="A27" s="412">
        <v>1043</v>
      </c>
      <c r="B27" s="407" t="s">
        <v>1175</v>
      </c>
      <c r="C27" s="406">
        <v>364200</v>
      </c>
      <c r="D27" s="406">
        <v>364200</v>
      </c>
      <c r="E27" s="406">
        <v>280323</v>
      </c>
      <c r="F27" s="933">
        <f t="shared" si="0"/>
        <v>0.7696952224052719</v>
      </c>
    </row>
    <row r="28" spans="1:6" s="399" customFormat="1" ht="12">
      <c r="A28" s="415">
        <v>1044</v>
      </c>
      <c r="B28" s="421" t="s">
        <v>1185</v>
      </c>
      <c r="C28" s="422">
        <v>164933</v>
      </c>
      <c r="D28" s="422">
        <v>148333</v>
      </c>
      <c r="E28" s="422">
        <v>142668</v>
      </c>
      <c r="F28" s="933">
        <f t="shared" si="0"/>
        <v>0.9618089029413549</v>
      </c>
    </row>
    <row r="29" spans="1:6" s="399" customFormat="1" ht="12">
      <c r="A29" s="415">
        <v>1045</v>
      </c>
      <c r="B29" s="421" t="s">
        <v>1176</v>
      </c>
      <c r="C29" s="422">
        <v>8283</v>
      </c>
      <c r="D29" s="422">
        <v>8283</v>
      </c>
      <c r="E29" s="422">
        <v>560</v>
      </c>
      <c r="F29" s="933">
        <f t="shared" si="0"/>
        <v>0.0676083544609441</v>
      </c>
    </row>
    <row r="30" spans="1:6" s="399" customFormat="1" ht="12">
      <c r="A30" s="419">
        <v>1050</v>
      </c>
      <c r="B30" s="420" t="s">
        <v>1248</v>
      </c>
      <c r="C30" s="419">
        <f>SUM(C31:C31)</f>
        <v>30000</v>
      </c>
      <c r="D30" s="419">
        <f>SUM(D31:D31)</f>
        <v>30000</v>
      </c>
      <c r="E30" s="419">
        <f>SUM(E31:E31)</f>
        <v>34980</v>
      </c>
      <c r="F30" s="573">
        <f t="shared" si="0"/>
        <v>1.166</v>
      </c>
    </row>
    <row r="31" spans="1:6" s="399" customFormat="1" ht="12.75" thickBot="1">
      <c r="A31" s="412">
        <v>1051</v>
      </c>
      <c r="B31" s="423" t="s">
        <v>1156</v>
      </c>
      <c r="C31" s="427">
        <v>30000</v>
      </c>
      <c r="D31" s="427">
        <v>30000</v>
      </c>
      <c r="E31" s="552">
        <v>34980</v>
      </c>
      <c r="F31" s="937">
        <f t="shared" si="0"/>
        <v>1.166</v>
      </c>
    </row>
    <row r="32" spans="1:6" s="399" customFormat="1" ht="12.75" thickBot="1">
      <c r="A32" s="424"/>
      <c r="B32" s="425" t="s">
        <v>1249</v>
      </c>
      <c r="C32" s="426">
        <f>SUM(C30+C24+C17+C10+C21)</f>
        <v>2092991</v>
      </c>
      <c r="D32" s="426">
        <f>SUM(D30+D24+D17+D10+D21)</f>
        <v>2031644</v>
      </c>
      <c r="E32" s="426">
        <f>SUM(E30+E24+E17+E10+E21)</f>
        <v>1779746</v>
      </c>
      <c r="F32" s="938">
        <f t="shared" si="0"/>
        <v>0.8760127266391159</v>
      </c>
    </row>
    <row r="33" spans="1:6" s="399" customFormat="1" ht="12">
      <c r="A33" s="419"/>
      <c r="B33" s="420"/>
      <c r="C33" s="419"/>
      <c r="D33" s="419"/>
      <c r="E33" s="419"/>
      <c r="F33" s="934"/>
    </row>
    <row r="34" spans="1:6" s="399" customFormat="1" ht="12">
      <c r="A34" s="408">
        <v>1060</v>
      </c>
      <c r="B34" s="409" t="s">
        <v>1308</v>
      </c>
      <c r="C34" s="408">
        <f>SUM(C35:C40)</f>
        <v>6231843</v>
      </c>
      <c r="D34" s="408">
        <f>SUM(D35:D40)</f>
        <v>6654696</v>
      </c>
      <c r="E34" s="408">
        <f>SUM(E35:E40)</f>
        <v>6629336</v>
      </c>
      <c r="F34" s="573">
        <f t="shared" si="0"/>
        <v>0.9961891572507595</v>
      </c>
    </row>
    <row r="35" spans="1:6" s="399" customFormat="1" ht="12">
      <c r="A35" s="427">
        <v>1061</v>
      </c>
      <c r="B35" s="423" t="s">
        <v>1039</v>
      </c>
      <c r="C35" s="427">
        <v>2350000</v>
      </c>
      <c r="D35" s="427">
        <v>2537941</v>
      </c>
      <c r="E35" s="427">
        <v>2537941</v>
      </c>
      <c r="F35" s="933">
        <f t="shared" si="0"/>
        <v>1</v>
      </c>
    </row>
    <row r="36" spans="1:6" s="399" customFormat="1" ht="12">
      <c r="A36" s="427">
        <v>1062</v>
      </c>
      <c r="B36" s="423" t="s">
        <v>1122</v>
      </c>
      <c r="C36" s="427">
        <v>250000</v>
      </c>
      <c r="D36" s="427">
        <v>435737</v>
      </c>
      <c r="E36" s="427">
        <v>435737</v>
      </c>
      <c r="F36" s="933">
        <f t="shared" si="0"/>
        <v>1</v>
      </c>
    </row>
    <row r="37" spans="1:6" s="399" customFormat="1" ht="12">
      <c r="A37" s="422">
        <v>1063</v>
      </c>
      <c r="B37" s="421" t="s">
        <v>1054</v>
      </c>
      <c r="C37" s="422">
        <v>55000</v>
      </c>
      <c r="D37" s="422">
        <v>83494</v>
      </c>
      <c r="E37" s="422">
        <v>83494</v>
      </c>
      <c r="F37" s="933">
        <f t="shared" si="0"/>
        <v>1</v>
      </c>
    </row>
    <row r="38" spans="1:6" s="399" customFormat="1" ht="12">
      <c r="A38" s="422">
        <v>1064</v>
      </c>
      <c r="B38" s="421" t="s">
        <v>916</v>
      </c>
      <c r="C38" s="422"/>
      <c r="D38" s="422">
        <v>20681</v>
      </c>
      <c r="E38" s="422">
        <v>20681</v>
      </c>
      <c r="F38" s="933">
        <f t="shared" si="0"/>
        <v>1</v>
      </c>
    </row>
    <row r="39" spans="1:6" s="399" customFormat="1" ht="12">
      <c r="A39" s="422">
        <v>1065</v>
      </c>
      <c r="B39" s="407" t="s">
        <v>1064</v>
      </c>
      <c r="C39" s="406">
        <v>3576843</v>
      </c>
      <c r="D39" s="406">
        <v>3555861</v>
      </c>
      <c r="E39" s="406">
        <v>3530501</v>
      </c>
      <c r="F39" s="933">
        <f t="shared" si="0"/>
        <v>0.9928681126736957</v>
      </c>
    </row>
    <row r="40" spans="1:6" s="399" customFormat="1" ht="12">
      <c r="A40" s="422">
        <v>1066</v>
      </c>
      <c r="B40" s="407" t="s">
        <v>1034</v>
      </c>
      <c r="C40" s="406"/>
      <c r="D40" s="406">
        <v>20982</v>
      </c>
      <c r="E40" s="406">
        <v>20982</v>
      </c>
      <c r="F40" s="933">
        <f t="shared" si="0"/>
        <v>1</v>
      </c>
    </row>
    <row r="41" spans="1:6" s="399" customFormat="1" ht="12">
      <c r="A41" s="418">
        <v>1070</v>
      </c>
      <c r="B41" s="417" t="s">
        <v>1159</v>
      </c>
      <c r="C41" s="418">
        <f>SUM(C42:C43)</f>
        <v>636680</v>
      </c>
      <c r="D41" s="418">
        <f>SUM(D42:D43)</f>
        <v>643236</v>
      </c>
      <c r="E41" s="418">
        <f>SUM(E42:E43)</f>
        <v>643236</v>
      </c>
      <c r="F41" s="573">
        <f t="shared" si="0"/>
        <v>1</v>
      </c>
    </row>
    <row r="42" spans="1:6" s="399" customFormat="1" ht="12">
      <c r="A42" s="406">
        <v>1071</v>
      </c>
      <c r="B42" s="407" t="s">
        <v>1309</v>
      </c>
      <c r="C42" s="406">
        <v>206680</v>
      </c>
      <c r="D42" s="406">
        <v>206680</v>
      </c>
      <c r="E42" s="406">
        <v>206680</v>
      </c>
      <c r="F42" s="933">
        <f t="shared" si="0"/>
        <v>1</v>
      </c>
    </row>
    <row r="43" spans="1:6" s="399" customFormat="1" ht="12">
      <c r="A43" s="406">
        <v>1072</v>
      </c>
      <c r="B43" s="407" t="s">
        <v>1061</v>
      </c>
      <c r="C43" s="406">
        <v>430000</v>
      </c>
      <c r="D43" s="406">
        <v>436556</v>
      </c>
      <c r="E43" s="406">
        <v>436556</v>
      </c>
      <c r="F43" s="933">
        <f t="shared" si="0"/>
        <v>1</v>
      </c>
    </row>
    <row r="44" spans="1:6" s="399" customFormat="1" ht="12">
      <c r="A44" s="413">
        <v>1080</v>
      </c>
      <c r="B44" s="430" t="s">
        <v>1379</v>
      </c>
      <c r="C44" s="413">
        <f>SUM(C45:C48)</f>
        <v>1021000</v>
      </c>
      <c r="D44" s="413">
        <f>SUM(D45:D48)</f>
        <v>1021000</v>
      </c>
      <c r="E44" s="413">
        <f>SUM(E45:E48)</f>
        <v>881802</v>
      </c>
      <c r="F44" s="573">
        <f t="shared" si="0"/>
        <v>0.8636650342801175</v>
      </c>
    </row>
    <row r="45" spans="1:6" s="399" customFormat="1" ht="12">
      <c r="A45" s="406">
        <v>1081</v>
      </c>
      <c r="B45" s="423" t="s">
        <v>1394</v>
      </c>
      <c r="C45" s="427">
        <v>557000</v>
      </c>
      <c r="D45" s="427">
        <v>548211</v>
      </c>
      <c r="E45" s="427">
        <v>474924</v>
      </c>
      <c r="F45" s="933">
        <f t="shared" si="0"/>
        <v>0.8663160717315048</v>
      </c>
    </row>
    <row r="46" spans="1:6" s="399" customFormat="1" ht="12">
      <c r="A46" s="406">
        <v>1082</v>
      </c>
      <c r="B46" s="423" t="s">
        <v>1395</v>
      </c>
      <c r="C46" s="427">
        <v>454000</v>
      </c>
      <c r="D46" s="427">
        <v>454000</v>
      </c>
      <c r="E46" s="427">
        <v>392843</v>
      </c>
      <c r="F46" s="933">
        <f t="shared" si="0"/>
        <v>0.8652929515418503</v>
      </c>
    </row>
    <row r="47" spans="1:6" s="399" customFormat="1" ht="12">
      <c r="A47" s="406">
        <v>1083</v>
      </c>
      <c r="B47" s="423" t="s">
        <v>1396</v>
      </c>
      <c r="C47" s="410"/>
      <c r="D47" s="427">
        <v>8789</v>
      </c>
      <c r="E47" s="427">
        <v>8789</v>
      </c>
      <c r="F47" s="933">
        <f t="shared" si="0"/>
        <v>1</v>
      </c>
    </row>
    <row r="48" spans="1:6" s="399" customFormat="1" ht="12">
      <c r="A48" s="406">
        <v>1084</v>
      </c>
      <c r="B48" s="423" t="s">
        <v>1397</v>
      </c>
      <c r="C48" s="427">
        <v>10000</v>
      </c>
      <c r="D48" s="427">
        <v>10000</v>
      </c>
      <c r="E48" s="427">
        <v>5246</v>
      </c>
      <c r="F48" s="933">
        <f t="shared" si="0"/>
        <v>0.5246</v>
      </c>
    </row>
    <row r="49" spans="1:6" s="399" customFormat="1" ht="12">
      <c r="A49" s="413">
        <v>1090</v>
      </c>
      <c r="B49" s="409" t="s">
        <v>1310</v>
      </c>
      <c r="C49" s="408">
        <f>SUM(C50:C56)</f>
        <v>381042</v>
      </c>
      <c r="D49" s="408">
        <f>SUM(D50:D56)</f>
        <v>349979</v>
      </c>
      <c r="E49" s="408">
        <f>SUM(E50:E56)</f>
        <v>327897</v>
      </c>
      <c r="F49" s="573">
        <f t="shared" si="0"/>
        <v>0.9369047857157143</v>
      </c>
    </row>
    <row r="50" spans="1:6" s="399" customFormat="1" ht="12">
      <c r="A50" s="406">
        <v>1091</v>
      </c>
      <c r="B50" s="407" t="s">
        <v>911</v>
      </c>
      <c r="C50" s="406">
        <v>4000</v>
      </c>
      <c r="D50" s="406">
        <v>4000</v>
      </c>
      <c r="E50" s="406">
        <v>4770</v>
      </c>
      <c r="F50" s="933">
        <f t="shared" si="0"/>
        <v>1.1925</v>
      </c>
    </row>
    <row r="51" spans="1:6" s="399" customFormat="1" ht="12">
      <c r="A51" s="406">
        <v>1092</v>
      </c>
      <c r="B51" s="407" t="s">
        <v>1056</v>
      </c>
      <c r="C51" s="427"/>
      <c r="D51" s="427">
        <v>100</v>
      </c>
      <c r="E51" s="427">
        <v>100</v>
      </c>
      <c r="F51" s="933">
        <f t="shared" si="0"/>
        <v>1</v>
      </c>
    </row>
    <row r="52" spans="1:6" s="399" customFormat="1" ht="12">
      <c r="A52" s="406">
        <v>1093</v>
      </c>
      <c r="B52" s="423" t="s">
        <v>1311</v>
      </c>
      <c r="C52" s="427">
        <v>20000</v>
      </c>
      <c r="D52" s="427">
        <v>12392</v>
      </c>
      <c r="E52" s="427">
        <v>10275</v>
      </c>
      <c r="F52" s="933">
        <f t="shared" si="0"/>
        <v>0.8291639767591995</v>
      </c>
    </row>
    <row r="53" spans="1:6" s="399" customFormat="1" ht="12">
      <c r="A53" s="406">
        <v>1094</v>
      </c>
      <c r="B53" s="423" t="s">
        <v>1312</v>
      </c>
      <c r="C53" s="427">
        <v>1000</v>
      </c>
      <c r="D53" s="427">
        <v>1000</v>
      </c>
      <c r="E53" s="427">
        <v>120</v>
      </c>
      <c r="F53" s="933">
        <f t="shared" si="0"/>
        <v>0.12</v>
      </c>
    </row>
    <row r="54" spans="1:6" s="399" customFormat="1" ht="12">
      <c r="A54" s="406">
        <v>1095</v>
      </c>
      <c r="B54" s="429" t="s">
        <v>1313</v>
      </c>
      <c r="C54" s="427">
        <v>278042</v>
      </c>
      <c r="D54" s="427">
        <v>278042</v>
      </c>
      <c r="E54" s="427">
        <v>254236</v>
      </c>
      <c r="F54" s="933">
        <f t="shared" si="0"/>
        <v>0.91437984189439</v>
      </c>
    </row>
    <row r="55" spans="1:6" s="399" customFormat="1" ht="12">
      <c r="A55" s="406">
        <v>1096</v>
      </c>
      <c r="B55" s="423" t="s">
        <v>1314</v>
      </c>
      <c r="C55" s="427">
        <v>3000</v>
      </c>
      <c r="D55" s="427">
        <v>7546</v>
      </c>
      <c r="E55" s="427">
        <v>10967</v>
      </c>
      <c r="F55" s="933">
        <f t="shared" si="0"/>
        <v>1.4533527696793003</v>
      </c>
    </row>
    <row r="56" spans="1:6" s="399" customFormat="1" ht="12">
      <c r="A56" s="406">
        <v>1097</v>
      </c>
      <c r="B56" s="423" t="s">
        <v>1315</v>
      </c>
      <c r="C56" s="427">
        <v>75000</v>
      </c>
      <c r="D56" s="427">
        <v>46899</v>
      </c>
      <c r="E56" s="427">
        <v>47429</v>
      </c>
      <c r="F56" s="933">
        <f t="shared" si="0"/>
        <v>1.0113008806157915</v>
      </c>
    </row>
    <row r="57" spans="1:6" s="399" customFormat="1" ht="12">
      <c r="A57" s="413">
        <v>1110</v>
      </c>
      <c r="B57" s="430" t="s">
        <v>1316</v>
      </c>
      <c r="C57" s="413">
        <f>SUM(C58)</f>
        <v>8428</v>
      </c>
      <c r="D57" s="413">
        <f>SUM(D58)</f>
        <v>5641</v>
      </c>
      <c r="E57" s="413">
        <f>SUM(E58)</f>
        <v>4189</v>
      </c>
      <c r="F57" s="573">
        <f t="shared" si="0"/>
        <v>0.7425988299946817</v>
      </c>
    </row>
    <row r="58" spans="1:6" s="399" customFormat="1" ht="12.75" thickBot="1">
      <c r="A58" s="431">
        <v>1111</v>
      </c>
      <c r="B58" s="432" t="s">
        <v>1317</v>
      </c>
      <c r="C58" s="433">
        <v>8428</v>
      </c>
      <c r="D58" s="433">
        <v>5641</v>
      </c>
      <c r="E58" s="433">
        <v>4189</v>
      </c>
      <c r="F58" s="937">
        <f t="shared" si="0"/>
        <v>0.7425988299946817</v>
      </c>
    </row>
    <row r="59" spans="1:6" s="399" customFormat="1" ht="12.75" thickBot="1">
      <c r="A59" s="426"/>
      <c r="B59" s="425" t="s">
        <v>16</v>
      </c>
      <c r="C59" s="426">
        <f>SUM(C49+C41+C34+C57+C44)</f>
        <v>8278993</v>
      </c>
      <c r="D59" s="426">
        <f>SUM(D49+D41+D34+D57+D44)</f>
        <v>8674552</v>
      </c>
      <c r="E59" s="426">
        <f>SUM(E49+E41+E34+E57+E44)</f>
        <v>8486460</v>
      </c>
      <c r="F59" s="938">
        <f t="shared" si="0"/>
        <v>0.9783168052943829</v>
      </c>
    </row>
    <row r="60" spans="1:6" s="399" customFormat="1" ht="8.25" customHeight="1">
      <c r="A60" s="410"/>
      <c r="B60" s="434"/>
      <c r="C60" s="410"/>
      <c r="D60" s="410"/>
      <c r="E60" s="580"/>
      <c r="F60" s="934"/>
    </row>
    <row r="61" spans="1:6" s="399" customFormat="1" ht="12">
      <c r="A61" s="427">
        <v>1121</v>
      </c>
      <c r="B61" s="429" t="s">
        <v>1391</v>
      </c>
      <c r="C61" s="427">
        <v>1869870</v>
      </c>
      <c r="D61" s="427">
        <v>1875883</v>
      </c>
      <c r="E61" s="427">
        <v>1875883</v>
      </c>
      <c r="F61" s="933">
        <f t="shared" si="0"/>
        <v>1</v>
      </c>
    </row>
    <row r="62" spans="1:6" s="399" customFormat="1" ht="12">
      <c r="A62" s="552">
        <v>1122</v>
      </c>
      <c r="B62" s="429" t="s">
        <v>1392</v>
      </c>
      <c r="C62" s="552">
        <v>161205</v>
      </c>
      <c r="D62" s="552">
        <v>435940</v>
      </c>
      <c r="E62" s="552">
        <v>430221</v>
      </c>
      <c r="F62" s="933">
        <f t="shared" si="0"/>
        <v>0.9868812221865394</v>
      </c>
    </row>
    <row r="63" spans="1:6" s="399" customFormat="1" ht="12">
      <c r="A63" s="427">
        <v>1123</v>
      </c>
      <c r="B63" s="423" t="s">
        <v>1319</v>
      </c>
      <c r="C63" s="410"/>
      <c r="D63" s="410"/>
      <c r="E63" s="410"/>
      <c r="F63" s="933"/>
    </row>
    <row r="64" spans="1:6" s="399" customFormat="1" ht="12.75" thickBot="1">
      <c r="A64" s="466">
        <v>1124</v>
      </c>
      <c r="B64" s="491" t="s">
        <v>200</v>
      </c>
      <c r="C64" s="581"/>
      <c r="D64" s="466">
        <v>350742</v>
      </c>
      <c r="E64" s="466">
        <v>356461</v>
      </c>
      <c r="F64" s="937">
        <f t="shared" si="0"/>
        <v>1.0163054324831358</v>
      </c>
    </row>
    <row r="65" spans="1:6" s="399" customFormat="1" ht="12.75" thickBot="1">
      <c r="A65" s="437"/>
      <c r="B65" s="438" t="s">
        <v>1320</v>
      </c>
      <c r="C65" s="439">
        <f>SUM(C61:C63)</f>
        <v>2031075</v>
      </c>
      <c r="D65" s="439">
        <f>SUM(D61:D64)</f>
        <v>2662565</v>
      </c>
      <c r="E65" s="439">
        <f>SUM(E61:E64)</f>
        <v>2662565</v>
      </c>
      <c r="F65" s="936">
        <f t="shared" si="0"/>
        <v>1</v>
      </c>
    </row>
    <row r="66" spans="1:6" s="399" customFormat="1" ht="7.5" customHeight="1">
      <c r="A66" s="419"/>
      <c r="B66" s="420"/>
      <c r="C66" s="419"/>
      <c r="D66" s="419"/>
      <c r="E66" s="419"/>
      <c r="F66" s="934"/>
    </row>
    <row r="67" spans="1:6" s="399" customFormat="1" ht="12">
      <c r="A67" s="427">
        <v>1131</v>
      </c>
      <c r="B67" s="429" t="s">
        <v>1321</v>
      </c>
      <c r="C67" s="427">
        <v>1400</v>
      </c>
      <c r="D67" s="427">
        <v>40480</v>
      </c>
      <c r="E67" s="427">
        <v>40480</v>
      </c>
      <c r="F67" s="933">
        <f t="shared" si="0"/>
        <v>1</v>
      </c>
    </row>
    <row r="68" spans="1:6" s="440" customFormat="1" ht="12">
      <c r="A68" s="427">
        <v>1132</v>
      </c>
      <c r="B68" s="423" t="s">
        <v>1322</v>
      </c>
      <c r="C68" s="412"/>
      <c r="D68" s="427">
        <v>2112</v>
      </c>
      <c r="E68" s="427">
        <v>2112</v>
      </c>
      <c r="F68" s="933">
        <f t="shared" si="0"/>
        <v>1</v>
      </c>
    </row>
    <row r="69" spans="1:6" s="440" customFormat="1" ht="12.75" thickBot="1">
      <c r="A69" s="466">
        <v>1133</v>
      </c>
      <c r="B69" s="436" t="s">
        <v>281</v>
      </c>
      <c r="C69" s="441"/>
      <c r="D69" s="466">
        <v>57455</v>
      </c>
      <c r="E69" s="466">
        <v>57454</v>
      </c>
      <c r="F69" s="937">
        <f t="shared" si="0"/>
        <v>0.999982595074406</v>
      </c>
    </row>
    <row r="70" spans="1:6" s="440" customFormat="1" ht="12.75" thickBot="1">
      <c r="A70" s="441"/>
      <c r="B70" s="442" t="s">
        <v>1323</v>
      </c>
      <c r="C70" s="467">
        <f>SUM(C67:C68)</f>
        <v>1400</v>
      </c>
      <c r="D70" s="467">
        <f>SUM(D67:D69)</f>
        <v>100047</v>
      </c>
      <c r="E70" s="467">
        <f>SUM(E67:E69)</f>
        <v>100046</v>
      </c>
      <c r="F70" s="938">
        <f t="shared" si="0"/>
        <v>0.9999900046977921</v>
      </c>
    </row>
    <row r="71" spans="1:6" s="440" customFormat="1" ht="8.25" customHeight="1" thickBot="1">
      <c r="A71" s="441"/>
      <c r="B71" s="442"/>
      <c r="C71" s="441"/>
      <c r="D71" s="441"/>
      <c r="E71" s="441"/>
      <c r="F71" s="936"/>
    </row>
    <row r="72" spans="1:6" s="440" customFormat="1" ht="12.75" thickBot="1">
      <c r="A72" s="467">
        <v>1134</v>
      </c>
      <c r="B72" s="442" t="s">
        <v>1354</v>
      </c>
      <c r="C72" s="441"/>
      <c r="D72" s="467">
        <v>1000</v>
      </c>
      <c r="E72" s="467">
        <v>1000</v>
      </c>
      <c r="F72" s="938">
        <f t="shared" si="0"/>
        <v>1</v>
      </c>
    </row>
    <row r="73" spans="1:6" s="440" customFormat="1" ht="7.5" customHeight="1" thickBot="1">
      <c r="A73" s="441"/>
      <c r="B73" s="442"/>
      <c r="C73" s="441"/>
      <c r="D73" s="441"/>
      <c r="E73" s="441"/>
      <c r="F73" s="936"/>
    </row>
    <row r="74" spans="1:6" s="440" customFormat="1" ht="12.75" thickBot="1">
      <c r="A74" s="441"/>
      <c r="B74" s="442" t="s">
        <v>271</v>
      </c>
      <c r="C74" s="441"/>
      <c r="D74" s="441"/>
      <c r="E74" s="467">
        <v>171110</v>
      </c>
      <c r="F74" s="936"/>
    </row>
    <row r="75" spans="1:6" s="440" customFormat="1" ht="8.25" customHeight="1" thickBot="1">
      <c r="A75" s="424"/>
      <c r="B75" s="443"/>
      <c r="C75" s="424"/>
      <c r="D75" s="424"/>
      <c r="E75" s="424"/>
      <c r="F75" s="936"/>
    </row>
    <row r="76" spans="1:6" s="440" customFormat="1" ht="15" customHeight="1" thickBot="1">
      <c r="A76" s="424"/>
      <c r="B76" s="454" t="s">
        <v>1324</v>
      </c>
      <c r="C76" s="497">
        <f>SUM(C65+C70+C59+C32+C72+C74)</f>
        <v>12404459</v>
      </c>
      <c r="D76" s="497">
        <f>SUM(D65+D70+D59+D32+D72+D74)</f>
        <v>13469808</v>
      </c>
      <c r="E76" s="497">
        <f>SUM(E65+E70+E59+E32+E72+E74)</f>
        <v>13200927</v>
      </c>
      <c r="F76" s="938">
        <f aca="true" t="shared" si="1" ref="F76:F139">SUM(E76/D76)</f>
        <v>0.9800382455340121</v>
      </c>
    </row>
    <row r="77" spans="1:6" s="440" customFormat="1" ht="8.25" customHeight="1">
      <c r="A77" s="415"/>
      <c r="B77" s="429"/>
      <c r="C77" s="415"/>
      <c r="D77" s="415"/>
      <c r="E77" s="415"/>
      <c r="F77" s="934"/>
    </row>
    <row r="78" spans="1:6" s="440" customFormat="1" ht="12">
      <c r="A78" s="419">
        <v>1140</v>
      </c>
      <c r="B78" s="420" t="s">
        <v>1325</v>
      </c>
      <c r="C78" s="419">
        <f>SUM(C79+C82)</f>
        <v>1160000</v>
      </c>
      <c r="D78" s="419">
        <f>SUM(D79+D82+D83)</f>
        <v>749421</v>
      </c>
      <c r="E78" s="419">
        <f>SUM(E79+E82+E83)</f>
        <v>560880</v>
      </c>
      <c r="F78" s="573">
        <f t="shared" si="1"/>
        <v>0.7484177785250213</v>
      </c>
    </row>
    <row r="79" spans="1:6" s="440" customFormat="1" ht="12">
      <c r="A79" s="406">
        <v>1141</v>
      </c>
      <c r="B79" s="407" t="s">
        <v>1066</v>
      </c>
      <c r="C79" s="406">
        <f>SUM(C80:C81)</f>
        <v>790000</v>
      </c>
      <c r="D79" s="406">
        <f>SUM(D80:D81)</f>
        <v>379382</v>
      </c>
      <c r="E79" s="406">
        <f>SUM(E80:E81)</f>
        <v>190000</v>
      </c>
      <c r="F79" s="933">
        <f t="shared" si="1"/>
        <v>0.5008144825004877</v>
      </c>
    </row>
    <row r="80" spans="1:6" s="440" customFormat="1" ht="12">
      <c r="A80" s="444">
        <v>1142</v>
      </c>
      <c r="B80" s="416" t="s">
        <v>290</v>
      </c>
      <c r="C80" s="412">
        <v>150000</v>
      </c>
      <c r="D80" s="412">
        <v>150000</v>
      </c>
      <c r="E80" s="412">
        <v>20000</v>
      </c>
      <c r="F80" s="572">
        <f t="shared" si="1"/>
        <v>0.13333333333333333</v>
      </c>
    </row>
    <row r="81" spans="1:6" s="440" customFormat="1" ht="12">
      <c r="A81" s="444">
        <v>1143</v>
      </c>
      <c r="B81" s="416" t="s">
        <v>1157</v>
      </c>
      <c r="C81" s="410">
        <v>640000</v>
      </c>
      <c r="D81" s="410">
        <v>229382</v>
      </c>
      <c r="E81" s="410">
        <v>170000</v>
      </c>
      <c r="F81" s="572">
        <f t="shared" si="1"/>
        <v>0.7411217968279987</v>
      </c>
    </row>
    <row r="82" spans="1:6" s="440" customFormat="1" ht="12">
      <c r="A82" s="406">
        <v>1144</v>
      </c>
      <c r="B82" s="407" t="s">
        <v>1067</v>
      </c>
      <c r="C82" s="406">
        <v>370000</v>
      </c>
      <c r="D82" s="406">
        <v>370000</v>
      </c>
      <c r="E82" s="406">
        <v>370841</v>
      </c>
      <c r="F82" s="933">
        <f t="shared" si="1"/>
        <v>1.002272972972973</v>
      </c>
    </row>
    <row r="83" spans="1:6" s="440" customFormat="1" ht="12">
      <c r="A83" s="406">
        <v>1145</v>
      </c>
      <c r="B83" s="407" t="s">
        <v>228</v>
      </c>
      <c r="C83" s="406"/>
      <c r="D83" s="406">
        <v>39</v>
      </c>
      <c r="E83" s="406">
        <v>39</v>
      </c>
      <c r="F83" s="933">
        <f t="shared" si="1"/>
        <v>1</v>
      </c>
    </row>
    <row r="84" spans="1:6" s="440" customFormat="1" ht="12">
      <c r="A84" s="408">
        <v>1150</v>
      </c>
      <c r="B84" s="409" t="s">
        <v>11</v>
      </c>
      <c r="C84" s="408">
        <f>SUM(C85:C85)</f>
        <v>250000</v>
      </c>
      <c r="D84" s="408">
        <f>SUM(D85:D85)</f>
        <v>250000</v>
      </c>
      <c r="E84" s="408">
        <f>SUM(E85:E85)</f>
        <v>255816</v>
      </c>
      <c r="F84" s="573">
        <f t="shared" si="1"/>
        <v>1.023264</v>
      </c>
    </row>
    <row r="85" spans="1:6" s="440" customFormat="1" ht="12.75" thickBot="1">
      <c r="A85" s="406">
        <v>1151</v>
      </c>
      <c r="B85" s="407" t="s">
        <v>1105</v>
      </c>
      <c r="C85" s="427">
        <v>250000</v>
      </c>
      <c r="D85" s="427">
        <v>250000</v>
      </c>
      <c r="E85" s="552">
        <v>255816</v>
      </c>
      <c r="F85" s="937">
        <f t="shared" si="1"/>
        <v>1.023264</v>
      </c>
    </row>
    <row r="86" spans="1:6" s="440" customFormat="1" ht="12.75" thickBot="1">
      <c r="A86" s="426"/>
      <c r="B86" s="425" t="s">
        <v>1326</v>
      </c>
      <c r="C86" s="426">
        <f>SUM(C78+C84)</f>
        <v>1410000</v>
      </c>
      <c r="D86" s="426">
        <f>SUM(D78+D84)</f>
        <v>999421</v>
      </c>
      <c r="E86" s="426">
        <f>SUM(E78+E84)</f>
        <v>816696</v>
      </c>
      <c r="F86" s="938">
        <f t="shared" si="1"/>
        <v>0.8171691409326</v>
      </c>
    </row>
    <row r="87" spans="1:6" ht="9" customHeight="1">
      <c r="A87" s="422"/>
      <c r="B87" s="421"/>
      <c r="C87" s="406"/>
      <c r="D87" s="406"/>
      <c r="E87" s="422"/>
      <c r="F87" s="934"/>
    </row>
    <row r="88" spans="1:6" ht="12" customHeight="1">
      <c r="A88" s="418">
        <v>1160</v>
      </c>
      <c r="B88" s="445" t="s">
        <v>1327</v>
      </c>
      <c r="C88" s="413">
        <f>SUM(C89:C91)</f>
        <v>363209</v>
      </c>
      <c r="D88" s="413">
        <f>SUM(D89:D91)</f>
        <v>390390</v>
      </c>
      <c r="E88" s="413">
        <f>SUM(E89:E91)</f>
        <v>145938</v>
      </c>
      <c r="F88" s="573">
        <f t="shared" si="1"/>
        <v>0.37382617382617384</v>
      </c>
    </row>
    <row r="89" spans="1:6" ht="12" customHeight="1">
      <c r="A89" s="422">
        <v>1161</v>
      </c>
      <c r="B89" s="446" t="s">
        <v>924</v>
      </c>
      <c r="C89" s="427">
        <v>199938</v>
      </c>
      <c r="D89" s="427">
        <v>142483</v>
      </c>
      <c r="E89" s="427">
        <v>79373</v>
      </c>
      <c r="F89" s="933">
        <f t="shared" si="1"/>
        <v>0.5570699662415867</v>
      </c>
    </row>
    <row r="90" spans="1:6" ht="12" customHeight="1">
      <c r="A90" s="422">
        <v>1162</v>
      </c>
      <c r="B90" s="446" t="s">
        <v>1118</v>
      </c>
      <c r="C90" s="427">
        <v>145835</v>
      </c>
      <c r="D90" s="427">
        <v>145835</v>
      </c>
      <c r="E90" s="427">
        <v>55365</v>
      </c>
      <c r="F90" s="933">
        <f t="shared" si="1"/>
        <v>0.37964137552713684</v>
      </c>
    </row>
    <row r="91" spans="1:6" ht="12" customHeight="1">
      <c r="A91" s="422">
        <v>1163</v>
      </c>
      <c r="B91" s="423" t="s">
        <v>1202</v>
      </c>
      <c r="C91" s="427">
        <v>17436</v>
      </c>
      <c r="D91" s="427">
        <v>102072</v>
      </c>
      <c r="E91" s="427">
        <v>11200</v>
      </c>
      <c r="F91" s="933">
        <f t="shared" si="1"/>
        <v>0.10972646759150403</v>
      </c>
    </row>
    <row r="92" spans="1:6" ht="12" customHeight="1">
      <c r="A92" s="418">
        <v>1170</v>
      </c>
      <c r="B92" s="447" t="s">
        <v>1328</v>
      </c>
      <c r="C92" s="413">
        <f>SUM(C93)</f>
        <v>60000</v>
      </c>
      <c r="D92" s="413">
        <f>SUM(D93:D94)</f>
        <v>68817</v>
      </c>
      <c r="E92" s="413">
        <f>SUM(E93:E94)</f>
        <v>68817</v>
      </c>
      <c r="F92" s="573">
        <f t="shared" si="1"/>
        <v>1</v>
      </c>
    </row>
    <row r="93" spans="1:6" ht="12" customHeight="1">
      <c r="A93" s="422">
        <v>1171</v>
      </c>
      <c r="B93" s="423" t="s">
        <v>864</v>
      </c>
      <c r="C93" s="427">
        <v>60000</v>
      </c>
      <c r="D93" s="427">
        <v>60000</v>
      </c>
      <c r="E93" s="427">
        <v>60000</v>
      </c>
      <c r="F93" s="933">
        <f t="shared" si="1"/>
        <v>1</v>
      </c>
    </row>
    <row r="94" spans="1:6" ht="12" customHeight="1">
      <c r="A94" s="422">
        <v>1172</v>
      </c>
      <c r="B94" s="446" t="s">
        <v>223</v>
      </c>
      <c r="C94" s="427"/>
      <c r="D94" s="427">
        <v>8817</v>
      </c>
      <c r="E94" s="427">
        <v>8817</v>
      </c>
      <c r="F94" s="933">
        <f t="shared" si="1"/>
        <v>1</v>
      </c>
    </row>
    <row r="95" spans="1:6" ht="12" customHeight="1">
      <c r="A95" s="418">
        <v>1180</v>
      </c>
      <c r="B95" s="445" t="s">
        <v>1329</v>
      </c>
      <c r="C95" s="413">
        <f>SUM(C96:C97)</f>
        <v>877793</v>
      </c>
      <c r="D95" s="413">
        <f>SUM(D96:D97)</f>
        <v>684393</v>
      </c>
      <c r="E95" s="413">
        <f>SUM(E96:E97)</f>
        <v>612131</v>
      </c>
      <c r="F95" s="573">
        <f t="shared" si="1"/>
        <v>0.8944144665418846</v>
      </c>
    </row>
    <row r="96" spans="1:6" ht="12" customHeight="1">
      <c r="A96" s="422">
        <v>1181</v>
      </c>
      <c r="B96" s="446" t="s">
        <v>1120</v>
      </c>
      <c r="C96" s="427">
        <v>64031</v>
      </c>
      <c r="D96" s="427">
        <v>64031</v>
      </c>
      <c r="E96" s="427">
        <v>60235</v>
      </c>
      <c r="F96" s="933">
        <f t="shared" si="1"/>
        <v>0.9407162155830769</v>
      </c>
    </row>
    <row r="97" spans="1:6" ht="12" customHeight="1" thickBot="1">
      <c r="A97" s="448">
        <v>1182</v>
      </c>
      <c r="B97" s="449" t="s">
        <v>1036</v>
      </c>
      <c r="C97" s="435">
        <v>813762</v>
      </c>
      <c r="D97" s="435">
        <v>620362</v>
      </c>
      <c r="E97" s="435">
        <v>551896</v>
      </c>
      <c r="F97" s="937">
        <f t="shared" si="1"/>
        <v>0.8896354064239912</v>
      </c>
    </row>
    <row r="98" spans="1:6" ht="12" customHeight="1" thickBot="1">
      <c r="A98" s="450"/>
      <c r="B98" s="438" t="s">
        <v>1330</v>
      </c>
      <c r="C98" s="439">
        <f>SUM(C88+C92+C95)</f>
        <v>1301002</v>
      </c>
      <c r="D98" s="439">
        <f>SUM(D88+D92+D95)</f>
        <v>1143600</v>
      </c>
      <c r="E98" s="439">
        <f>SUM(E88+E92+E95)</f>
        <v>826886</v>
      </c>
      <c r="F98" s="939">
        <f t="shared" si="1"/>
        <v>0.7230552640783491</v>
      </c>
    </row>
    <row r="99" spans="1:6" ht="9" customHeight="1">
      <c r="A99" s="422"/>
      <c r="B99" s="421"/>
      <c r="C99" s="422"/>
      <c r="D99" s="422"/>
      <c r="E99" s="422"/>
      <c r="F99" s="934"/>
    </row>
    <row r="100" spans="1:6" ht="12" customHeight="1" thickBot="1">
      <c r="A100" s="435">
        <v>1191</v>
      </c>
      <c r="B100" s="436" t="s">
        <v>1079</v>
      </c>
      <c r="C100" s="451"/>
      <c r="D100" s="451">
        <v>1158</v>
      </c>
      <c r="E100" s="451">
        <v>1158</v>
      </c>
      <c r="F100" s="940">
        <f t="shared" si="1"/>
        <v>1</v>
      </c>
    </row>
    <row r="101" spans="1:6" s="399" customFormat="1" ht="12.75" thickBot="1">
      <c r="A101" s="426"/>
      <c r="B101" s="639" t="s">
        <v>1331</v>
      </c>
      <c r="C101" s="426">
        <f>SUM(C100)</f>
        <v>0</v>
      </c>
      <c r="D101" s="426">
        <f>SUM(D100)</f>
        <v>1158</v>
      </c>
      <c r="E101" s="426">
        <f>SUM(E100)</f>
        <v>1158</v>
      </c>
      <c r="F101" s="941">
        <f t="shared" si="1"/>
        <v>1</v>
      </c>
    </row>
    <row r="102" spans="1:6" s="399" customFormat="1" ht="12">
      <c r="A102" s="427"/>
      <c r="B102" s="647" t="s">
        <v>14</v>
      </c>
      <c r="C102" s="408"/>
      <c r="D102" s="408"/>
      <c r="E102" s="419"/>
      <c r="F102" s="934"/>
    </row>
    <row r="103" spans="1:6" s="399" customFormat="1" ht="9" customHeight="1">
      <c r="A103" s="485"/>
      <c r="B103" s="642"/>
      <c r="C103" s="485"/>
      <c r="D103" s="485"/>
      <c r="E103" s="485"/>
      <c r="F103" s="572"/>
    </row>
    <row r="104" spans="1:6" ht="13.5" thickBot="1">
      <c r="A104" s="448"/>
      <c r="B104" s="640" t="s">
        <v>1332</v>
      </c>
      <c r="C104" s="475">
        <f>SUM(C101+C98+C86)</f>
        <v>2711002</v>
      </c>
      <c r="D104" s="475">
        <f>SUM(D101+D98+D86)</f>
        <v>2144179</v>
      </c>
      <c r="E104" s="475">
        <f>SUM(E101+E98+E86)</f>
        <v>1644740</v>
      </c>
      <c r="F104" s="940">
        <f t="shared" si="1"/>
        <v>0.7670721520917797</v>
      </c>
    </row>
    <row r="105" spans="1:6" ht="12">
      <c r="A105" s="455"/>
      <c r="B105" s="641" t="s">
        <v>1356</v>
      </c>
      <c r="C105" s="465"/>
      <c r="D105" s="465"/>
      <c r="E105" s="418"/>
      <c r="F105" s="934"/>
    </row>
    <row r="106" spans="1:6" ht="12">
      <c r="A106" s="427">
        <v>1201</v>
      </c>
      <c r="B106" s="637" t="s">
        <v>1204</v>
      </c>
      <c r="C106" s="408"/>
      <c r="D106" s="427">
        <v>76</v>
      </c>
      <c r="E106" s="427">
        <v>79</v>
      </c>
      <c r="F106" s="933">
        <f t="shared" si="1"/>
        <v>1.0394736842105263</v>
      </c>
    </row>
    <row r="107" spans="1:6" ht="12">
      <c r="A107" s="406">
        <v>1202</v>
      </c>
      <c r="B107" s="637" t="s">
        <v>1205</v>
      </c>
      <c r="C107" s="427">
        <v>40000</v>
      </c>
      <c r="D107" s="427">
        <v>40000</v>
      </c>
      <c r="E107" s="427">
        <v>35230</v>
      </c>
      <c r="F107" s="933">
        <f t="shared" si="1"/>
        <v>0.88075</v>
      </c>
    </row>
    <row r="108" spans="1:6" ht="12.75" thickBot="1">
      <c r="A108" s="473">
        <v>1203</v>
      </c>
      <c r="B108" s="638" t="s">
        <v>253</v>
      </c>
      <c r="C108" s="466"/>
      <c r="D108" s="466">
        <v>25000</v>
      </c>
      <c r="E108" s="466">
        <v>20315</v>
      </c>
      <c r="F108" s="937">
        <f t="shared" si="1"/>
        <v>0.8126</v>
      </c>
    </row>
    <row r="109" spans="1:6" ht="12.75" thickBot="1">
      <c r="A109" s="452"/>
      <c r="B109" s="453" t="s">
        <v>1355</v>
      </c>
      <c r="C109" s="452">
        <f>SUM(C106:C107)</f>
        <v>40000</v>
      </c>
      <c r="D109" s="452">
        <f>SUM(D106:D108)</f>
        <v>65076</v>
      </c>
      <c r="E109" s="452">
        <f>SUM(E106:E108)</f>
        <v>55624</v>
      </c>
      <c r="F109" s="938">
        <f t="shared" si="1"/>
        <v>0.8547544409613375</v>
      </c>
    </row>
    <row r="110" spans="1:6" ht="9.75" customHeight="1">
      <c r="A110" s="422"/>
      <c r="B110" s="456"/>
      <c r="C110" s="457"/>
      <c r="D110" s="457"/>
      <c r="E110" s="457"/>
      <c r="F110" s="934"/>
    </row>
    <row r="111" spans="1:6" ht="12">
      <c r="A111" s="406">
        <v>1211</v>
      </c>
      <c r="B111" s="411" t="s">
        <v>1206</v>
      </c>
      <c r="C111" s="427"/>
      <c r="D111" s="427">
        <v>160502</v>
      </c>
      <c r="E111" s="427">
        <v>160502</v>
      </c>
      <c r="F111" s="933">
        <f t="shared" si="1"/>
        <v>1</v>
      </c>
    </row>
    <row r="112" spans="1:6" ht="12">
      <c r="A112" s="422">
        <v>1212</v>
      </c>
      <c r="B112" s="411" t="s">
        <v>1207</v>
      </c>
      <c r="C112" s="427">
        <v>400000</v>
      </c>
      <c r="D112" s="427">
        <v>611836</v>
      </c>
      <c r="E112" s="427">
        <v>611836</v>
      </c>
      <c r="F112" s="933">
        <f t="shared" si="1"/>
        <v>1</v>
      </c>
    </row>
    <row r="113" spans="1:6" ht="12.75">
      <c r="A113" s="422"/>
      <c r="B113" s="458" t="s">
        <v>1333</v>
      </c>
      <c r="C113" s="413">
        <f>SUM(C111:C112)</f>
        <v>400000</v>
      </c>
      <c r="D113" s="413">
        <f>SUM(D111:D112)</f>
        <v>772338</v>
      </c>
      <c r="E113" s="413">
        <f>SUM(E111:E112)</f>
        <v>772338</v>
      </c>
      <c r="F113" s="573">
        <f t="shared" si="1"/>
        <v>1</v>
      </c>
    </row>
    <row r="114" spans="1:6" ht="9" customHeight="1">
      <c r="A114" s="422"/>
      <c r="B114" s="459"/>
      <c r="C114" s="418"/>
      <c r="D114" s="418"/>
      <c r="E114" s="418"/>
      <c r="F114" s="572"/>
    </row>
    <row r="115" spans="1:6" ht="12">
      <c r="A115" s="422">
        <v>1221</v>
      </c>
      <c r="B115" s="429" t="s">
        <v>1334</v>
      </c>
      <c r="C115" s="428">
        <v>870000</v>
      </c>
      <c r="D115" s="428">
        <v>870000</v>
      </c>
      <c r="E115" s="428">
        <v>870000</v>
      </c>
      <c r="F115" s="933">
        <f t="shared" si="1"/>
        <v>1</v>
      </c>
    </row>
    <row r="116" spans="1:6" ht="12">
      <c r="A116" s="422">
        <v>1222</v>
      </c>
      <c r="B116" s="423" t="s">
        <v>1203</v>
      </c>
      <c r="C116" s="413"/>
      <c r="D116" s="413"/>
      <c r="E116" s="413"/>
      <c r="F116" s="572"/>
    </row>
    <row r="117" spans="1:6" ht="12.75">
      <c r="A117" s="422"/>
      <c r="B117" s="458" t="s">
        <v>1335</v>
      </c>
      <c r="C117" s="413">
        <f>SUM(C115:C116)</f>
        <v>870000</v>
      </c>
      <c r="D117" s="413">
        <f>SUM(D115:D116)</f>
        <v>870000</v>
      </c>
      <c r="E117" s="413">
        <f>SUM(E115:E116)</f>
        <v>870000</v>
      </c>
      <c r="F117" s="573">
        <f t="shared" si="1"/>
        <v>1</v>
      </c>
    </row>
    <row r="118" spans="1:6" ht="12.75">
      <c r="A118" s="406"/>
      <c r="B118" s="458"/>
      <c r="C118" s="413"/>
      <c r="D118" s="413"/>
      <c r="E118" s="413"/>
      <c r="F118" s="573"/>
    </row>
    <row r="119" spans="1:6" ht="12.75">
      <c r="A119" s="406"/>
      <c r="B119" s="972" t="s">
        <v>241</v>
      </c>
      <c r="C119" s="413"/>
      <c r="D119" s="413"/>
      <c r="E119" s="427">
        <v>297065</v>
      </c>
      <c r="F119" s="573"/>
    </row>
    <row r="120" spans="1:6" ht="9.75" customHeight="1" thickBot="1">
      <c r="A120" s="448"/>
      <c r="B120" s="981"/>
      <c r="C120" s="475"/>
      <c r="D120" s="475"/>
      <c r="E120" s="475"/>
      <c r="F120" s="935"/>
    </row>
    <row r="121" spans="1:6" s="399" customFormat="1" ht="13.5" thickBot="1">
      <c r="A121" s="460"/>
      <c r="B121" s="461" t="s">
        <v>1336</v>
      </c>
      <c r="C121" s="462">
        <f>SUM(C117+C113+C104+C76+C109)</f>
        <v>16425461</v>
      </c>
      <c r="D121" s="462">
        <f>SUM(D117+D113+D104+D76+D109)</f>
        <v>17321401</v>
      </c>
      <c r="E121" s="462">
        <f>SUM(E117+E113+E104+E76+E109+E119)</f>
        <v>16840694</v>
      </c>
      <c r="F121" s="941">
        <f t="shared" si="1"/>
        <v>0.9722477991243318</v>
      </c>
    </row>
    <row r="122" spans="1:6" s="399" customFormat="1" ht="8.25" customHeight="1">
      <c r="A122" s="463"/>
      <c r="B122" s="464"/>
      <c r="C122" s="465"/>
      <c r="D122" s="465"/>
      <c r="E122" s="418"/>
      <c r="F122" s="934"/>
    </row>
    <row r="123" spans="1:6" s="399" customFormat="1" ht="12.75">
      <c r="A123" s="427"/>
      <c r="B123" s="404" t="s">
        <v>1158</v>
      </c>
      <c r="C123" s="413"/>
      <c r="D123" s="413"/>
      <c r="E123" s="413"/>
      <c r="F123" s="572"/>
    </row>
    <row r="124" spans="1:6" s="399" customFormat="1" ht="9" customHeight="1">
      <c r="A124" s="433"/>
      <c r="B124" s="404"/>
      <c r="C124" s="457"/>
      <c r="D124" s="457"/>
      <c r="E124" s="457"/>
      <c r="F124" s="572"/>
    </row>
    <row r="125" spans="1:6" s="399" customFormat="1" ht="12">
      <c r="A125" s="427">
        <v>1230</v>
      </c>
      <c r="B125" s="423" t="s">
        <v>1245</v>
      </c>
      <c r="C125" s="408">
        <f>SUM(C126)</f>
        <v>7700</v>
      </c>
      <c r="D125" s="408">
        <f>SUM(D126:D127)</f>
        <v>11539</v>
      </c>
      <c r="E125" s="408">
        <f>SUM(E126:E127)</f>
        <v>15801</v>
      </c>
      <c r="F125" s="573">
        <f t="shared" si="1"/>
        <v>1.3693560967154865</v>
      </c>
    </row>
    <row r="126" spans="1:6" s="399" customFormat="1" ht="12">
      <c r="A126" s="412">
        <v>1231</v>
      </c>
      <c r="B126" s="416" t="s">
        <v>1337</v>
      </c>
      <c r="C126" s="412">
        <v>7700</v>
      </c>
      <c r="D126" s="412">
        <v>6370</v>
      </c>
      <c r="E126" s="412">
        <v>8570</v>
      </c>
      <c r="F126" s="572">
        <f t="shared" si="1"/>
        <v>1.3453689167974883</v>
      </c>
    </row>
    <row r="127" spans="1:6" s="399" customFormat="1" ht="12">
      <c r="A127" s="412">
        <v>1232</v>
      </c>
      <c r="B127" s="416" t="s">
        <v>230</v>
      </c>
      <c r="C127" s="412"/>
      <c r="D127" s="412">
        <v>5169</v>
      </c>
      <c r="E127" s="412">
        <v>7231</v>
      </c>
      <c r="F127" s="572">
        <f t="shared" si="1"/>
        <v>1.3989166183014123</v>
      </c>
    </row>
    <row r="128" spans="1:6" s="399" customFormat="1" ht="12">
      <c r="A128" s="427">
        <v>1240</v>
      </c>
      <c r="B128" s="423" t="s">
        <v>1338</v>
      </c>
      <c r="C128" s="427">
        <v>4000</v>
      </c>
      <c r="D128" s="427">
        <v>65</v>
      </c>
      <c r="E128" s="427">
        <v>81</v>
      </c>
      <c r="F128" s="933">
        <f t="shared" si="1"/>
        <v>1.2461538461538462</v>
      </c>
    </row>
    <row r="129" spans="1:6" s="399" customFormat="1" ht="12">
      <c r="A129" s="427">
        <v>1250</v>
      </c>
      <c r="B129" s="423" t="s">
        <v>1152</v>
      </c>
      <c r="C129" s="427">
        <v>3500</v>
      </c>
      <c r="D129" s="427">
        <v>5596</v>
      </c>
      <c r="E129" s="427">
        <v>7780</v>
      </c>
      <c r="F129" s="933">
        <f t="shared" si="1"/>
        <v>1.3902787705503932</v>
      </c>
    </row>
    <row r="130" spans="1:6" s="399" customFormat="1" ht="12">
      <c r="A130" s="428">
        <v>1251</v>
      </c>
      <c r="B130" s="429" t="s">
        <v>266</v>
      </c>
      <c r="C130" s="428"/>
      <c r="D130" s="428">
        <v>200</v>
      </c>
      <c r="E130" s="428">
        <v>272</v>
      </c>
      <c r="F130" s="933">
        <f t="shared" si="1"/>
        <v>1.36</v>
      </c>
    </row>
    <row r="131" spans="1:6" s="399" customFormat="1" ht="12">
      <c r="A131" s="428">
        <v>1260</v>
      </c>
      <c r="B131" s="429" t="s">
        <v>1247</v>
      </c>
      <c r="C131" s="428"/>
      <c r="D131" s="428">
        <v>2432</v>
      </c>
      <c r="E131" s="428">
        <v>2978</v>
      </c>
      <c r="F131" s="933">
        <f t="shared" si="1"/>
        <v>1.2245065789473684</v>
      </c>
    </row>
    <row r="132" spans="1:6" s="399" customFormat="1" ht="12.75" thickBot="1">
      <c r="A132" s="435">
        <v>1270</v>
      </c>
      <c r="B132" s="436" t="s">
        <v>1339</v>
      </c>
      <c r="C132" s="435"/>
      <c r="D132" s="435">
        <v>98</v>
      </c>
      <c r="E132" s="435">
        <v>151</v>
      </c>
      <c r="F132" s="937">
        <f t="shared" si="1"/>
        <v>1.5408163265306123</v>
      </c>
    </row>
    <row r="133" spans="1:6" s="399" customFormat="1" ht="12.75" thickBot="1">
      <c r="A133" s="466"/>
      <c r="B133" s="453" t="s">
        <v>1249</v>
      </c>
      <c r="C133" s="467">
        <f>SUM(C125+C128+C129)</f>
        <v>15200</v>
      </c>
      <c r="D133" s="467">
        <f>SUM(D125+D128+D129+D130+D131+D132)</f>
        <v>19930</v>
      </c>
      <c r="E133" s="467">
        <f>SUM(E125+E128+E129+E130+E131+E132)</f>
        <v>27063</v>
      </c>
      <c r="F133" s="938">
        <f t="shared" si="1"/>
        <v>1.3579026593075765</v>
      </c>
    </row>
    <row r="134" spans="1:6" s="399" customFormat="1" ht="9" customHeight="1">
      <c r="A134" s="428"/>
      <c r="B134" s="429"/>
      <c r="C134" s="428"/>
      <c r="D134" s="428"/>
      <c r="E134" s="428"/>
      <c r="F134" s="934"/>
    </row>
    <row r="135" spans="1:6" s="399" customFormat="1" ht="12">
      <c r="A135" s="428">
        <v>1281</v>
      </c>
      <c r="B135" s="429" t="s">
        <v>1318</v>
      </c>
      <c r="C135" s="428"/>
      <c r="D135" s="428"/>
      <c r="E135" s="428"/>
      <c r="F135" s="572"/>
    </row>
    <row r="136" spans="1:6" s="399" customFormat="1" ht="12.75" thickBot="1">
      <c r="A136" s="435">
        <v>1282</v>
      </c>
      <c r="B136" s="436" t="s">
        <v>1319</v>
      </c>
      <c r="C136" s="435">
        <f>SUM('3a.m.'!C94+'4.mell.'!C124+'5.mell. '!C43-C133-C149-C144)</f>
        <v>2142894</v>
      </c>
      <c r="D136" s="435">
        <f>SUM('3a.m.'!D94+'4.mell.'!D124+'5.mell. '!D43-D133-D149)</f>
        <v>2184236</v>
      </c>
      <c r="E136" s="435">
        <v>2130817</v>
      </c>
      <c r="F136" s="937">
        <f t="shared" si="1"/>
        <v>0.9755433936625896</v>
      </c>
    </row>
    <row r="137" spans="1:6" s="399" customFormat="1" ht="12.75" thickBot="1">
      <c r="A137" s="468"/>
      <c r="B137" s="438" t="s">
        <v>1340</v>
      </c>
      <c r="C137" s="439">
        <f>SUM(C136)</f>
        <v>2142894</v>
      </c>
      <c r="D137" s="439">
        <f>SUM(D136)</f>
        <v>2184236</v>
      </c>
      <c r="E137" s="439">
        <f>SUM(E136)</f>
        <v>2130817</v>
      </c>
      <c r="F137" s="941">
        <f t="shared" si="1"/>
        <v>0.9755433936625896</v>
      </c>
    </row>
    <row r="138" spans="1:6" s="399" customFormat="1" ht="9" customHeight="1" thickBot="1">
      <c r="A138" s="469"/>
      <c r="B138" s="470"/>
      <c r="C138" s="469"/>
      <c r="D138" s="469"/>
      <c r="E138" s="469"/>
      <c r="F138" s="936"/>
    </row>
    <row r="139" spans="1:6" s="399" customFormat="1" ht="13.5" thickBot="1">
      <c r="A139" s="469"/>
      <c r="B139" s="471" t="s">
        <v>1254</v>
      </c>
      <c r="C139" s="472">
        <f>SUM(C137+C133)</f>
        <v>2158094</v>
      </c>
      <c r="D139" s="472">
        <f>SUM(D137+D133)</f>
        <v>2204166</v>
      </c>
      <c r="E139" s="472">
        <f>SUM(E137+E133)</f>
        <v>2157880</v>
      </c>
      <c r="F139" s="941">
        <f t="shared" si="1"/>
        <v>0.9790006741778977</v>
      </c>
    </row>
    <row r="140" spans="1:6" s="399" customFormat="1" ht="9" customHeight="1" thickBot="1">
      <c r="A140" s="450"/>
      <c r="B140" s="425"/>
      <c r="C140" s="439"/>
      <c r="D140" s="439"/>
      <c r="E140" s="439"/>
      <c r="F140" s="936"/>
    </row>
    <row r="141" spans="1:6" s="399" customFormat="1" ht="13.5" thickBot="1">
      <c r="A141" s="450"/>
      <c r="B141" s="454" t="s">
        <v>1332</v>
      </c>
      <c r="C141" s="439"/>
      <c r="D141" s="439"/>
      <c r="E141" s="439"/>
      <c r="F141" s="936"/>
    </row>
    <row r="142" spans="1:6" s="399" customFormat="1" ht="9" customHeight="1">
      <c r="A142" s="455"/>
      <c r="B142" s="499"/>
      <c r="C142" s="465"/>
      <c r="D142" s="465"/>
      <c r="E142" s="418"/>
      <c r="F142" s="934"/>
    </row>
    <row r="143" spans="1:6" s="399" customFormat="1" ht="12">
      <c r="A143" s="431"/>
      <c r="B143" s="498" t="s">
        <v>1356</v>
      </c>
      <c r="C143" s="457"/>
      <c r="D143" s="457"/>
      <c r="E143" s="457"/>
      <c r="F143" s="572"/>
    </row>
    <row r="144" spans="1:6" s="399" customFormat="1" ht="12.75" thickBot="1">
      <c r="A144" s="448">
        <v>1291</v>
      </c>
      <c r="B144" s="449" t="s">
        <v>1341</v>
      </c>
      <c r="C144" s="435">
        <v>25000</v>
      </c>
      <c r="D144" s="435"/>
      <c r="E144" s="435"/>
      <c r="F144" s="935"/>
    </row>
    <row r="145" spans="1:6" s="399" customFormat="1" ht="12.75" thickBot="1">
      <c r="A145" s="473"/>
      <c r="B145" s="453" t="s">
        <v>1087</v>
      </c>
      <c r="C145" s="467">
        <f>SUM(C144)</f>
        <v>25000</v>
      </c>
      <c r="D145" s="467">
        <f>SUM(D144)</f>
        <v>0</v>
      </c>
      <c r="E145" s="467"/>
      <c r="F145" s="945"/>
    </row>
    <row r="146" spans="1:6" s="399" customFormat="1" ht="8.25" customHeight="1">
      <c r="A146" s="996"/>
      <c r="B146" s="602"/>
      <c r="C146" s="997"/>
      <c r="D146" s="997"/>
      <c r="E146" s="997"/>
      <c r="F146" s="998"/>
    </row>
    <row r="147" spans="1:6" s="399" customFormat="1" ht="12">
      <c r="A147" s="406">
        <v>1292</v>
      </c>
      <c r="B147" s="411" t="s">
        <v>1206</v>
      </c>
      <c r="C147" s="413"/>
      <c r="D147" s="427">
        <v>65854</v>
      </c>
      <c r="E147" s="427">
        <v>65854</v>
      </c>
      <c r="F147" s="933">
        <f aca="true" t="shared" si="2" ref="F147:F205">SUM(E147/D147)</f>
        <v>1</v>
      </c>
    </row>
    <row r="148" spans="1:6" s="399" customFormat="1" ht="12">
      <c r="A148" s="422">
        <v>1293</v>
      </c>
      <c r="B148" s="411" t="s">
        <v>1207</v>
      </c>
      <c r="C148" s="413"/>
      <c r="D148" s="427">
        <v>19490</v>
      </c>
      <c r="E148" s="427">
        <v>19490</v>
      </c>
      <c r="F148" s="933">
        <f t="shared" si="2"/>
        <v>1</v>
      </c>
    </row>
    <row r="149" spans="1:6" s="399" customFormat="1" ht="12.75">
      <c r="A149" s="422"/>
      <c r="B149" s="458" t="s">
        <v>219</v>
      </c>
      <c r="C149" s="413"/>
      <c r="D149" s="413">
        <f>SUM(D147:D148)</f>
        <v>85344</v>
      </c>
      <c r="E149" s="413">
        <f>SUM(E147:E148)</f>
        <v>85344</v>
      </c>
      <c r="F149" s="573">
        <f t="shared" si="2"/>
        <v>1</v>
      </c>
    </row>
    <row r="150" spans="1:6" s="399" customFormat="1" ht="6.75" customHeight="1">
      <c r="A150" s="666"/>
      <c r="B150" s="667"/>
      <c r="C150" s="668"/>
      <c r="D150" s="668"/>
      <c r="E150" s="668"/>
      <c r="F150" s="572"/>
    </row>
    <row r="151" spans="1:6" s="399" customFormat="1" ht="12.75">
      <c r="A151" s="427">
        <v>1295</v>
      </c>
      <c r="B151" s="972" t="s">
        <v>241</v>
      </c>
      <c r="C151" s="427"/>
      <c r="D151" s="427"/>
      <c r="E151" s="427">
        <v>9</v>
      </c>
      <c r="F151" s="572"/>
    </row>
    <row r="152" spans="1:6" s="399" customFormat="1" ht="9" customHeight="1" thickBot="1">
      <c r="A152" s="431"/>
      <c r="B152" s="456"/>
      <c r="C152" s="467"/>
      <c r="D152" s="475"/>
      <c r="E152" s="475"/>
      <c r="F152" s="935"/>
    </row>
    <row r="153" spans="1:6" s="399" customFormat="1" ht="12.75">
      <c r="A153" s="669"/>
      <c r="B153" s="651" t="s">
        <v>1342</v>
      </c>
      <c r="C153" s="479">
        <f>SUM(C141+C139+C145)</f>
        <v>2183094</v>
      </c>
      <c r="D153" s="479">
        <f>SUM(D141+D139+D145+D149)</f>
        <v>2289510</v>
      </c>
      <c r="E153" s="479">
        <f>SUM(E141+E139+E145+E149+E151)</f>
        <v>2243233</v>
      </c>
      <c r="F153" s="582">
        <f t="shared" si="2"/>
        <v>0.9797873780852672</v>
      </c>
    </row>
    <row r="154" spans="1:6" s="399" customFormat="1" ht="9" customHeight="1">
      <c r="A154" s="427"/>
      <c r="B154" s="423"/>
      <c r="C154" s="413"/>
      <c r="D154" s="413"/>
      <c r="E154" s="413"/>
      <c r="F154" s="572"/>
    </row>
    <row r="155" spans="1:6" s="399" customFormat="1" ht="12.75">
      <c r="A155" s="427"/>
      <c r="B155" s="404" t="s">
        <v>1172</v>
      </c>
      <c r="C155" s="413"/>
      <c r="D155" s="413"/>
      <c r="E155" s="413"/>
      <c r="F155" s="572"/>
    </row>
    <row r="156" spans="1:6" s="399" customFormat="1" ht="9" customHeight="1">
      <c r="A156" s="427"/>
      <c r="B156" s="404"/>
      <c r="C156" s="413"/>
      <c r="D156" s="413"/>
      <c r="E156" s="413"/>
      <c r="F156" s="572"/>
    </row>
    <row r="157" spans="1:6" s="399" customFormat="1" ht="12.75">
      <c r="A157" s="427">
        <v>1301</v>
      </c>
      <c r="B157" s="662" t="s">
        <v>1343</v>
      </c>
      <c r="C157" s="413"/>
      <c r="D157" s="427">
        <v>70</v>
      </c>
      <c r="E157" s="427">
        <f>SUM('3b.m.'!E15)</f>
        <v>54</v>
      </c>
      <c r="F157" s="933">
        <f t="shared" si="2"/>
        <v>0.7714285714285715</v>
      </c>
    </row>
    <row r="158" spans="1:6" s="399" customFormat="1" ht="12.75" thickBot="1">
      <c r="A158" s="466">
        <v>1302</v>
      </c>
      <c r="B158" s="429" t="s">
        <v>266</v>
      </c>
      <c r="C158" s="467"/>
      <c r="D158" s="466">
        <v>16</v>
      </c>
      <c r="E158" s="427">
        <f>SUM('3b.m.'!E16)</f>
        <v>16</v>
      </c>
      <c r="F158" s="937">
        <f t="shared" si="2"/>
        <v>1</v>
      </c>
    </row>
    <row r="159" spans="1:6" s="399" customFormat="1" ht="12.75" thickBot="1">
      <c r="A159" s="468"/>
      <c r="B159" s="425" t="s">
        <v>1249</v>
      </c>
      <c r="C159" s="439"/>
      <c r="D159" s="439">
        <f>SUM(D157:D158)</f>
        <v>86</v>
      </c>
      <c r="E159" s="439">
        <f>SUM(E157:E158)</f>
        <v>70</v>
      </c>
      <c r="F159" s="938">
        <f t="shared" si="2"/>
        <v>0.813953488372093</v>
      </c>
    </row>
    <row r="160" spans="1:6" s="399" customFormat="1" ht="9" customHeight="1">
      <c r="A160" s="463"/>
      <c r="B160" s="651"/>
      <c r="C160" s="465"/>
      <c r="D160" s="465"/>
      <c r="E160" s="418"/>
      <c r="F160" s="934"/>
    </row>
    <row r="161" spans="1:6" s="399" customFormat="1" ht="13.5" thickBot="1">
      <c r="A161" s="435">
        <v>1311</v>
      </c>
      <c r="B161" s="474" t="s">
        <v>1319</v>
      </c>
      <c r="C161" s="435">
        <v>226527</v>
      </c>
      <c r="D161" s="435">
        <f>SUM('3b.m.'!D14)</f>
        <v>222257</v>
      </c>
      <c r="E161" s="435">
        <f>SUM('3b.m.'!E14)</f>
        <v>220932</v>
      </c>
      <c r="F161" s="937">
        <f t="shared" si="2"/>
        <v>0.9940384329852379</v>
      </c>
    </row>
    <row r="162" spans="1:6" s="399" customFormat="1" ht="13.5" thickBot="1">
      <c r="A162" s="468"/>
      <c r="B162" s="454" t="s">
        <v>1320</v>
      </c>
      <c r="C162" s="439">
        <f aca="true" t="shared" si="3" ref="C162:E163">SUM(C161)</f>
        <v>226527</v>
      </c>
      <c r="D162" s="439">
        <f t="shared" si="3"/>
        <v>222257</v>
      </c>
      <c r="E162" s="439">
        <f t="shared" si="3"/>
        <v>220932</v>
      </c>
      <c r="F162" s="938">
        <f t="shared" si="2"/>
        <v>0.9940384329852379</v>
      </c>
    </row>
    <row r="163" spans="1:6" s="399" customFormat="1" ht="13.5" thickBot="1">
      <c r="A163" s="468"/>
      <c r="B163" s="454" t="s">
        <v>1254</v>
      </c>
      <c r="C163" s="439">
        <f t="shared" si="3"/>
        <v>226527</v>
      </c>
      <c r="D163" s="439">
        <f t="shared" si="3"/>
        <v>222257</v>
      </c>
      <c r="E163" s="439">
        <f t="shared" si="3"/>
        <v>220932</v>
      </c>
      <c r="F163" s="938">
        <f t="shared" si="2"/>
        <v>0.9940384329852379</v>
      </c>
    </row>
    <row r="164" spans="1:6" s="399" customFormat="1" ht="10.5" customHeight="1">
      <c r="A164" s="463"/>
      <c r="B164" s="499"/>
      <c r="C164" s="465"/>
      <c r="D164" s="465"/>
      <c r="E164" s="418"/>
      <c r="F164" s="934"/>
    </row>
    <row r="165" spans="1:6" s="399" customFormat="1" ht="12">
      <c r="A165" s="422">
        <v>1312</v>
      </c>
      <c r="B165" s="434" t="s">
        <v>1206</v>
      </c>
      <c r="C165" s="413"/>
      <c r="D165" s="427">
        <v>3050</v>
      </c>
      <c r="E165" s="427">
        <v>3050</v>
      </c>
      <c r="F165" s="933">
        <f t="shared" si="2"/>
        <v>1</v>
      </c>
    </row>
    <row r="166" spans="1:6" s="399" customFormat="1" ht="12">
      <c r="A166" s="422">
        <v>1313</v>
      </c>
      <c r="B166" s="411" t="s">
        <v>1207</v>
      </c>
      <c r="C166" s="413"/>
      <c r="D166" s="413"/>
      <c r="E166" s="413"/>
      <c r="F166" s="572"/>
    </row>
    <row r="167" spans="1:6" s="399" customFormat="1" ht="12.75">
      <c r="A167" s="422"/>
      <c r="B167" s="458" t="s">
        <v>219</v>
      </c>
      <c r="C167" s="413"/>
      <c r="D167" s="413">
        <f>SUM(D165:D166)</f>
        <v>3050</v>
      </c>
      <c r="E167" s="413">
        <f>SUM(E165:E166)</f>
        <v>3050</v>
      </c>
      <c r="F167" s="933">
        <f t="shared" si="2"/>
        <v>1</v>
      </c>
    </row>
    <row r="168" spans="1:6" s="399" customFormat="1" ht="9" customHeight="1" thickBot="1">
      <c r="A168" s="428"/>
      <c r="B168" s="476"/>
      <c r="C168" s="475"/>
      <c r="D168" s="475"/>
      <c r="E168" s="475"/>
      <c r="F168" s="935"/>
    </row>
    <row r="169" spans="1:6" s="399" customFormat="1" ht="13.5" thickBot="1">
      <c r="A169" s="460"/>
      <c r="B169" s="461" t="s">
        <v>1344</v>
      </c>
      <c r="C169" s="462">
        <f>SUM(C163)</f>
        <v>226527</v>
      </c>
      <c r="D169" s="462">
        <f>SUM(D163+D167+F159)</f>
        <v>225307.81395348837</v>
      </c>
      <c r="E169" s="462">
        <f>SUM(E163+E167+E159)</f>
        <v>224052</v>
      </c>
      <c r="F169" s="941">
        <f t="shared" si="2"/>
        <v>0.9944262299143002</v>
      </c>
    </row>
    <row r="170" spans="1:6" s="480" customFormat="1" ht="9" customHeight="1">
      <c r="A170" s="477"/>
      <c r="B170" s="478"/>
      <c r="C170" s="479"/>
      <c r="D170" s="479"/>
      <c r="E170" s="671"/>
      <c r="F170" s="934"/>
    </row>
    <row r="171" spans="1:6" s="480" customFormat="1" ht="12.75">
      <c r="A171" s="481"/>
      <c r="B171" s="404" t="s">
        <v>1160</v>
      </c>
      <c r="C171" s="482"/>
      <c r="D171" s="482"/>
      <c r="E171" s="482"/>
      <c r="F171" s="572"/>
    </row>
    <row r="172" spans="1:6" s="480" customFormat="1" ht="9" customHeight="1">
      <c r="A172" s="481"/>
      <c r="B172" s="404"/>
      <c r="C172" s="482"/>
      <c r="D172" s="482"/>
      <c r="E172" s="482"/>
      <c r="F172" s="572"/>
    </row>
    <row r="173" spans="1:6" s="399" customFormat="1" ht="12">
      <c r="A173" s="427">
        <v>1330</v>
      </c>
      <c r="B173" s="423" t="s">
        <v>1245</v>
      </c>
      <c r="C173" s="483">
        <f>SUM('2.mell'!C1028)</f>
        <v>62720</v>
      </c>
      <c r="D173" s="483">
        <f>SUM('2.mell'!D1028)</f>
        <v>61238</v>
      </c>
      <c r="E173" s="483">
        <f>SUM('2.mell'!E1028)</f>
        <v>61852</v>
      </c>
      <c r="F173" s="933">
        <f t="shared" si="2"/>
        <v>1.0100264541624482</v>
      </c>
    </row>
    <row r="174" spans="1:6" s="399" customFormat="1" ht="12">
      <c r="A174" s="427">
        <v>1335</v>
      </c>
      <c r="B174" s="423" t="s">
        <v>1152</v>
      </c>
      <c r="C174" s="483">
        <f>SUM('2.mell'!C1029)</f>
        <v>36108</v>
      </c>
      <c r="D174" s="483">
        <f>SUM('2.mell'!D1029)</f>
        <v>40387</v>
      </c>
      <c r="E174" s="483">
        <f>SUM('2.mell'!E1029)</f>
        <v>40281</v>
      </c>
      <c r="F174" s="933">
        <f t="shared" si="2"/>
        <v>0.9973753930720282</v>
      </c>
    </row>
    <row r="175" spans="1:6" s="399" customFormat="1" ht="12">
      <c r="A175" s="427">
        <v>1340</v>
      </c>
      <c r="B175" s="423" t="s">
        <v>1246</v>
      </c>
      <c r="C175" s="483">
        <f>SUM('2.mell'!C1030)</f>
        <v>35332</v>
      </c>
      <c r="D175" s="483">
        <f>SUM('2.mell'!D1030)</f>
        <v>81352</v>
      </c>
      <c r="E175" s="483">
        <f>SUM('2.mell'!E1030)</f>
        <v>81222</v>
      </c>
      <c r="F175" s="933">
        <f t="shared" si="2"/>
        <v>0.9984020060969614</v>
      </c>
    </row>
    <row r="176" spans="1:6" s="399" customFormat="1" ht="12">
      <c r="A176" s="427">
        <v>1350</v>
      </c>
      <c r="B176" s="423" t="s">
        <v>1345</v>
      </c>
      <c r="C176" s="483">
        <f>SUM('2.mell'!C1031)</f>
        <v>262093</v>
      </c>
      <c r="D176" s="483">
        <f>SUM('2.mell'!D1031)</f>
        <v>260961</v>
      </c>
      <c r="E176" s="483">
        <f>SUM('2.mell'!E1031)</f>
        <v>257973</v>
      </c>
      <c r="F176" s="933">
        <f t="shared" si="2"/>
        <v>0.9885500132203663</v>
      </c>
    </row>
    <row r="177" spans="1:6" s="399" customFormat="1" ht="12">
      <c r="A177" s="427">
        <v>1370</v>
      </c>
      <c r="B177" s="423" t="s">
        <v>1247</v>
      </c>
      <c r="C177" s="483">
        <f>SUM('2.mell'!C1032)</f>
        <v>76523</v>
      </c>
      <c r="D177" s="483">
        <f>SUM('2.mell'!D1032)</f>
        <v>89044</v>
      </c>
      <c r="E177" s="483">
        <f>SUM('2.mell'!E1032)</f>
        <v>96873</v>
      </c>
      <c r="F177" s="933">
        <f t="shared" si="2"/>
        <v>1.0879228246709491</v>
      </c>
    </row>
    <row r="178" spans="1:6" s="399" customFormat="1" ht="12.75" thickBot="1">
      <c r="A178" s="435">
        <v>1380</v>
      </c>
      <c r="B178" s="436" t="s">
        <v>1248</v>
      </c>
      <c r="C178" s="483">
        <f>SUM('2.mell'!C1033)</f>
        <v>0</v>
      </c>
      <c r="D178" s="483">
        <f>SUM('2.mell'!D1033)</f>
        <v>0</v>
      </c>
      <c r="E178" s="483">
        <f>SUM('2.mell'!E1033)</f>
        <v>25</v>
      </c>
      <c r="F178" s="937"/>
    </row>
    <row r="179" spans="1:6" s="399" customFormat="1" ht="12.75" thickBot="1">
      <c r="A179" s="452"/>
      <c r="B179" s="453" t="s">
        <v>1035</v>
      </c>
      <c r="C179" s="484">
        <f>SUM(C173:C178)</f>
        <v>472776</v>
      </c>
      <c r="D179" s="484">
        <f>SUM(D173:D178)</f>
        <v>532982</v>
      </c>
      <c r="E179" s="484">
        <f>SUM(E173:E178)</f>
        <v>538226</v>
      </c>
      <c r="F179" s="938">
        <f t="shared" si="2"/>
        <v>1.0098389814290163</v>
      </c>
    </row>
    <row r="180" spans="1:6" s="399" customFormat="1" ht="9" customHeight="1">
      <c r="A180" s="485"/>
      <c r="B180" s="447"/>
      <c r="C180" s="482"/>
      <c r="D180" s="482"/>
      <c r="E180" s="482"/>
      <c r="F180" s="934"/>
    </row>
    <row r="181" spans="1:6" s="399" customFormat="1" ht="12">
      <c r="A181" s="427">
        <v>1411</v>
      </c>
      <c r="B181" s="407" t="s">
        <v>1319</v>
      </c>
      <c r="C181" s="483">
        <f>SUM('2.mell'!C1035)</f>
        <v>4515830</v>
      </c>
      <c r="D181" s="483">
        <f>SUM('2.mell'!D1035)</f>
        <v>4779719</v>
      </c>
      <c r="E181" s="483">
        <f>SUM('2.mell'!E1035)</f>
        <v>4645196</v>
      </c>
      <c r="F181" s="933">
        <f t="shared" si="2"/>
        <v>0.9718554584484987</v>
      </c>
    </row>
    <row r="182" spans="1:6" s="399" customFormat="1" ht="12">
      <c r="A182" s="427">
        <v>1412</v>
      </c>
      <c r="B182" s="486" t="s">
        <v>1250</v>
      </c>
      <c r="C182" s="483">
        <f>SUM('2.mell'!C1036)</f>
        <v>229992</v>
      </c>
      <c r="D182" s="483">
        <f>SUM('2.mell'!D1036)</f>
        <v>229992</v>
      </c>
      <c r="E182" s="483">
        <f>SUM('2.mell'!E1036)</f>
        <v>251758</v>
      </c>
      <c r="F182" s="933">
        <f t="shared" si="2"/>
        <v>1.0946380743678041</v>
      </c>
    </row>
    <row r="183" spans="1:6" s="399" customFormat="1" ht="12.75" thickBot="1">
      <c r="A183" s="435">
        <v>1413</v>
      </c>
      <c r="B183" s="487" t="s">
        <v>1251</v>
      </c>
      <c r="C183" s="483">
        <f>SUM('2.mell'!C1037)</f>
        <v>47100</v>
      </c>
      <c r="D183" s="483">
        <f>SUM('2.mell'!D1037)</f>
        <v>47100</v>
      </c>
      <c r="E183" s="483">
        <f>SUM('2.mell'!E1037)</f>
        <v>47100</v>
      </c>
      <c r="F183" s="937">
        <f t="shared" si="2"/>
        <v>1</v>
      </c>
    </row>
    <row r="184" spans="1:6" s="399" customFormat="1" ht="12.75" thickBot="1">
      <c r="A184" s="452"/>
      <c r="B184" s="425" t="s">
        <v>1346</v>
      </c>
      <c r="C184" s="484">
        <f>SUM(C181:C183)</f>
        <v>4792922</v>
      </c>
      <c r="D184" s="484">
        <f>SUM(D181:D183)</f>
        <v>5056811</v>
      </c>
      <c r="E184" s="484">
        <f>SUM(E181:E183)</f>
        <v>4944054</v>
      </c>
      <c r="F184" s="938">
        <f t="shared" si="2"/>
        <v>0.977701954848619</v>
      </c>
    </row>
    <row r="185" spans="1:6" s="399" customFormat="1" ht="9" customHeight="1" thickBot="1">
      <c r="A185" s="426"/>
      <c r="B185" s="425"/>
      <c r="C185" s="484"/>
      <c r="D185" s="484"/>
      <c r="E185" s="484"/>
      <c r="F185" s="936"/>
    </row>
    <row r="186" spans="1:6" s="399" customFormat="1" ht="12.75" thickBot="1">
      <c r="A186" s="426">
        <v>1420</v>
      </c>
      <c r="B186" s="425" t="s">
        <v>1347</v>
      </c>
      <c r="C186" s="484"/>
      <c r="D186" s="484">
        <f>SUM('2.mell'!D1039)</f>
        <v>31878</v>
      </c>
      <c r="E186" s="484">
        <f>SUM('2.mell'!E1039)</f>
        <v>33459</v>
      </c>
      <c r="F186" s="938">
        <f t="shared" si="2"/>
        <v>1.049595332204028</v>
      </c>
    </row>
    <row r="187" spans="1:6" s="399" customFormat="1" ht="9" customHeight="1" thickBot="1">
      <c r="A187" s="426"/>
      <c r="B187" s="425"/>
      <c r="C187" s="484"/>
      <c r="D187" s="484"/>
      <c r="E187" s="484"/>
      <c r="F187" s="936"/>
    </row>
    <row r="188" spans="1:6" s="399" customFormat="1" ht="12.75" customHeight="1" thickBot="1">
      <c r="A188" s="426">
        <v>1421</v>
      </c>
      <c r="B188" s="233" t="s">
        <v>237</v>
      </c>
      <c r="C188" s="484"/>
      <c r="D188" s="484">
        <f>SUM('2.mell'!D1040)</f>
        <v>8136</v>
      </c>
      <c r="E188" s="484">
        <f>SUM('2.mell'!E1040)</f>
        <v>18401</v>
      </c>
      <c r="F188" s="582">
        <f t="shared" si="2"/>
        <v>2.261676499508358</v>
      </c>
    </row>
    <row r="189" spans="1:6" s="399" customFormat="1" ht="9" customHeight="1" thickBot="1">
      <c r="A189" s="426"/>
      <c r="B189" s="425"/>
      <c r="C189" s="484"/>
      <c r="D189" s="484"/>
      <c r="E189" s="484"/>
      <c r="F189" s="935"/>
    </row>
    <row r="190" spans="1:6" s="399" customFormat="1" ht="12.75" thickBot="1">
      <c r="A190" s="426">
        <v>1422</v>
      </c>
      <c r="B190" s="425" t="s">
        <v>1130</v>
      </c>
      <c r="C190" s="484"/>
      <c r="D190" s="484"/>
      <c r="E190" s="484">
        <f>SUM('2.mell'!E1041)</f>
        <v>51373</v>
      </c>
      <c r="F190" s="936"/>
    </row>
    <row r="191" spans="1:6" s="399" customFormat="1" ht="9" customHeight="1" thickBot="1">
      <c r="A191" s="426"/>
      <c r="B191" s="425"/>
      <c r="C191" s="484"/>
      <c r="D191" s="484"/>
      <c r="E191" s="484"/>
      <c r="F191" s="936"/>
    </row>
    <row r="192" spans="1:6" s="399" customFormat="1" ht="13.5" thickBot="1">
      <c r="A192" s="426">
        <v>1423</v>
      </c>
      <c r="B192" s="461" t="s">
        <v>1254</v>
      </c>
      <c r="C192" s="484">
        <f>SUM(C184+C186+C179)</f>
        <v>5265698</v>
      </c>
      <c r="D192" s="484">
        <f>SUM(D184+D186+D179+D188)</f>
        <v>5629807</v>
      </c>
      <c r="E192" s="484">
        <f>SUM(E184+E186+E179+E188+E190)</f>
        <v>5585513</v>
      </c>
      <c r="F192" s="938">
        <f t="shared" si="2"/>
        <v>0.9921322347284729</v>
      </c>
    </row>
    <row r="193" spans="1:6" s="399" customFormat="1" ht="9" customHeight="1" thickBot="1">
      <c r="A193" s="426"/>
      <c r="B193" s="425"/>
      <c r="C193" s="484"/>
      <c r="D193" s="484"/>
      <c r="E193" s="484"/>
      <c r="F193" s="936"/>
    </row>
    <row r="194" spans="1:6" s="399" customFormat="1" ht="12" customHeight="1">
      <c r="A194" s="463">
        <v>1424</v>
      </c>
      <c r="B194" s="629" t="s">
        <v>264</v>
      </c>
      <c r="C194" s="632"/>
      <c r="D194" s="634">
        <f>SUM('2.mell'!D1043)</f>
        <v>2911</v>
      </c>
      <c r="E194" s="634">
        <f>SUM('2.mell'!E1043)</f>
        <v>0</v>
      </c>
      <c r="F194" s="934">
        <f t="shared" si="2"/>
        <v>0</v>
      </c>
    </row>
    <row r="195" spans="1:6" s="399" customFormat="1" ht="12" customHeight="1" thickBot="1">
      <c r="A195" s="466">
        <v>1425</v>
      </c>
      <c r="B195" s="633" t="s">
        <v>263</v>
      </c>
      <c r="C195" s="490"/>
      <c r="D195" s="635">
        <f>SUM('2.mell'!D1044)</f>
        <v>5348</v>
      </c>
      <c r="E195" s="635">
        <f>SUM('2.mell'!E1044)</f>
        <v>5348</v>
      </c>
      <c r="F195" s="937">
        <f t="shared" si="2"/>
        <v>1</v>
      </c>
    </row>
    <row r="196" spans="1:6" s="399" customFormat="1" ht="9" customHeight="1" thickBot="1">
      <c r="A196" s="426"/>
      <c r="B196" s="425"/>
      <c r="C196" s="484"/>
      <c r="D196" s="484"/>
      <c r="E196" s="484"/>
      <c r="F196" s="936"/>
    </row>
    <row r="197" spans="1:6" s="399" customFormat="1" ht="12.75" thickBot="1">
      <c r="A197" s="426">
        <v>1426</v>
      </c>
      <c r="B197" s="425" t="s">
        <v>1267</v>
      </c>
      <c r="C197" s="484"/>
      <c r="D197" s="484">
        <f>SUM('2.mell'!D1045)</f>
        <v>8259</v>
      </c>
      <c r="E197" s="484">
        <f>SUM('2.mell'!E1045)</f>
        <v>5348</v>
      </c>
      <c r="F197" s="938">
        <f t="shared" si="2"/>
        <v>0.6475360213100859</v>
      </c>
    </row>
    <row r="198" spans="1:6" s="399" customFormat="1" ht="9" customHeight="1">
      <c r="A198" s="603"/>
      <c r="B198" s="602"/>
      <c r="C198" s="604"/>
      <c r="D198" s="604"/>
      <c r="E198" s="604"/>
      <c r="F198" s="934"/>
    </row>
    <row r="199" spans="1:6" s="399" customFormat="1" ht="12">
      <c r="A199" s="427">
        <v>1441</v>
      </c>
      <c r="B199" s="411" t="s">
        <v>1206</v>
      </c>
      <c r="C199" s="605"/>
      <c r="D199" s="483">
        <f>SUM('2.mell'!D1046)</f>
        <v>157925</v>
      </c>
      <c r="E199" s="483">
        <f>SUM('2.mell'!E1046)</f>
        <v>157925</v>
      </c>
      <c r="F199" s="933">
        <f t="shared" si="2"/>
        <v>1</v>
      </c>
    </row>
    <row r="200" spans="1:6" s="399" customFormat="1" ht="12.75" thickBot="1">
      <c r="A200" s="466">
        <v>1442</v>
      </c>
      <c r="B200" s="489" t="s">
        <v>1207</v>
      </c>
      <c r="C200" s="490"/>
      <c r="D200" s="592">
        <f>SUM('2.mell'!D1047)</f>
        <v>977</v>
      </c>
      <c r="E200" s="592">
        <f>SUM('2.mell'!E1047)</f>
        <v>977</v>
      </c>
      <c r="F200" s="937">
        <f t="shared" si="2"/>
        <v>1</v>
      </c>
    </row>
    <row r="201" spans="1:6" s="399" customFormat="1" ht="13.5" thickBot="1">
      <c r="A201" s="426"/>
      <c r="B201" s="454" t="s">
        <v>15</v>
      </c>
      <c r="C201" s="490"/>
      <c r="D201" s="490">
        <f>SUM(D199:D200)</f>
        <v>158902</v>
      </c>
      <c r="E201" s="490">
        <f>SUM(E199:E200)</f>
        <v>158902</v>
      </c>
      <c r="F201" s="938">
        <f t="shared" si="2"/>
        <v>1</v>
      </c>
    </row>
    <row r="202" spans="1:6" s="399" customFormat="1" ht="9.75" customHeight="1" thickBot="1">
      <c r="A202" s="426"/>
      <c r="B202" s="620"/>
      <c r="C202" s="490"/>
      <c r="D202" s="490"/>
      <c r="E202" s="490"/>
      <c r="F202" s="936"/>
    </row>
    <row r="203" spans="1:6" s="399" customFormat="1" ht="12.75" thickBot="1">
      <c r="A203" s="426"/>
      <c r="B203" s="614" t="s">
        <v>235</v>
      </c>
      <c r="C203" s="490"/>
      <c r="D203" s="490"/>
      <c r="E203" s="490">
        <f>SUM('2.mell'!E1049)</f>
        <v>1489</v>
      </c>
      <c r="F203" s="936"/>
    </row>
    <row r="204" spans="1:6" s="399" customFormat="1" ht="9" customHeight="1">
      <c r="A204" s="488"/>
      <c r="B204" s="650"/>
      <c r="C204" s="632"/>
      <c r="D204" s="632"/>
      <c r="E204" s="632"/>
      <c r="F204" s="934"/>
    </row>
    <row r="205" spans="1:6" s="480" customFormat="1" ht="13.5" thickBot="1">
      <c r="A205" s="643"/>
      <c r="B205" s="644" t="s">
        <v>1348</v>
      </c>
      <c r="C205" s="645">
        <f>SUM(C192+C197+C201)</f>
        <v>5265698</v>
      </c>
      <c r="D205" s="645">
        <f>SUM(D192+D197+D201)</f>
        <v>5796968</v>
      </c>
      <c r="E205" s="645">
        <f>SUM(E192+E197+E201+E203)</f>
        <v>5751252</v>
      </c>
      <c r="F205" s="940">
        <f t="shared" si="2"/>
        <v>0.9921138084598707</v>
      </c>
    </row>
    <row r="206" spans="1:6" s="480" customFormat="1" ht="9" customHeight="1">
      <c r="A206" s="648"/>
      <c r="B206" s="606"/>
      <c r="C206" s="649"/>
      <c r="D206" s="649"/>
      <c r="E206" s="672"/>
      <c r="F206" s="934"/>
    </row>
    <row r="207" spans="1:6" s="480" customFormat="1" ht="12.75">
      <c r="A207" s="481"/>
      <c r="B207" s="404" t="s">
        <v>1349</v>
      </c>
      <c r="C207" s="408"/>
      <c r="D207" s="408"/>
      <c r="E207" s="408"/>
      <c r="F207" s="572"/>
    </row>
    <row r="208" spans="1:6" ht="6.75" customHeight="1">
      <c r="A208" s="406"/>
      <c r="B208" s="407"/>
      <c r="C208" s="408"/>
      <c r="D208" s="408"/>
      <c r="E208" s="408"/>
      <c r="F208" s="572"/>
    </row>
    <row r="209" spans="1:6" s="399" customFormat="1" ht="12">
      <c r="A209" s="427">
        <v>1511</v>
      </c>
      <c r="B209" s="423" t="s">
        <v>1245</v>
      </c>
      <c r="C209" s="427">
        <f>SUM(C173+C125+C10)</f>
        <v>832116</v>
      </c>
      <c r="D209" s="427">
        <f>SUM(D173+D125+D10)</f>
        <v>761056</v>
      </c>
      <c r="E209" s="427">
        <f>SUM(E173+E125+E10)</f>
        <v>755994</v>
      </c>
      <c r="F209" s="933">
        <f aca="true" t="shared" si="4" ref="F209:F253">SUM(E209/D209)</f>
        <v>0.9933487154690325</v>
      </c>
    </row>
    <row r="210" spans="1:6" s="399" customFormat="1" ht="12">
      <c r="A210" s="427">
        <v>1512</v>
      </c>
      <c r="B210" s="423" t="s">
        <v>1152</v>
      </c>
      <c r="C210" s="427">
        <f>SUM(C174+C129+C17)</f>
        <v>261817</v>
      </c>
      <c r="D210" s="427">
        <f>SUM(D174+D129+D17)</f>
        <v>279476</v>
      </c>
      <c r="E210" s="427">
        <f>SUM(E174+E129+E17)</f>
        <v>241496</v>
      </c>
      <c r="F210" s="933">
        <f t="shared" si="4"/>
        <v>0.8641028209935737</v>
      </c>
    </row>
    <row r="211" spans="1:6" s="399" customFormat="1" ht="12">
      <c r="A211" s="427">
        <v>1513</v>
      </c>
      <c r="B211" s="423" t="s">
        <v>1246</v>
      </c>
      <c r="C211" s="427">
        <f>SUM(C175+C128+C21)</f>
        <v>54332</v>
      </c>
      <c r="D211" s="427">
        <f>SUM(D175+D128+D21)</f>
        <v>158407</v>
      </c>
      <c r="E211" s="427">
        <f>SUM(E175+E128+E21)</f>
        <v>153222</v>
      </c>
      <c r="F211" s="933">
        <f t="shared" si="4"/>
        <v>0.9672678606374718</v>
      </c>
    </row>
    <row r="212" spans="1:6" s="399" customFormat="1" ht="12">
      <c r="A212" s="427">
        <v>1514</v>
      </c>
      <c r="B212" s="423" t="s">
        <v>266</v>
      </c>
      <c r="C212" s="427">
        <f>SUM(C176)</f>
        <v>262093</v>
      </c>
      <c r="D212" s="427">
        <f>SUM(D176+D130+D158)</f>
        <v>261177</v>
      </c>
      <c r="E212" s="427">
        <f>SUM(E176+E130+E158)</f>
        <v>258261</v>
      </c>
      <c r="F212" s="933">
        <f t="shared" si="4"/>
        <v>0.988835157766572</v>
      </c>
    </row>
    <row r="213" spans="1:6" s="399" customFormat="1" ht="12">
      <c r="A213" s="427">
        <v>1516</v>
      </c>
      <c r="B213" s="423" t="s">
        <v>1247</v>
      </c>
      <c r="C213" s="427">
        <f>SUM(C177+C131+C24)</f>
        <v>1140609</v>
      </c>
      <c r="D213" s="427">
        <f>SUM(D177+D131+D24)</f>
        <v>1094358</v>
      </c>
      <c r="E213" s="427">
        <f>SUM(E177+E131+E24)</f>
        <v>900922</v>
      </c>
      <c r="F213" s="933">
        <f t="shared" si="4"/>
        <v>0.8232424855486048</v>
      </c>
    </row>
    <row r="214" spans="1:6" s="399" customFormat="1" ht="12.75" thickBot="1">
      <c r="A214" s="433">
        <v>1517</v>
      </c>
      <c r="B214" s="436" t="s">
        <v>1248</v>
      </c>
      <c r="C214" s="466">
        <f>SUM(C178+C132+C30)</f>
        <v>30000</v>
      </c>
      <c r="D214" s="466">
        <f>SUM(D178+D132+D30+D157)</f>
        <v>30168</v>
      </c>
      <c r="E214" s="466">
        <f>SUM(E178+E132+E30+E157)</f>
        <v>35210</v>
      </c>
      <c r="F214" s="937">
        <f t="shared" si="4"/>
        <v>1.167130734553169</v>
      </c>
    </row>
    <row r="215" spans="1:6" s="399" customFormat="1" ht="12.75" thickBot="1">
      <c r="A215" s="426">
        <v>1510</v>
      </c>
      <c r="B215" s="425" t="s">
        <v>1035</v>
      </c>
      <c r="C215" s="426">
        <f>SUM(C209:C214)</f>
        <v>2580967</v>
      </c>
      <c r="D215" s="426">
        <f>SUM(D209:D214)</f>
        <v>2584642</v>
      </c>
      <c r="E215" s="426">
        <f>SUM(E209:E214)</f>
        <v>2345105</v>
      </c>
      <c r="F215" s="938">
        <f t="shared" si="4"/>
        <v>0.9073229484005909</v>
      </c>
    </row>
    <row r="216" spans="1:6" s="399" customFormat="1" ht="12">
      <c r="A216" s="428">
        <v>1521</v>
      </c>
      <c r="B216" s="429" t="s">
        <v>1308</v>
      </c>
      <c r="C216" s="428">
        <f>SUM(C34)</f>
        <v>6231843</v>
      </c>
      <c r="D216" s="428">
        <f>SUM(D34)</f>
        <v>6654696</v>
      </c>
      <c r="E216" s="428">
        <f>SUM(E34)</f>
        <v>6629336</v>
      </c>
      <c r="F216" s="956">
        <f t="shared" si="4"/>
        <v>0.9961891572507595</v>
      </c>
    </row>
    <row r="217" spans="1:6" s="399" customFormat="1" ht="12">
      <c r="A217" s="427">
        <v>1522</v>
      </c>
      <c r="B217" s="423" t="s">
        <v>1159</v>
      </c>
      <c r="C217" s="427">
        <f>SUM(C41)</f>
        <v>636680</v>
      </c>
      <c r="D217" s="427">
        <f>SUM(D41)</f>
        <v>643236</v>
      </c>
      <c r="E217" s="427">
        <f>SUM(E41)</f>
        <v>643236</v>
      </c>
      <c r="F217" s="933">
        <f t="shared" si="4"/>
        <v>1</v>
      </c>
    </row>
    <row r="218" spans="1:6" s="399" customFormat="1" ht="12">
      <c r="A218" s="427">
        <v>1523</v>
      </c>
      <c r="B218" s="423" t="s">
        <v>1310</v>
      </c>
      <c r="C218" s="427">
        <f>SUM(C49)</f>
        <v>381042</v>
      </c>
      <c r="D218" s="427">
        <f>SUM(D49)</f>
        <v>349979</v>
      </c>
      <c r="E218" s="427">
        <f>SUM(E49)</f>
        <v>327897</v>
      </c>
      <c r="F218" s="933">
        <f t="shared" si="4"/>
        <v>0.9369047857157143</v>
      </c>
    </row>
    <row r="219" spans="1:6" s="399" customFormat="1" ht="12">
      <c r="A219" s="428">
        <v>1524</v>
      </c>
      <c r="B219" s="423" t="s">
        <v>1379</v>
      </c>
      <c r="C219" s="427">
        <f>SUM(C44)</f>
        <v>1021000</v>
      </c>
      <c r="D219" s="427">
        <f>SUM(D44)</f>
        <v>1021000</v>
      </c>
      <c r="E219" s="427">
        <f>SUM(E44)</f>
        <v>881802</v>
      </c>
      <c r="F219" s="933">
        <f t="shared" si="4"/>
        <v>0.8636650342801175</v>
      </c>
    </row>
    <row r="220" spans="1:6" s="399" customFormat="1" ht="12.75" thickBot="1">
      <c r="A220" s="466">
        <v>1525</v>
      </c>
      <c r="B220" s="491" t="s">
        <v>1316</v>
      </c>
      <c r="C220" s="466">
        <f>SUM(C57)</f>
        <v>8428</v>
      </c>
      <c r="D220" s="466">
        <f>SUM(D57)</f>
        <v>5641</v>
      </c>
      <c r="E220" s="466">
        <f>SUM(E57)</f>
        <v>4189</v>
      </c>
      <c r="F220" s="937">
        <f t="shared" si="4"/>
        <v>0.7425988299946817</v>
      </c>
    </row>
    <row r="221" spans="1:6" s="399" customFormat="1" ht="12.75" thickBot="1">
      <c r="A221" s="426">
        <v>1520</v>
      </c>
      <c r="B221" s="425" t="s">
        <v>16</v>
      </c>
      <c r="C221" s="426">
        <f>SUM(C216:C220)</f>
        <v>8278993</v>
      </c>
      <c r="D221" s="426">
        <f>SUM(D216:D220)</f>
        <v>8674552</v>
      </c>
      <c r="E221" s="426">
        <f>SUM(E216:E220)</f>
        <v>8486460</v>
      </c>
      <c r="F221" s="938">
        <f t="shared" si="4"/>
        <v>0.9783168052943829</v>
      </c>
    </row>
    <row r="222" spans="1:6" s="399" customFormat="1" ht="12.75" thickBot="1">
      <c r="A222" s="468">
        <v>1531</v>
      </c>
      <c r="B222" s="443" t="s">
        <v>1318</v>
      </c>
      <c r="C222" s="468">
        <f>SUM(C61+C62)</f>
        <v>2031075</v>
      </c>
      <c r="D222" s="468">
        <f>SUM(D61+D62+D63+D64)</f>
        <v>2662565</v>
      </c>
      <c r="E222" s="468">
        <f>SUM(E61+E62+E63+E64)</f>
        <v>2662565</v>
      </c>
      <c r="F222" s="942">
        <f t="shared" si="4"/>
        <v>1</v>
      </c>
    </row>
    <row r="223" spans="1:6" s="399" customFormat="1" ht="12.75" thickBot="1">
      <c r="A223" s="426">
        <v>1530</v>
      </c>
      <c r="B223" s="453" t="s">
        <v>1320</v>
      </c>
      <c r="C223" s="426">
        <f>SUM(C222)</f>
        <v>2031075</v>
      </c>
      <c r="D223" s="426">
        <f>SUM(D222)</f>
        <v>2662565</v>
      </c>
      <c r="E223" s="426">
        <f>SUM(E222)</f>
        <v>2662565</v>
      </c>
      <c r="F223" s="938">
        <f t="shared" si="4"/>
        <v>1</v>
      </c>
    </row>
    <row r="224" spans="1:6" s="399" customFormat="1" ht="12.75" thickBot="1">
      <c r="A224" s="426">
        <v>1540</v>
      </c>
      <c r="B224" s="442" t="s">
        <v>1323</v>
      </c>
      <c r="C224" s="426">
        <f>SUM(C186+C70)</f>
        <v>1400</v>
      </c>
      <c r="D224" s="426">
        <f>SUM(D186+D70)</f>
        <v>131925</v>
      </c>
      <c r="E224" s="426">
        <f>SUM(E186+E70)</f>
        <v>133505</v>
      </c>
      <c r="F224" s="938">
        <f t="shared" si="4"/>
        <v>1.0119765018002653</v>
      </c>
    </row>
    <row r="225" spans="1:6" s="399" customFormat="1" ht="12.75" thickBot="1">
      <c r="A225" s="452">
        <v>1550</v>
      </c>
      <c r="B225" s="442" t="s">
        <v>1354</v>
      </c>
      <c r="C225" s="452"/>
      <c r="D225" s="452">
        <f>SUM(D188+D72)</f>
        <v>9136</v>
      </c>
      <c r="E225" s="452">
        <f>SUM(E188+E72)</f>
        <v>19401</v>
      </c>
      <c r="F225" s="938">
        <f t="shared" si="4"/>
        <v>2.123577057793345</v>
      </c>
    </row>
    <row r="226" spans="1:6" s="399" customFormat="1" ht="12.75" thickBot="1">
      <c r="A226" s="452">
        <v>1560</v>
      </c>
      <c r="B226" s="442" t="s">
        <v>1129</v>
      </c>
      <c r="C226" s="452"/>
      <c r="D226" s="452"/>
      <c r="E226" s="452">
        <f>SUM(E190+E74)</f>
        <v>222483</v>
      </c>
      <c r="F226" s="936"/>
    </row>
    <row r="227" spans="1:6" s="399" customFormat="1" ht="12.75" thickBot="1">
      <c r="A227" s="452"/>
      <c r="B227" s="442" t="s">
        <v>1254</v>
      </c>
      <c r="C227" s="452">
        <f>SUM(C224+C221+C215+C223)</f>
        <v>12892435</v>
      </c>
      <c r="D227" s="452">
        <f>SUM(D224+D221+D215+D223+D225)</f>
        <v>14062820</v>
      </c>
      <c r="E227" s="452">
        <f>SUM(E224+E221+E215+E223+E225+E226)</f>
        <v>13869519</v>
      </c>
      <c r="F227" s="938">
        <f t="shared" si="4"/>
        <v>0.9862544638984215</v>
      </c>
    </row>
    <row r="228" spans="1:6" s="399" customFormat="1" ht="12">
      <c r="A228" s="428">
        <v>1571</v>
      </c>
      <c r="B228" s="429" t="s">
        <v>1325</v>
      </c>
      <c r="C228" s="428">
        <f>SUM(C78)</f>
        <v>1160000</v>
      </c>
      <c r="D228" s="428">
        <f>SUM(D78)</f>
        <v>749421</v>
      </c>
      <c r="E228" s="428">
        <f>SUM(E78)</f>
        <v>560880</v>
      </c>
      <c r="F228" s="575">
        <f t="shared" si="4"/>
        <v>0.7484177785250213</v>
      </c>
    </row>
    <row r="229" spans="1:6" s="399" customFormat="1" ht="12.75" thickBot="1">
      <c r="A229" s="435">
        <v>1572</v>
      </c>
      <c r="B229" s="423" t="s">
        <v>11</v>
      </c>
      <c r="C229" s="435">
        <f>SUM(C84)</f>
        <v>250000</v>
      </c>
      <c r="D229" s="435">
        <f>SUM(D84)</f>
        <v>250000</v>
      </c>
      <c r="E229" s="435">
        <f>SUM(E84)</f>
        <v>255816</v>
      </c>
      <c r="F229" s="937">
        <f t="shared" si="4"/>
        <v>1.023264</v>
      </c>
    </row>
    <row r="230" spans="1:6" s="399" customFormat="1" ht="12.75" thickBot="1">
      <c r="A230" s="426">
        <v>1570</v>
      </c>
      <c r="B230" s="425" t="s">
        <v>1326</v>
      </c>
      <c r="C230" s="426">
        <f>SUM(C228:C229)</f>
        <v>1410000</v>
      </c>
      <c r="D230" s="426">
        <f>SUM(D228:D229)</f>
        <v>999421</v>
      </c>
      <c r="E230" s="426">
        <f>SUM(E228:E229)</f>
        <v>816696</v>
      </c>
      <c r="F230" s="938">
        <f t="shared" si="4"/>
        <v>0.8171691409326</v>
      </c>
    </row>
    <row r="231" spans="1:6" s="399" customFormat="1" ht="12">
      <c r="A231" s="463">
        <v>1581</v>
      </c>
      <c r="B231" s="464" t="s">
        <v>1327</v>
      </c>
      <c r="C231" s="428">
        <f>SUM(C88)</f>
        <v>363209</v>
      </c>
      <c r="D231" s="428">
        <f>SUM(D88)</f>
        <v>390390</v>
      </c>
      <c r="E231" s="428">
        <f>SUM(E88)</f>
        <v>145938</v>
      </c>
      <c r="F231" s="956">
        <f t="shared" si="4"/>
        <v>0.37382617382617384</v>
      </c>
    </row>
    <row r="232" spans="1:6" s="399" customFormat="1" ht="12">
      <c r="A232" s="427">
        <v>1582</v>
      </c>
      <c r="B232" s="423" t="s">
        <v>1328</v>
      </c>
      <c r="C232" s="427">
        <f>SUM(C92)</f>
        <v>60000</v>
      </c>
      <c r="D232" s="427">
        <f>SUM(D92)</f>
        <v>68817</v>
      </c>
      <c r="E232" s="427">
        <f>SUM(E92)</f>
        <v>68817</v>
      </c>
      <c r="F232" s="933">
        <f t="shared" si="4"/>
        <v>1</v>
      </c>
    </row>
    <row r="233" spans="1:6" s="399" customFormat="1" ht="12.75" thickBot="1">
      <c r="A233" s="435">
        <v>1583</v>
      </c>
      <c r="B233" s="446" t="s">
        <v>1329</v>
      </c>
      <c r="C233" s="435">
        <f>SUM(C95)</f>
        <v>877793</v>
      </c>
      <c r="D233" s="435">
        <f>SUM(D95+D194)</f>
        <v>687304</v>
      </c>
      <c r="E233" s="435">
        <f>SUM(E95+E194)</f>
        <v>612131</v>
      </c>
      <c r="F233" s="937">
        <f t="shared" si="4"/>
        <v>0.8906262730902191</v>
      </c>
    </row>
    <row r="234" spans="1:6" s="399" customFormat="1" ht="12.75" thickBot="1">
      <c r="A234" s="426">
        <v>1580</v>
      </c>
      <c r="B234" s="438" t="s">
        <v>1330</v>
      </c>
      <c r="C234" s="426">
        <f>SUM(C231:C233)</f>
        <v>1301002</v>
      </c>
      <c r="D234" s="426">
        <f>SUM(D231:D233)</f>
        <v>1146511</v>
      </c>
      <c r="E234" s="426">
        <f>SUM(E231:E233)</f>
        <v>826886</v>
      </c>
      <c r="F234" s="938">
        <f t="shared" si="4"/>
        <v>0.7212194213574924</v>
      </c>
    </row>
    <row r="235" spans="1:6" s="399" customFormat="1" ht="12.75" thickBot="1">
      <c r="A235" s="426">
        <v>1590</v>
      </c>
      <c r="B235" s="453" t="s">
        <v>1367</v>
      </c>
      <c r="C235" s="426">
        <f>SUM(C101)</f>
        <v>0</v>
      </c>
      <c r="D235" s="426">
        <f>SUM(D101+D195)</f>
        <v>6506</v>
      </c>
      <c r="E235" s="426">
        <f>SUM(E101+E195)</f>
        <v>6506</v>
      </c>
      <c r="F235" s="938">
        <f t="shared" si="4"/>
        <v>1</v>
      </c>
    </row>
    <row r="236" spans="1:6" s="399" customFormat="1" ht="12.75" thickBot="1">
      <c r="A236" s="426">
        <v>1600</v>
      </c>
      <c r="B236" s="453" t="s">
        <v>14</v>
      </c>
      <c r="C236" s="452"/>
      <c r="D236" s="452"/>
      <c r="E236" s="452"/>
      <c r="F236" s="936"/>
    </row>
    <row r="237" spans="1:6" s="399" customFormat="1" ht="13.5" thickBot="1">
      <c r="A237" s="426"/>
      <c r="B237" s="454" t="s">
        <v>1267</v>
      </c>
      <c r="C237" s="452">
        <f>SUM(C235+C234+C230)</f>
        <v>2711002</v>
      </c>
      <c r="D237" s="452">
        <f>SUM(D235+D234+D230)</f>
        <v>2152438</v>
      </c>
      <c r="E237" s="452">
        <f>SUM(E235+E234+E230)</f>
        <v>1650088</v>
      </c>
      <c r="F237" s="938">
        <f t="shared" si="4"/>
        <v>0.766613486660243</v>
      </c>
    </row>
    <row r="238" spans="1:6" s="399" customFormat="1" ht="12">
      <c r="A238" s="463">
        <v>1611</v>
      </c>
      <c r="B238" s="464" t="s">
        <v>1357</v>
      </c>
      <c r="C238" s="488"/>
      <c r="D238" s="488"/>
      <c r="E238" s="488"/>
      <c r="F238" s="934"/>
    </row>
    <row r="239" spans="1:6" s="399" customFormat="1" ht="12.75" thickBot="1">
      <c r="A239" s="435">
        <v>1612</v>
      </c>
      <c r="B239" s="436" t="s">
        <v>1358</v>
      </c>
      <c r="C239" s="435">
        <f>SUM(C144+C107)</f>
        <v>65000</v>
      </c>
      <c r="D239" s="435">
        <f>SUM(D144+D107+D108+D106)</f>
        <v>65076</v>
      </c>
      <c r="E239" s="435">
        <f>SUM(E144+E107+E108+E106)</f>
        <v>55624</v>
      </c>
      <c r="F239" s="937">
        <f t="shared" si="4"/>
        <v>0.8547544409613375</v>
      </c>
    </row>
    <row r="240" spans="1:6" s="399" customFormat="1" ht="12.75" thickBot="1">
      <c r="A240" s="426">
        <v>1610</v>
      </c>
      <c r="B240" s="425" t="s">
        <v>1087</v>
      </c>
      <c r="C240" s="426">
        <f>SUM(C239)</f>
        <v>65000</v>
      </c>
      <c r="D240" s="426">
        <f>SUM(D239)</f>
        <v>65076</v>
      </c>
      <c r="E240" s="426">
        <f>SUM(E239)</f>
        <v>55624</v>
      </c>
      <c r="F240" s="938">
        <f t="shared" si="4"/>
        <v>0.8547544409613375</v>
      </c>
    </row>
    <row r="241" spans="1:6" s="399" customFormat="1" ht="15.75" thickBot="1">
      <c r="A241" s="426"/>
      <c r="B241" s="567" t="s">
        <v>185</v>
      </c>
      <c r="C241" s="426">
        <f>SUM(C240+C237+C227)</f>
        <v>15668437</v>
      </c>
      <c r="D241" s="426">
        <f>SUM(D240+D237+D227)</f>
        <v>16280334</v>
      </c>
      <c r="E241" s="426">
        <f>SUM(E240+E237+E227)</f>
        <v>15575231</v>
      </c>
      <c r="F241" s="938">
        <f t="shared" si="4"/>
        <v>0.9566898934628737</v>
      </c>
    </row>
    <row r="242" spans="1:6" s="399" customFormat="1" ht="12">
      <c r="A242" s="428">
        <v>1621</v>
      </c>
      <c r="B242" s="434" t="s">
        <v>1206</v>
      </c>
      <c r="C242" s="419">
        <f>SUM(C199+C111)</f>
        <v>0</v>
      </c>
      <c r="D242" s="428">
        <f>SUM(D199+D111+D165+D147)</f>
        <v>387331</v>
      </c>
      <c r="E242" s="428">
        <f>SUM(E199+E111+E165+E147)</f>
        <v>387331</v>
      </c>
      <c r="F242" s="956">
        <f t="shared" si="4"/>
        <v>1</v>
      </c>
    </row>
    <row r="243" spans="1:6" s="399" customFormat="1" ht="12.75" thickBot="1">
      <c r="A243" s="435">
        <v>1622</v>
      </c>
      <c r="B243" s="489" t="s">
        <v>1207</v>
      </c>
      <c r="C243" s="428">
        <f>SUM(C200+C112)</f>
        <v>400000</v>
      </c>
      <c r="D243" s="428">
        <f>SUM(D200+D112+D166+D148)</f>
        <v>632303</v>
      </c>
      <c r="E243" s="428">
        <f>SUM(E200+E112+E166+E148)</f>
        <v>632303</v>
      </c>
      <c r="F243" s="937">
        <f t="shared" si="4"/>
        <v>1</v>
      </c>
    </row>
    <row r="244" spans="1:6" s="399" customFormat="1" ht="13.5" thickBot="1">
      <c r="A244" s="452">
        <v>1620</v>
      </c>
      <c r="B244" s="454" t="s">
        <v>1350</v>
      </c>
      <c r="C244" s="426">
        <f>SUM(C242:C243)</f>
        <v>400000</v>
      </c>
      <c r="D244" s="426">
        <f>SUM(D242:D243)</f>
        <v>1019634</v>
      </c>
      <c r="E244" s="426">
        <f>SUM(E242:E243)</f>
        <v>1019634</v>
      </c>
      <c r="F244" s="938">
        <f t="shared" si="4"/>
        <v>1</v>
      </c>
    </row>
    <row r="245" spans="1:6" s="399" customFormat="1" ht="12">
      <c r="A245" s="428">
        <v>1631</v>
      </c>
      <c r="B245" s="429" t="s">
        <v>1334</v>
      </c>
      <c r="C245" s="428">
        <f>SUM(C115)</f>
        <v>870000</v>
      </c>
      <c r="D245" s="428">
        <f>SUM(D115)</f>
        <v>870000</v>
      </c>
      <c r="E245" s="428">
        <f>SUM(E115)</f>
        <v>870000</v>
      </c>
      <c r="F245" s="575">
        <f t="shared" si="4"/>
        <v>1</v>
      </c>
    </row>
    <row r="246" spans="1:6" s="399" customFormat="1" ht="12">
      <c r="A246" s="433"/>
      <c r="B246" s="565" t="s">
        <v>183</v>
      </c>
      <c r="C246" s="433"/>
      <c r="D246" s="433"/>
      <c r="E246" s="433"/>
      <c r="F246" s="572"/>
    </row>
    <row r="247" spans="1:6" s="399" customFormat="1" ht="12.75" thickBot="1">
      <c r="A247" s="435">
        <v>1632</v>
      </c>
      <c r="B247" s="436" t="s">
        <v>1203</v>
      </c>
      <c r="C247" s="451"/>
      <c r="D247" s="451"/>
      <c r="E247" s="451"/>
      <c r="F247" s="935"/>
    </row>
    <row r="248" spans="1:6" s="399" customFormat="1" ht="13.5" thickBot="1">
      <c r="A248" s="452">
        <v>1630</v>
      </c>
      <c r="B248" s="454" t="s">
        <v>1335</v>
      </c>
      <c r="C248" s="452">
        <f>SUM(C245:C247)</f>
        <v>870000</v>
      </c>
      <c r="D248" s="452">
        <f>SUM(D245:D247)</f>
        <v>870000</v>
      </c>
      <c r="E248" s="452">
        <f>SUM(E245:E247)</f>
        <v>870000</v>
      </c>
      <c r="F248" s="938">
        <f t="shared" si="4"/>
        <v>1</v>
      </c>
    </row>
    <row r="249" spans="1:6" s="399" customFormat="1" ht="12.75">
      <c r="A249" s="488"/>
      <c r="B249" s="973" t="s">
        <v>1212</v>
      </c>
      <c r="C249" s="974"/>
      <c r="D249" s="974"/>
      <c r="E249" s="974">
        <v>9</v>
      </c>
      <c r="F249" s="975"/>
    </row>
    <row r="250" spans="1:6" s="399" customFormat="1" ht="12.75">
      <c r="A250" s="408"/>
      <c r="B250" s="979" t="s">
        <v>773</v>
      </c>
      <c r="C250" s="410"/>
      <c r="D250" s="410"/>
      <c r="E250" s="410">
        <f>SUM(E119)</f>
        <v>297065</v>
      </c>
      <c r="F250" s="573"/>
    </row>
    <row r="251" spans="1:6" s="399" customFormat="1" ht="12.75">
      <c r="A251" s="408"/>
      <c r="B251" s="976" t="s">
        <v>774</v>
      </c>
      <c r="C251" s="410"/>
      <c r="D251" s="410"/>
      <c r="E251" s="410"/>
      <c r="F251" s="573"/>
    </row>
    <row r="252" spans="1:6" s="399" customFormat="1" ht="13.5" thickBot="1">
      <c r="A252" s="451"/>
      <c r="B252" s="977" t="s">
        <v>775</v>
      </c>
      <c r="C252" s="978"/>
      <c r="D252" s="978"/>
      <c r="E252" s="978">
        <f>SUM(E203)</f>
        <v>1489</v>
      </c>
      <c r="F252" s="940"/>
    </row>
    <row r="253" spans="1:6" s="480" customFormat="1" ht="13.5" thickBot="1">
      <c r="A253" s="460"/>
      <c r="B253" s="461" t="s">
        <v>1351</v>
      </c>
      <c r="C253" s="492">
        <f>SUM(C248+C244+C237+C227+C240)</f>
        <v>16938437</v>
      </c>
      <c r="D253" s="492">
        <f>SUM(D248+D244+D237+D227+D240)</f>
        <v>18169968</v>
      </c>
      <c r="E253" s="492">
        <f>SUM(E248+E244+E237+E227+E240+E249+E250+E251+E252)</f>
        <v>17763428</v>
      </c>
      <c r="F253" s="939">
        <f t="shared" si="4"/>
        <v>0.9776257173375319</v>
      </c>
    </row>
    <row r="254" ht="12">
      <c r="C254" s="494"/>
    </row>
    <row r="255" ht="12">
      <c r="C255" s="494"/>
    </row>
    <row r="256" ht="12">
      <c r="C256" s="494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5" manualBreakCount="5">
    <brk id="51" max="255" man="1"/>
    <brk id="99" max="255" man="1"/>
    <brk id="146" max="255" man="1"/>
    <brk id="193" max="255" man="1"/>
    <brk id="2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G57" sqref="G57"/>
    </sheetView>
  </sheetViews>
  <sheetFormatPr defaultColWidth="9.00390625" defaultRowHeight="12.75"/>
  <cols>
    <col min="6" max="6" width="12.75390625" style="0" customWidth="1"/>
    <col min="7" max="7" width="18.25390625" style="0" customWidth="1"/>
    <col min="8" max="8" width="17.00390625" style="0" customWidth="1"/>
  </cols>
  <sheetData>
    <row r="1" spans="1:8" ht="12.75">
      <c r="A1" s="823" t="s">
        <v>497</v>
      </c>
      <c r="B1" s="824"/>
      <c r="C1" s="824"/>
      <c r="D1" s="824"/>
      <c r="E1" s="824"/>
      <c r="F1" s="824"/>
      <c r="G1" s="824"/>
      <c r="H1" s="824"/>
    </row>
    <row r="2" spans="1:8" ht="12.75">
      <c r="A2" s="824"/>
      <c r="B2" s="824"/>
      <c r="C2" s="824"/>
      <c r="D2" s="824"/>
      <c r="E2" s="824"/>
      <c r="F2" s="824"/>
      <c r="G2" s="824"/>
      <c r="H2" s="824"/>
    </row>
    <row r="3" spans="1:8" ht="12.75">
      <c r="A3" s="823" t="s">
        <v>1235</v>
      </c>
      <c r="B3" s="824"/>
      <c r="C3" s="824"/>
      <c r="D3" s="824"/>
      <c r="E3" s="824"/>
      <c r="F3" s="824"/>
      <c r="G3" s="824"/>
      <c r="H3" s="824"/>
    </row>
    <row r="4" spans="1:8" ht="12.75">
      <c r="A4" s="825"/>
      <c r="B4" s="825"/>
      <c r="C4" s="825"/>
      <c r="D4" s="825"/>
      <c r="E4" s="825"/>
      <c r="F4" s="825"/>
      <c r="G4" s="825"/>
      <c r="H4" s="825"/>
    </row>
    <row r="5" spans="1:8" ht="12.75">
      <c r="A5" s="825"/>
      <c r="B5" s="825"/>
      <c r="C5" s="825"/>
      <c r="D5" s="825"/>
      <c r="E5" s="825"/>
      <c r="F5" s="825"/>
      <c r="G5" s="825"/>
      <c r="H5" s="825"/>
    </row>
    <row r="6" spans="1:8" ht="12.75">
      <c r="A6" s="825"/>
      <c r="B6" s="825"/>
      <c r="C6" s="825"/>
      <c r="D6" s="825"/>
      <c r="E6" s="825"/>
      <c r="F6" s="825"/>
      <c r="G6" s="826"/>
      <c r="H6" s="827" t="s">
        <v>1060</v>
      </c>
    </row>
    <row r="7" spans="1:8" ht="12.75">
      <c r="A7" s="828"/>
      <c r="B7" s="828" t="s">
        <v>604</v>
      </c>
      <c r="C7" s="829"/>
      <c r="D7" s="829"/>
      <c r="E7" s="829"/>
      <c r="F7" s="829"/>
      <c r="G7" s="830" t="s">
        <v>605</v>
      </c>
      <c r="H7" s="830" t="s">
        <v>930</v>
      </c>
    </row>
    <row r="8" spans="1:8" ht="12.75">
      <c r="A8" s="829"/>
      <c r="B8" s="829"/>
      <c r="C8" s="829"/>
      <c r="D8" s="829"/>
      <c r="E8" s="829"/>
      <c r="F8" s="829"/>
      <c r="G8" s="829"/>
      <c r="H8" s="829"/>
    </row>
    <row r="9" spans="1:8" ht="12.75">
      <c r="A9" s="829"/>
      <c r="B9" s="829"/>
      <c r="C9" s="829"/>
      <c r="D9" s="829"/>
      <c r="E9" s="829"/>
      <c r="F9" s="829"/>
      <c r="G9" s="829"/>
      <c r="H9" s="829"/>
    </row>
    <row r="10" spans="1:8" ht="12.75">
      <c r="A10" s="831" t="s">
        <v>606</v>
      </c>
      <c r="B10" s="831"/>
      <c r="C10" s="829"/>
      <c r="D10" s="829" t="s">
        <v>1098</v>
      </c>
      <c r="E10" s="829"/>
      <c r="F10" s="829"/>
      <c r="G10" s="832">
        <v>39051</v>
      </c>
      <c r="H10" s="832">
        <v>45136</v>
      </c>
    </row>
    <row r="11" spans="1:8" ht="12.75">
      <c r="A11" s="829" t="s">
        <v>607</v>
      </c>
      <c r="B11" s="829"/>
      <c r="C11" s="829"/>
      <c r="D11" s="829"/>
      <c r="E11" s="829"/>
      <c r="F11" s="829"/>
      <c r="G11" s="832">
        <v>6695</v>
      </c>
      <c r="H11" s="832">
        <v>6172</v>
      </c>
    </row>
    <row r="12" spans="1:8" ht="12.75">
      <c r="A12" s="829" t="s">
        <v>608</v>
      </c>
      <c r="B12" s="829"/>
      <c r="C12" s="829"/>
      <c r="D12" s="829"/>
      <c r="E12" s="829"/>
      <c r="F12" s="829"/>
      <c r="G12" s="832"/>
      <c r="H12" s="832"/>
    </row>
    <row r="13" spans="1:8" ht="12.75">
      <c r="A13" s="833" t="s">
        <v>609</v>
      </c>
      <c r="B13" s="833"/>
      <c r="C13" s="833"/>
      <c r="D13" s="833"/>
      <c r="E13" s="833"/>
      <c r="F13" s="833"/>
      <c r="G13" s="834">
        <f>SUM(G10:G12)</f>
        <v>45746</v>
      </c>
      <c r="H13" s="834">
        <f>SUM(H10:H12)</f>
        <v>51308</v>
      </c>
    </row>
    <row r="14" spans="1:8" ht="12.75">
      <c r="A14" s="833"/>
      <c r="B14" s="833"/>
      <c r="C14" s="833"/>
      <c r="D14" s="833"/>
      <c r="E14" s="833"/>
      <c r="F14" s="833"/>
      <c r="G14" s="835"/>
      <c r="H14" s="835"/>
    </row>
    <row r="15" spans="1:8" ht="12.75">
      <c r="A15" s="829" t="s">
        <v>610</v>
      </c>
      <c r="B15" s="829"/>
      <c r="C15" s="829"/>
      <c r="D15" s="829"/>
      <c r="E15" s="829"/>
      <c r="F15" s="829"/>
      <c r="G15" s="832">
        <v>221933324</v>
      </c>
      <c r="H15" s="832">
        <v>220917750</v>
      </c>
    </row>
    <row r="16" spans="1:8" ht="12.75">
      <c r="A16" s="829" t="s">
        <v>611</v>
      </c>
      <c r="B16" s="829"/>
      <c r="C16" s="829"/>
      <c r="D16" s="829"/>
      <c r="E16" s="829"/>
      <c r="F16" s="829"/>
      <c r="G16" s="832">
        <v>302545</v>
      </c>
      <c r="H16" s="832">
        <v>315580</v>
      </c>
    </row>
    <row r="17" spans="1:8" ht="12.75">
      <c r="A17" s="829" t="s">
        <v>612</v>
      </c>
      <c r="B17" s="829"/>
      <c r="C17" s="829"/>
      <c r="D17" s="829"/>
      <c r="E17" s="829"/>
      <c r="F17" s="829"/>
      <c r="G17" s="832">
        <v>19602</v>
      </c>
      <c r="H17" s="832">
        <v>30315</v>
      </c>
    </row>
    <row r="18" spans="1:8" ht="12.75">
      <c r="A18" s="829" t="s">
        <v>613</v>
      </c>
      <c r="B18" s="829"/>
      <c r="C18" s="829"/>
      <c r="D18" s="829"/>
      <c r="E18" s="829"/>
      <c r="F18" s="829"/>
      <c r="G18" s="832">
        <v>562206</v>
      </c>
      <c r="H18" s="832">
        <v>1226154</v>
      </c>
    </row>
    <row r="19" spans="1:8" ht="12.75">
      <c r="A19" s="829" t="s">
        <v>614</v>
      </c>
      <c r="B19" s="829"/>
      <c r="C19" s="829"/>
      <c r="D19" s="829"/>
      <c r="E19" s="829"/>
      <c r="F19" s="829"/>
      <c r="G19" s="832"/>
      <c r="H19" s="832"/>
    </row>
    <row r="20" spans="1:8" ht="12.75">
      <c r="A20" s="833" t="s">
        <v>615</v>
      </c>
      <c r="B20" s="833"/>
      <c r="C20" s="833"/>
      <c r="D20" s="833"/>
      <c r="E20" s="833"/>
      <c r="F20" s="833"/>
      <c r="G20" s="834">
        <f>SUM(G15:G19)</f>
        <v>222817677</v>
      </c>
      <c r="H20" s="834">
        <f>SUM(H15:H19)</f>
        <v>222489799</v>
      </c>
    </row>
    <row r="21" spans="1:8" ht="12.75">
      <c r="A21" s="836"/>
      <c r="B21" s="836"/>
      <c r="C21" s="836"/>
      <c r="D21" s="836"/>
      <c r="E21" s="833"/>
      <c r="F21" s="833"/>
      <c r="G21" s="835"/>
      <c r="H21" s="835"/>
    </row>
    <row r="22" spans="1:8" ht="12.75">
      <c r="A22" s="829" t="s">
        <v>616</v>
      </c>
      <c r="B22" s="829"/>
      <c r="C22" s="829"/>
      <c r="D22" s="829"/>
      <c r="E22" s="829"/>
      <c r="F22" s="829"/>
      <c r="G22" s="832">
        <v>587400</v>
      </c>
      <c r="H22" s="832">
        <v>587400</v>
      </c>
    </row>
    <row r="23" spans="1:8" ht="12.75">
      <c r="A23" s="829" t="s">
        <v>617</v>
      </c>
      <c r="B23" s="829"/>
      <c r="C23" s="829"/>
      <c r="D23" s="829"/>
      <c r="E23" s="829"/>
      <c r="F23" s="829"/>
      <c r="G23" s="832"/>
      <c r="H23" s="832"/>
    </row>
    <row r="24" spans="1:8" ht="12.75">
      <c r="A24" s="829" t="s">
        <v>618</v>
      </c>
      <c r="B24" s="829"/>
      <c r="C24" s="829"/>
      <c r="D24" s="829"/>
      <c r="E24" s="829"/>
      <c r="F24" s="829"/>
      <c r="G24" s="832">
        <v>98011</v>
      </c>
      <c r="H24" s="832">
        <v>74142</v>
      </c>
    </row>
    <row r="25" spans="1:8" ht="12.75">
      <c r="A25" s="837" t="s">
        <v>619</v>
      </c>
      <c r="B25" s="829"/>
      <c r="C25" s="829"/>
      <c r="D25" s="829"/>
      <c r="E25" s="829"/>
      <c r="F25" s="829"/>
      <c r="G25" s="832">
        <v>1635878</v>
      </c>
      <c r="H25" s="832">
        <v>1610764</v>
      </c>
    </row>
    <row r="26" spans="1:8" ht="12.75">
      <c r="A26" s="833" t="s">
        <v>620</v>
      </c>
      <c r="B26" s="833"/>
      <c r="C26" s="833"/>
      <c r="D26" s="833"/>
      <c r="E26" s="833"/>
      <c r="F26" s="833"/>
      <c r="G26" s="834">
        <f>SUM(G22:G25)</f>
        <v>2321289</v>
      </c>
      <c r="H26" s="834">
        <f>SUM(H22:H25)</f>
        <v>2272306</v>
      </c>
    </row>
    <row r="27" spans="1:8" ht="12.75">
      <c r="A27" s="836"/>
      <c r="B27" s="836"/>
      <c r="C27" s="836"/>
      <c r="D27" s="836"/>
      <c r="E27" s="833"/>
      <c r="F27" s="833"/>
      <c r="G27" s="834"/>
      <c r="H27" s="834"/>
    </row>
    <row r="28" spans="1:8" ht="12.75">
      <c r="A28" s="836" t="s">
        <v>621</v>
      </c>
      <c r="B28" s="836"/>
      <c r="C28" s="836"/>
      <c r="D28" s="836"/>
      <c r="E28" s="833"/>
      <c r="F28" s="833"/>
      <c r="G28" s="834">
        <v>36435</v>
      </c>
      <c r="H28" s="834">
        <v>22488</v>
      </c>
    </row>
    <row r="29" spans="1:8" ht="12.75">
      <c r="A29" s="836"/>
      <c r="B29" s="836"/>
      <c r="C29" s="836"/>
      <c r="D29" s="836"/>
      <c r="E29" s="833"/>
      <c r="F29" s="833"/>
      <c r="G29" s="834"/>
      <c r="H29" s="834"/>
    </row>
    <row r="30" spans="1:10" ht="15.75">
      <c r="A30" s="838" t="s">
        <v>622</v>
      </c>
      <c r="B30" s="838"/>
      <c r="C30" s="838"/>
      <c r="D30" s="838"/>
      <c r="E30" s="839"/>
      <c r="F30" s="839"/>
      <c r="G30" s="840">
        <f>SUM(G13+G20+G26+G28)</f>
        <v>225221147</v>
      </c>
      <c r="H30" s="840">
        <f>SUM(H13+H20+H26+H28)</f>
        <v>224835901</v>
      </c>
      <c r="I30" s="840"/>
      <c r="J30" s="840"/>
    </row>
    <row r="31" spans="1:8" ht="15.75">
      <c r="A31" s="838"/>
      <c r="B31" s="838"/>
      <c r="C31" s="838"/>
      <c r="D31" s="838"/>
      <c r="E31" s="839"/>
      <c r="F31" s="839"/>
      <c r="G31" s="840"/>
      <c r="H31" s="840"/>
    </row>
    <row r="32" spans="1:8" ht="12.75">
      <c r="A32" s="829" t="s">
        <v>623</v>
      </c>
      <c r="B32" s="829"/>
      <c r="C32" s="829"/>
      <c r="D32" s="829"/>
      <c r="E32" s="829"/>
      <c r="F32" s="829"/>
      <c r="G32" s="832">
        <v>1126</v>
      </c>
      <c r="H32" s="832">
        <v>1757</v>
      </c>
    </row>
    <row r="33" spans="1:8" ht="12.75">
      <c r="A33" s="833" t="s">
        <v>624</v>
      </c>
      <c r="B33" s="833"/>
      <c r="C33" s="833"/>
      <c r="D33" s="833"/>
      <c r="E33" s="833"/>
      <c r="F33" s="833"/>
      <c r="G33" s="834">
        <f>SUM(G32)</f>
        <v>1126</v>
      </c>
      <c r="H33" s="834">
        <f>SUM(H32)</f>
        <v>1757</v>
      </c>
    </row>
    <row r="34" spans="1:8" ht="12.75">
      <c r="A34" s="836"/>
      <c r="B34" s="836"/>
      <c r="C34" s="836"/>
      <c r="D34" s="833"/>
      <c r="E34" s="833"/>
      <c r="F34" s="833"/>
      <c r="G34" s="835"/>
      <c r="H34" s="835"/>
    </row>
    <row r="35" spans="1:8" ht="12.75">
      <c r="A35" s="837" t="s">
        <v>625</v>
      </c>
      <c r="B35" s="829"/>
      <c r="C35" s="829"/>
      <c r="D35" s="829"/>
      <c r="E35" s="829"/>
      <c r="F35" s="829"/>
      <c r="G35" s="832">
        <v>438779</v>
      </c>
      <c r="H35" s="832">
        <v>475660</v>
      </c>
    </row>
    <row r="36" spans="1:8" ht="12.75">
      <c r="A36" s="829" t="s">
        <v>626</v>
      </c>
      <c r="B36" s="829"/>
      <c r="C36" s="829"/>
      <c r="D36" s="829"/>
      <c r="E36" s="829"/>
      <c r="F36" s="829"/>
      <c r="G36" s="832">
        <v>641298</v>
      </c>
      <c r="H36" s="832">
        <v>942740</v>
      </c>
    </row>
    <row r="37" spans="1:8" ht="12.75">
      <c r="A37" s="829" t="s">
        <v>627</v>
      </c>
      <c r="B37" s="829"/>
      <c r="C37" s="829"/>
      <c r="D37" s="829"/>
      <c r="E37" s="829"/>
      <c r="F37" s="829"/>
      <c r="G37" s="841">
        <v>65050</v>
      </c>
      <c r="H37" s="841">
        <v>90050</v>
      </c>
    </row>
    <row r="38" spans="1:8" ht="12.75">
      <c r="A38" s="829" t="s">
        <v>628</v>
      </c>
      <c r="B38" s="829"/>
      <c r="C38" s="829"/>
      <c r="D38" s="829"/>
      <c r="E38" s="829"/>
      <c r="F38" s="829"/>
      <c r="G38" s="832">
        <v>215497</v>
      </c>
      <c r="H38" s="832">
        <v>157340</v>
      </c>
    </row>
    <row r="39" spans="1:8" ht="12.75">
      <c r="A39" s="833" t="s">
        <v>629</v>
      </c>
      <c r="B39" s="833"/>
      <c r="C39" s="833"/>
      <c r="D39" s="833"/>
      <c r="E39" s="833"/>
      <c r="F39" s="833"/>
      <c r="G39" s="834">
        <f>SUM(G35:G38)</f>
        <v>1360624</v>
      </c>
      <c r="H39" s="834">
        <f>SUM(H35:H38)</f>
        <v>1665790</v>
      </c>
    </row>
    <row r="40" spans="1:8" ht="12.75">
      <c r="A40" s="836"/>
      <c r="B40" s="836"/>
      <c r="C40" s="836"/>
      <c r="D40" s="833"/>
      <c r="E40" s="833"/>
      <c r="F40" s="833"/>
      <c r="G40" s="835"/>
      <c r="H40" s="835"/>
    </row>
    <row r="41" spans="1:8" ht="12.75">
      <c r="A41" s="842"/>
      <c r="B41" s="842"/>
      <c r="C41" s="842"/>
      <c r="D41" s="842"/>
      <c r="E41" s="842"/>
      <c r="F41" s="842"/>
      <c r="G41" s="843"/>
      <c r="H41" s="843"/>
    </row>
    <row r="42" spans="1:8" ht="12.75">
      <c r="A42" s="844" t="s">
        <v>630</v>
      </c>
      <c r="B42" s="844"/>
      <c r="C42" s="844"/>
      <c r="D42" s="844"/>
      <c r="E42" s="844"/>
      <c r="F42" s="844"/>
      <c r="G42" s="845"/>
      <c r="H42" s="845"/>
    </row>
    <row r="43" spans="1:8" ht="12.75">
      <c r="A43" s="836"/>
      <c r="B43" s="836"/>
      <c r="C43" s="836"/>
      <c r="D43" s="833"/>
      <c r="E43" s="833"/>
      <c r="F43" s="833"/>
      <c r="G43" s="835"/>
      <c r="H43" s="835"/>
    </row>
    <row r="44" spans="1:8" ht="12.75">
      <c r="A44" s="829" t="s">
        <v>631</v>
      </c>
      <c r="B44" s="829"/>
      <c r="C44" s="829"/>
      <c r="D44" s="829"/>
      <c r="E44" s="829"/>
      <c r="F44" s="829"/>
      <c r="G44" s="832">
        <v>3606</v>
      </c>
      <c r="H44" s="832">
        <v>2154</v>
      </c>
    </row>
    <row r="45" spans="1:8" ht="12.75">
      <c r="A45" s="829" t="s">
        <v>632</v>
      </c>
      <c r="B45" s="829"/>
      <c r="C45" s="829"/>
      <c r="D45" s="829"/>
      <c r="E45" s="829"/>
      <c r="F45" s="829"/>
      <c r="G45" s="832">
        <v>586033</v>
      </c>
      <c r="H45" s="832">
        <v>1343495</v>
      </c>
    </row>
    <row r="46" spans="1:8" ht="12.75">
      <c r="A46" s="829" t="s">
        <v>633</v>
      </c>
      <c r="B46" s="829"/>
      <c r="C46" s="829"/>
      <c r="D46" s="829"/>
      <c r="E46" s="829"/>
      <c r="F46" s="829"/>
      <c r="G46" s="832">
        <v>19712</v>
      </c>
      <c r="H46" s="832">
        <v>26407</v>
      </c>
    </row>
    <row r="47" spans="1:8" ht="12.75">
      <c r="A47" s="833" t="s">
        <v>634</v>
      </c>
      <c r="B47" s="833"/>
      <c r="C47" s="833"/>
      <c r="D47" s="833"/>
      <c r="E47" s="833"/>
      <c r="F47" s="833"/>
      <c r="G47" s="834">
        <f>SUM(G44:G46)</f>
        <v>609351</v>
      </c>
      <c r="H47" s="834">
        <f>SUM(H44:H46)</f>
        <v>1372056</v>
      </c>
    </row>
    <row r="48" spans="1:8" ht="12.75">
      <c r="A48" s="836"/>
      <c r="B48" s="836"/>
      <c r="C48" s="836"/>
      <c r="D48" s="836"/>
      <c r="E48" s="833"/>
      <c r="F48" s="833"/>
      <c r="G48" s="835"/>
      <c r="H48" s="835"/>
    </row>
    <row r="49" spans="1:8" ht="12.75">
      <c r="A49" s="837" t="s">
        <v>1213</v>
      </c>
      <c r="B49" s="829"/>
      <c r="C49" s="829"/>
      <c r="D49" s="829"/>
      <c r="E49" s="829"/>
      <c r="F49" s="829"/>
      <c r="G49" s="832">
        <v>35547</v>
      </c>
      <c r="H49" s="832">
        <v>432</v>
      </c>
    </row>
    <row r="50" spans="1:8" ht="12.75">
      <c r="A50" s="837" t="s">
        <v>1214</v>
      </c>
      <c r="B50" s="829"/>
      <c r="C50" s="829"/>
      <c r="D50" s="829"/>
      <c r="E50" s="829"/>
      <c r="F50" s="829"/>
      <c r="G50" s="832">
        <v>189767</v>
      </c>
      <c r="H50" s="832">
        <v>639881</v>
      </c>
    </row>
    <row r="51" spans="1:8" ht="12.75">
      <c r="A51" s="837" t="s">
        <v>1215</v>
      </c>
      <c r="B51" s="829"/>
      <c r="C51" s="829"/>
      <c r="D51" s="829"/>
      <c r="E51" s="829"/>
      <c r="F51" s="829"/>
      <c r="G51" s="832">
        <v>45</v>
      </c>
      <c r="H51" s="832">
        <v>3541</v>
      </c>
    </row>
    <row r="52" spans="1:8" ht="12.75">
      <c r="A52" s="829"/>
      <c r="B52" s="829"/>
      <c r="C52" s="829"/>
      <c r="D52" s="829"/>
      <c r="E52" s="829"/>
      <c r="F52" s="829"/>
      <c r="G52" s="832"/>
      <c r="H52" s="832"/>
    </row>
    <row r="53" spans="1:8" ht="12.75">
      <c r="A53" s="833" t="s">
        <v>635</v>
      </c>
      <c r="B53" s="833"/>
      <c r="C53" s="833"/>
      <c r="D53" s="833"/>
      <c r="E53" s="833"/>
      <c r="F53" s="833"/>
      <c r="G53" s="834">
        <f>SUM(G49:G51)</f>
        <v>225359</v>
      </c>
      <c r="H53" s="834">
        <f>SUM(H49:H51)</f>
        <v>643854</v>
      </c>
    </row>
    <row r="54" spans="1:8" ht="12.75">
      <c r="A54" s="836"/>
      <c r="B54" s="836"/>
      <c r="C54" s="836"/>
      <c r="D54" s="836"/>
      <c r="E54" s="833"/>
      <c r="F54" s="833"/>
      <c r="G54" s="835"/>
      <c r="H54" s="835"/>
    </row>
    <row r="55" spans="1:12" ht="15.75">
      <c r="A55" s="838" t="s">
        <v>636</v>
      </c>
      <c r="B55" s="838"/>
      <c r="C55" s="838"/>
      <c r="D55" s="838"/>
      <c r="E55" s="839"/>
      <c r="F55" s="839"/>
      <c r="G55" s="840">
        <f>SUM(G33+G39+G47+G53+G42)</f>
        <v>2196460</v>
      </c>
      <c r="H55" s="840">
        <f>SUM(H33+H39+H47+H53+H42)</f>
        <v>3683457</v>
      </c>
      <c r="I55" s="840"/>
      <c r="J55" s="840"/>
      <c r="K55" s="840"/>
      <c r="L55" s="840"/>
    </row>
    <row r="56" spans="1:8" ht="12.75">
      <c r="A56" s="829"/>
      <c r="B56" s="829"/>
      <c r="C56" s="829"/>
      <c r="D56" s="829"/>
      <c r="E56" s="829"/>
      <c r="F56" s="829"/>
      <c r="G56" s="829"/>
      <c r="H56" s="829"/>
    </row>
    <row r="57" spans="1:8" ht="15.75">
      <c r="A57" s="838" t="s">
        <v>637</v>
      </c>
      <c r="B57" s="839"/>
      <c r="C57" s="839"/>
      <c r="D57" s="839"/>
      <c r="E57" s="839"/>
      <c r="F57" s="839"/>
      <c r="G57" s="840">
        <f>SUM(G30+G55)</f>
        <v>227417607</v>
      </c>
      <c r="H57" s="840">
        <f>SUM(H30+H55)</f>
        <v>228519358</v>
      </c>
    </row>
    <row r="58" spans="1:8" ht="12.75">
      <c r="A58" s="829"/>
      <c r="B58" s="829"/>
      <c r="C58" s="829"/>
      <c r="D58" s="829"/>
      <c r="E58" s="829"/>
      <c r="F58" s="829"/>
      <c r="G58" s="829"/>
      <c r="H58" s="829"/>
    </row>
    <row r="59" spans="1:8" ht="12.75">
      <c r="A59" s="829"/>
      <c r="B59" s="829"/>
      <c r="C59" s="829"/>
      <c r="D59" s="829"/>
      <c r="E59" s="829"/>
      <c r="F59" s="829"/>
      <c r="G59" s="829"/>
      <c r="H59" s="829"/>
    </row>
    <row r="60" spans="1:8" ht="12.75">
      <c r="A60" s="829"/>
      <c r="B60" s="829"/>
      <c r="C60" s="829"/>
      <c r="D60" s="829"/>
      <c r="E60" s="829"/>
      <c r="F60" s="829"/>
      <c r="G60" s="829"/>
      <c r="H60" s="829"/>
    </row>
    <row r="61" spans="1:8" ht="12.75">
      <c r="A61" s="829"/>
      <c r="B61" s="829"/>
      <c r="C61" s="829"/>
      <c r="D61" s="829"/>
      <c r="E61" s="829"/>
      <c r="F61" s="829"/>
      <c r="G61" s="829"/>
      <c r="H61" s="829"/>
    </row>
    <row r="62" spans="1:8" ht="12.75">
      <c r="A62" s="829"/>
      <c r="B62" s="833" t="s">
        <v>638</v>
      </c>
      <c r="C62" s="829"/>
      <c r="D62" s="829"/>
      <c r="E62" s="829"/>
      <c r="F62" s="829"/>
      <c r="G62" s="830" t="s">
        <v>605</v>
      </c>
      <c r="H62" s="830" t="s">
        <v>930</v>
      </c>
    </row>
    <row r="63" spans="1:8" ht="12.75">
      <c r="A63" s="829"/>
      <c r="B63" s="829"/>
      <c r="C63" s="829"/>
      <c r="D63" s="829"/>
      <c r="E63" s="829"/>
      <c r="F63" s="829"/>
      <c r="G63" s="829"/>
      <c r="H63" s="829"/>
    </row>
    <row r="64" spans="1:8" ht="12.75">
      <c r="A64" s="829"/>
      <c r="B64" s="829"/>
      <c r="C64" s="829"/>
      <c r="D64" s="829"/>
      <c r="E64" s="829"/>
      <c r="F64" s="829"/>
      <c r="G64" s="829"/>
      <c r="H64" s="829"/>
    </row>
    <row r="65" spans="1:8" ht="12.75">
      <c r="A65" s="837" t="s">
        <v>1217</v>
      </c>
      <c r="B65" s="829"/>
      <c r="C65" s="829"/>
      <c r="D65" s="829"/>
      <c r="E65" s="829"/>
      <c r="F65" s="829"/>
      <c r="G65" s="832"/>
      <c r="H65" s="832"/>
    </row>
    <row r="66" spans="1:8" ht="12.75">
      <c r="A66" s="837" t="s">
        <v>1221</v>
      </c>
      <c r="B66" s="829"/>
      <c r="C66" s="829"/>
      <c r="D66" s="829"/>
      <c r="E66" s="829"/>
      <c r="F66" s="829"/>
      <c r="G66" s="832">
        <v>221588490</v>
      </c>
      <c r="H66" s="832">
        <v>220047607</v>
      </c>
    </row>
    <row r="67" spans="1:8" ht="12.75">
      <c r="A67" s="833" t="s">
        <v>1216</v>
      </c>
      <c r="B67" s="831"/>
      <c r="C67" s="831"/>
      <c r="D67" s="831"/>
      <c r="E67" s="831"/>
      <c r="F67" s="831"/>
      <c r="G67" s="834">
        <f>SUM(G65:G66)</f>
        <v>221588490</v>
      </c>
      <c r="H67" s="834">
        <f>SUM(H65:H66)</f>
        <v>220047607</v>
      </c>
    </row>
    <row r="68" spans="1:8" ht="15.75">
      <c r="A68" s="838"/>
      <c r="B68" s="839"/>
      <c r="C68" s="839"/>
      <c r="D68" s="839"/>
      <c r="E68" s="839"/>
      <c r="F68" s="839"/>
      <c r="G68" s="840"/>
      <c r="H68" s="840"/>
    </row>
    <row r="69" spans="1:8" ht="12.75">
      <c r="A69" s="837" t="s">
        <v>1220</v>
      </c>
      <c r="B69" s="829"/>
      <c r="C69" s="829"/>
      <c r="D69" s="829"/>
      <c r="E69" s="829"/>
      <c r="F69" s="829"/>
      <c r="G69" s="843">
        <v>1441</v>
      </c>
      <c r="H69" s="843">
        <v>9945</v>
      </c>
    </row>
    <row r="70" spans="1:8" ht="12.75">
      <c r="A70" s="837" t="s">
        <v>1218</v>
      </c>
      <c r="B70" s="829"/>
      <c r="C70" s="829"/>
      <c r="D70" s="829"/>
      <c r="E70" s="829"/>
      <c r="F70" s="829"/>
      <c r="G70" s="843">
        <v>-114388</v>
      </c>
      <c r="H70" s="843">
        <v>759182</v>
      </c>
    </row>
    <row r="71" spans="1:8" ht="12.75">
      <c r="A71" s="833" t="s">
        <v>1219</v>
      </c>
      <c r="B71" s="831"/>
      <c r="C71" s="831"/>
      <c r="D71" s="831"/>
      <c r="E71" s="831"/>
      <c r="F71" s="831"/>
      <c r="G71" s="834">
        <f>SUM(G69:G70)</f>
        <v>-112947</v>
      </c>
      <c r="H71" s="834">
        <f>SUM(H69:H70)</f>
        <v>769127</v>
      </c>
    </row>
    <row r="72" spans="1:8" ht="15.75">
      <c r="A72" s="838" t="s">
        <v>639</v>
      </c>
      <c r="B72" s="829"/>
      <c r="C72" s="829"/>
      <c r="D72" s="829"/>
      <c r="E72" s="829"/>
      <c r="F72" s="829"/>
      <c r="G72" s="969">
        <f>SUM(G71+G67)</f>
        <v>221475543</v>
      </c>
      <c r="H72" s="969">
        <f>SUM(H71+H67)</f>
        <v>220816734</v>
      </c>
    </row>
    <row r="73" spans="1:8" ht="12.75">
      <c r="A73" s="829"/>
      <c r="B73" s="829"/>
      <c r="C73" s="829"/>
      <c r="D73" s="829"/>
      <c r="E73" s="829"/>
      <c r="F73" s="829"/>
      <c r="G73" s="832"/>
      <c r="H73" s="832"/>
    </row>
    <row r="74" spans="1:8" ht="12.75">
      <c r="A74" s="837" t="s">
        <v>640</v>
      </c>
      <c r="B74" s="829"/>
      <c r="C74" s="829"/>
      <c r="D74" s="829"/>
      <c r="E74" s="829"/>
      <c r="F74" s="829"/>
      <c r="G74" s="832">
        <f>SUM(G75:G76)</f>
        <v>797151</v>
      </c>
      <c r="H74" s="832">
        <f>SUM(H75:H76)</f>
        <v>1673093</v>
      </c>
    </row>
    <row r="75" spans="1:8" ht="12.75">
      <c r="A75" s="829" t="s">
        <v>641</v>
      </c>
      <c r="B75" s="829"/>
      <c r="C75" s="829"/>
      <c r="D75" s="829"/>
      <c r="E75" s="829"/>
      <c r="F75" s="829"/>
      <c r="G75" s="832">
        <v>797151</v>
      </c>
      <c r="H75" s="832">
        <v>1673093</v>
      </c>
    </row>
    <row r="76" spans="1:8" ht="12.75">
      <c r="A76" s="829" t="s">
        <v>642</v>
      </c>
      <c r="B76" s="829"/>
      <c r="C76" s="829"/>
      <c r="D76" s="829"/>
      <c r="E76" s="829"/>
      <c r="F76" s="829"/>
      <c r="G76" s="832"/>
      <c r="H76" s="832"/>
    </row>
    <row r="77" spans="1:8" ht="12.75">
      <c r="A77" s="837" t="s">
        <v>1222</v>
      </c>
      <c r="B77" s="829"/>
      <c r="C77" s="829"/>
      <c r="D77" s="829"/>
      <c r="E77" s="829"/>
      <c r="F77" s="829"/>
      <c r="G77" s="832"/>
      <c r="H77" s="832"/>
    </row>
    <row r="78" spans="1:8" ht="12.75">
      <c r="A78" s="833" t="s">
        <v>643</v>
      </c>
      <c r="B78" s="833"/>
      <c r="C78" s="833"/>
      <c r="D78" s="833"/>
      <c r="E78" s="833"/>
      <c r="F78" s="833"/>
      <c r="G78" s="845">
        <f>SUM(G74+G77)</f>
        <v>797151</v>
      </c>
      <c r="H78" s="845">
        <f>SUM(H74+H77)</f>
        <v>1673093</v>
      </c>
    </row>
    <row r="79" spans="1:8" ht="12.75">
      <c r="A79" s="970" t="s">
        <v>1223</v>
      </c>
      <c r="B79" s="829"/>
      <c r="C79" s="829"/>
      <c r="D79" s="829"/>
      <c r="E79" s="829"/>
      <c r="F79" s="829"/>
      <c r="G79" s="832"/>
      <c r="H79" s="832"/>
    </row>
    <row r="80" spans="1:8" ht="15.75">
      <c r="A80" s="838" t="s">
        <v>644</v>
      </c>
      <c r="B80" s="838"/>
      <c r="C80" s="838"/>
      <c r="D80" s="838"/>
      <c r="E80" s="838"/>
      <c r="F80" s="838"/>
      <c r="G80" s="840">
        <f>SUM(G78:G79)</f>
        <v>797151</v>
      </c>
      <c r="H80" s="840">
        <f>SUM(H78:H79)</f>
        <v>1673093</v>
      </c>
    </row>
    <row r="81" spans="1:8" ht="12.75">
      <c r="A81" s="829"/>
      <c r="B81" s="829"/>
      <c r="C81" s="829"/>
      <c r="D81" s="829"/>
      <c r="E81" s="829"/>
      <c r="F81" s="829"/>
      <c r="G81" s="832"/>
      <c r="H81" s="832"/>
    </row>
    <row r="82" spans="1:8" ht="12.75">
      <c r="A82" s="837" t="s">
        <v>1224</v>
      </c>
      <c r="B82" s="829"/>
      <c r="C82" s="829"/>
      <c r="D82" s="829"/>
      <c r="E82" s="829"/>
      <c r="F82" s="829"/>
      <c r="G82" s="832">
        <v>173730</v>
      </c>
      <c r="H82" s="832">
        <v>278050</v>
      </c>
    </row>
    <row r="83" spans="1:8" ht="12.75">
      <c r="A83" s="837" t="s">
        <v>1225</v>
      </c>
      <c r="B83" s="829"/>
      <c r="C83" s="829"/>
      <c r="D83" s="829"/>
      <c r="E83" s="829"/>
      <c r="F83" s="829"/>
      <c r="G83" s="832">
        <v>3760048</v>
      </c>
      <c r="H83" s="832">
        <v>3927215</v>
      </c>
    </row>
    <row r="84" spans="1:8" ht="12.75">
      <c r="A84" s="833" t="s">
        <v>1226</v>
      </c>
      <c r="B84" s="833"/>
      <c r="C84" s="833"/>
      <c r="D84" s="833"/>
      <c r="E84" s="833"/>
      <c r="F84" s="833"/>
      <c r="G84" s="834">
        <f>SUM(G82:G83)</f>
        <v>3933778</v>
      </c>
      <c r="H84" s="834">
        <f>SUM(H82:H83)</f>
        <v>4205265</v>
      </c>
    </row>
    <row r="85" spans="1:8" ht="12.75">
      <c r="A85" s="829"/>
      <c r="B85" s="829"/>
      <c r="C85" s="829"/>
      <c r="D85" s="829"/>
      <c r="E85" s="829"/>
      <c r="F85" s="829"/>
      <c r="G85" s="832"/>
      <c r="H85" s="832"/>
    </row>
    <row r="86" spans="1:8" ht="12.75">
      <c r="A86" s="829"/>
      <c r="B86" s="829"/>
      <c r="C86" s="829"/>
      <c r="D86" s="829"/>
      <c r="E86" s="829"/>
      <c r="F86" s="829"/>
      <c r="G86" s="832"/>
      <c r="H86" s="832"/>
    </row>
    <row r="87" spans="1:8" ht="12.75">
      <c r="A87" s="837" t="s">
        <v>1227</v>
      </c>
      <c r="B87" s="829"/>
      <c r="C87" s="829"/>
      <c r="D87" s="829"/>
      <c r="E87" s="829"/>
      <c r="F87" s="829"/>
      <c r="G87" s="832">
        <v>27057</v>
      </c>
      <c r="H87" s="832">
        <v>56371</v>
      </c>
    </row>
    <row r="88" spans="1:8" ht="12.75">
      <c r="A88" s="837" t="s">
        <v>1228</v>
      </c>
      <c r="B88" s="829"/>
      <c r="C88" s="829"/>
      <c r="D88" s="829"/>
      <c r="E88" s="829"/>
      <c r="F88" s="829"/>
      <c r="G88" s="832">
        <v>628666</v>
      </c>
      <c r="H88" s="832">
        <v>872500</v>
      </c>
    </row>
    <row r="89" spans="1:8" ht="12.75">
      <c r="A89" s="837" t="s">
        <v>1229</v>
      </c>
      <c r="B89" s="829"/>
      <c r="C89" s="829"/>
      <c r="D89" s="829"/>
      <c r="E89" s="829"/>
      <c r="F89" s="829"/>
      <c r="G89" s="832">
        <v>170261</v>
      </c>
      <c r="H89" s="832">
        <v>264057</v>
      </c>
    </row>
    <row r="90" spans="1:8" ht="12.75">
      <c r="A90" s="837" t="s">
        <v>1230</v>
      </c>
      <c r="B90" s="829"/>
      <c r="C90" s="829"/>
      <c r="D90" s="829"/>
      <c r="E90" s="829"/>
      <c r="F90" s="829"/>
      <c r="G90" s="832">
        <v>347591</v>
      </c>
      <c r="H90" s="832">
        <v>288521</v>
      </c>
    </row>
    <row r="91" spans="1:8" ht="12.75">
      <c r="A91" s="833" t="s">
        <v>645</v>
      </c>
      <c r="B91" s="833"/>
      <c r="C91" s="833"/>
      <c r="D91" s="833"/>
      <c r="E91" s="833"/>
      <c r="F91" s="833"/>
      <c r="G91" s="834">
        <f>SUM(G87:G90)</f>
        <v>1173575</v>
      </c>
      <c r="H91" s="834">
        <f>SUM(H87:H90)</f>
        <v>1481449</v>
      </c>
    </row>
    <row r="92" spans="1:8" ht="12.75">
      <c r="A92" s="829"/>
      <c r="B92" s="829"/>
      <c r="C92" s="829"/>
      <c r="D92" s="829"/>
      <c r="E92" s="829"/>
      <c r="F92" s="829"/>
      <c r="G92" s="832"/>
      <c r="H92" s="832"/>
    </row>
    <row r="93" spans="1:8" ht="12.75">
      <c r="A93" s="829"/>
      <c r="B93" s="829"/>
      <c r="C93" s="829"/>
      <c r="D93" s="829"/>
      <c r="E93" s="829"/>
      <c r="F93" s="829"/>
      <c r="G93" s="829"/>
      <c r="H93" s="829"/>
    </row>
    <row r="94" spans="1:8" ht="12.75">
      <c r="A94" s="837" t="s">
        <v>1231</v>
      </c>
      <c r="B94" s="829"/>
      <c r="C94" s="829"/>
      <c r="D94" s="829"/>
      <c r="E94" s="829"/>
      <c r="F94" s="829"/>
      <c r="G94" s="832">
        <v>17589</v>
      </c>
      <c r="H94" s="832">
        <v>288486</v>
      </c>
    </row>
    <row r="95" spans="1:8" ht="12.75">
      <c r="A95" s="837" t="s">
        <v>1232</v>
      </c>
      <c r="B95" s="829"/>
      <c r="C95" s="829"/>
      <c r="D95" s="829"/>
      <c r="E95" s="829"/>
      <c r="F95" s="829"/>
      <c r="G95" s="832">
        <v>258</v>
      </c>
      <c r="H95" s="832">
        <v>27924</v>
      </c>
    </row>
    <row r="96" spans="1:8" ht="12.75">
      <c r="A96" s="837" t="s">
        <v>1233</v>
      </c>
      <c r="B96" s="829"/>
      <c r="C96" s="829"/>
      <c r="D96" s="829"/>
      <c r="E96" s="829"/>
      <c r="F96" s="829"/>
      <c r="G96" s="832">
        <v>19713</v>
      </c>
      <c r="H96" s="832">
        <v>26407</v>
      </c>
    </row>
    <row r="97" spans="1:8" ht="12.75">
      <c r="A97" s="837" t="s">
        <v>1234</v>
      </c>
      <c r="B97" s="829"/>
      <c r="C97" s="829"/>
      <c r="D97" s="829"/>
      <c r="E97" s="829"/>
      <c r="F97" s="829"/>
      <c r="G97" s="832">
        <v>16667</v>
      </c>
      <c r="H97" s="832">
        <v>23252</v>
      </c>
    </row>
    <row r="98" spans="1:8" ht="12.75">
      <c r="A98" s="833" t="s">
        <v>646</v>
      </c>
      <c r="B98" s="833"/>
      <c r="C98" s="833"/>
      <c r="D98" s="833"/>
      <c r="E98" s="833"/>
      <c r="F98" s="833"/>
      <c r="G98" s="834">
        <f>SUM(G94:G97)-G97</f>
        <v>37560</v>
      </c>
      <c r="H98" s="834">
        <f>SUM(H94:H97)-H97</f>
        <v>342817</v>
      </c>
    </row>
    <row r="99" spans="1:8" ht="12.75">
      <c r="A99" s="829"/>
      <c r="B99" s="829"/>
      <c r="C99" s="829"/>
      <c r="D99" s="829"/>
      <c r="E99" s="829"/>
      <c r="F99" s="829"/>
      <c r="G99" s="829"/>
      <c r="H99" s="829"/>
    </row>
    <row r="100" spans="1:8" ht="12.75">
      <c r="A100" s="829"/>
      <c r="B100" s="829"/>
      <c r="C100" s="829"/>
      <c r="D100" s="829"/>
      <c r="E100" s="829"/>
      <c r="F100" s="829"/>
      <c r="G100" s="829"/>
      <c r="H100" s="829"/>
    </row>
    <row r="101" spans="1:8" ht="15.75">
      <c r="A101" s="838" t="s">
        <v>647</v>
      </c>
      <c r="B101" s="838"/>
      <c r="C101" s="838"/>
      <c r="D101" s="838"/>
      <c r="E101" s="838"/>
      <c r="F101" s="838"/>
      <c r="G101" s="840">
        <f>SUM(G84+G91+G98)</f>
        <v>5144913</v>
      </c>
      <c r="H101" s="840">
        <f>SUM(H84+H91+H98)</f>
        <v>6029531</v>
      </c>
    </row>
    <row r="102" spans="1:8" ht="12.75">
      <c r="A102" s="829"/>
      <c r="B102" s="829"/>
      <c r="C102" s="829"/>
      <c r="D102" s="829"/>
      <c r="E102" s="829"/>
      <c r="F102" s="829"/>
      <c r="G102" s="829"/>
      <c r="H102" s="829"/>
    </row>
    <row r="103" spans="1:8" ht="15.75">
      <c r="A103" s="838" t="s">
        <v>648</v>
      </c>
      <c r="B103" s="839"/>
      <c r="C103" s="839"/>
      <c r="D103" s="839"/>
      <c r="E103" s="839"/>
      <c r="F103" s="839"/>
      <c r="G103" s="840">
        <f>SUM(G80+G101+G72)</f>
        <v>227417607</v>
      </c>
      <c r="H103" s="840">
        <f>SUM(H80+H101+H72)</f>
        <v>228519358</v>
      </c>
    </row>
  </sheetData>
  <printOptions/>
  <pageMargins left="0.3937007874015748" right="0.3937007874015748" top="0.5905511811023623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156"/>
  <sheetViews>
    <sheetView view="pageBreakPreview" zoomScale="75" zoomScaleSheetLayoutView="75" workbookViewId="0" topLeftCell="A10">
      <selection activeCell="B39" sqref="B39"/>
    </sheetView>
  </sheetViews>
  <sheetFormatPr defaultColWidth="10.25390625" defaultRowHeight="12.75"/>
  <cols>
    <col min="1" max="1" width="88.875" style="846" customWidth="1"/>
    <col min="2" max="2" width="8.75390625" style="846" customWidth="1"/>
    <col min="3" max="3" width="19.125" style="847" customWidth="1"/>
    <col min="4" max="4" width="17.875" style="846" customWidth="1"/>
    <col min="5" max="16384" width="10.25390625" style="846" customWidth="1"/>
  </cols>
  <sheetData>
    <row r="1" spans="1:4" ht="22.5" customHeight="1">
      <c r="A1" s="1389" t="s">
        <v>498</v>
      </c>
      <c r="B1" s="1390"/>
      <c r="C1" s="1390"/>
      <c r="D1" s="1390"/>
    </row>
    <row r="2" spans="1:4" ht="75.75" customHeight="1">
      <c r="A2" s="1407" t="s">
        <v>500</v>
      </c>
      <c r="B2" s="1389"/>
      <c r="C2" s="1389"/>
      <c r="D2" s="1389"/>
    </row>
    <row r="3" spans="1:4" ht="18" customHeight="1">
      <c r="A3" s="848"/>
      <c r="B3" s="849"/>
      <c r="C3" s="849"/>
      <c r="D3" s="849"/>
    </row>
    <row r="4" spans="3:4" ht="16.5" thickBot="1">
      <c r="C4" s="846"/>
      <c r="D4" s="850" t="s">
        <v>1408</v>
      </c>
    </row>
    <row r="5" spans="1:5" ht="15.75">
      <c r="A5" s="1408" t="s">
        <v>650</v>
      </c>
      <c r="B5" s="1410" t="s">
        <v>651</v>
      </c>
      <c r="C5" s="1412" t="s">
        <v>652</v>
      </c>
      <c r="D5" s="1410" t="s">
        <v>653</v>
      </c>
      <c r="E5" s="851"/>
    </row>
    <row r="6" spans="1:5" ht="16.5" thickBot="1">
      <c r="A6" s="1409"/>
      <c r="B6" s="1411"/>
      <c r="C6" s="1411"/>
      <c r="D6" s="1413"/>
      <c r="E6" s="851"/>
    </row>
    <row r="7" spans="1:5" ht="15.75">
      <c r="A7" s="852" t="s">
        <v>654</v>
      </c>
      <c r="B7" s="853">
        <v>1</v>
      </c>
      <c r="C7" s="854">
        <v>498952</v>
      </c>
      <c r="D7" s="854">
        <f>D8+D15</f>
        <v>51308</v>
      </c>
      <c r="E7" s="851"/>
    </row>
    <row r="8" spans="1:4" ht="15.75">
      <c r="A8" s="855" t="s">
        <v>661</v>
      </c>
      <c r="B8" s="856">
        <v>2</v>
      </c>
      <c r="C8" s="1007">
        <f>C9+C14</f>
        <v>498809</v>
      </c>
      <c r="D8" s="1007">
        <f>D9+D14</f>
        <v>51293</v>
      </c>
    </row>
    <row r="9" spans="1:6" ht="15.75">
      <c r="A9" s="857" t="s">
        <v>662</v>
      </c>
      <c r="B9" s="858">
        <v>3</v>
      </c>
      <c r="C9" s="1008">
        <f>C10+C11</f>
        <v>0</v>
      </c>
      <c r="D9" s="1008">
        <f>D10+D11</f>
        <v>0</v>
      </c>
      <c r="F9" s="859"/>
    </row>
    <row r="10" spans="1:4" ht="15.75">
      <c r="A10" s="860" t="s">
        <v>663</v>
      </c>
      <c r="B10" s="856" t="s">
        <v>664</v>
      </c>
      <c r="C10" s="1009"/>
      <c r="D10" s="1009"/>
    </row>
    <row r="11" spans="1:4" ht="15.75">
      <c r="A11" s="860" t="s">
        <v>665</v>
      </c>
      <c r="B11" s="856" t="s">
        <v>666</v>
      </c>
      <c r="C11" s="1009"/>
      <c r="D11" s="1009"/>
    </row>
    <row r="12" spans="1:4" ht="15.75">
      <c r="A12" s="864" t="s">
        <v>673</v>
      </c>
      <c r="B12" s="1001" t="s">
        <v>1398</v>
      </c>
      <c r="C12" s="1009"/>
      <c r="D12" s="1009"/>
    </row>
    <row r="13" spans="1:4" ht="15.75">
      <c r="A13" s="864" t="s">
        <v>675</v>
      </c>
      <c r="B13" s="1001" t="s">
        <v>1399</v>
      </c>
      <c r="C13" s="1009"/>
      <c r="D13" s="1009"/>
    </row>
    <row r="14" spans="1:4" ht="15.75">
      <c r="A14" s="857" t="s">
        <v>667</v>
      </c>
      <c r="B14" s="858">
        <v>4</v>
      </c>
      <c r="C14" s="1008">
        <v>498809</v>
      </c>
      <c r="D14" s="1008">
        <v>51293</v>
      </c>
    </row>
    <row r="15" spans="1:4" ht="16.5" thickBot="1">
      <c r="A15" s="971" t="s">
        <v>668</v>
      </c>
      <c r="B15" s="886">
        <v>5</v>
      </c>
      <c r="C15" s="1035">
        <v>143</v>
      </c>
      <c r="D15" s="1035">
        <v>15</v>
      </c>
    </row>
    <row r="16" spans="1:4" ht="16.5" thickBot="1">
      <c r="A16" s="861" t="s">
        <v>669</v>
      </c>
      <c r="B16" s="862">
        <v>6</v>
      </c>
      <c r="C16" s="1010">
        <f>C17+C24+C33+C37+C39+C48</f>
        <v>234094402</v>
      </c>
      <c r="D16" s="1010">
        <f>D17+D24+D33+D39</f>
        <v>222489799</v>
      </c>
    </row>
    <row r="17" spans="1:4" ht="16.5" thickBot="1">
      <c r="A17" s="861" t="s">
        <v>670</v>
      </c>
      <c r="B17" s="862">
        <v>7</v>
      </c>
      <c r="C17" s="1010">
        <f>C18+C23</f>
        <v>231761854</v>
      </c>
      <c r="D17" s="1010">
        <f>D18+D23</f>
        <v>220917750</v>
      </c>
    </row>
    <row r="18" spans="1:4" ht="15.75">
      <c r="A18" s="855" t="s">
        <v>671</v>
      </c>
      <c r="B18" s="856">
        <v>8</v>
      </c>
      <c r="C18" s="1007">
        <f>C19+C22</f>
        <v>216356019</v>
      </c>
      <c r="D18" s="1007">
        <f>D19+D22</f>
        <v>207423428</v>
      </c>
    </row>
    <row r="19" spans="1:4" ht="15.75">
      <c r="A19" s="857" t="s">
        <v>672</v>
      </c>
      <c r="B19" s="858">
        <v>9</v>
      </c>
      <c r="C19" s="1008">
        <v>194157515</v>
      </c>
      <c r="D19" s="1008">
        <v>186717647</v>
      </c>
    </row>
    <row r="20" spans="1:4" ht="15.75">
      <c r="A20" s="864" t="s">
        <v>673</v>
      </c>
      <c r="B20" s="865" t="s">
        <v>674</v>
      </c>
      <c r="C20" s="1011"/>
      <c r="D20" s="1011"/>
    </row>
    <row r="21" spans="1:4" ht="15.75">
      <c r="A21" s="864" t="s">
        <v>675</v>
      </c>
      <c r="B21" s="865" t="s">
        <v>676</v>
      </c>
      <c r="C21" s="1011">
        <v>194157515</v>
      </c>
      <c r="D21" s="1011">
        <v>186717647</v>
      </c>
    </row>
    <row r="22" spans="1:4" ht="15.75">
      <c r="A22" s="857" t="s">
        <v>677</v>
      </c>
      <c r="B22" s="858">
        <v>10</v>
      </c>
      <c r="C22" s="1008">
        <v>22198504</v>
      </c>
      <c r="D22" s="1008">
        <v>20705781</v>
      </c>
    </row>
    <row r="23" spans="1:4" ht="16.5" thickBot="1">
      <c r="A23" s="971" t="s">
        <v>668</v>
      </c>
      <c r="B23" s="886">
        <v>11</v>
      </c>
      <c r="C23" s="1035">
        <v>15405835</v>
      </c>
      <c r="D23" s="1035">
        <v>13494322</v>
      </c>
    </row>
    <row r="24" spans="1:4" ht="16.5" thickBot="1">
      <c r="A24" s="866" t="s">
        <v>678</v>
      </c>
      <c r="B24" s="862">
        <v>12</v>
      </c>
      <c r="C24" s="1010">
        <f>C25+C32</f>
        <v>1033067</v>
      </c>
      <c r="D24" s="1010">
        <f>D25+D32</f>
        <v>315580</v>
      </c>
    </row>
    <row r="25" spans="1:4" ht="15.75">
      <c r="A25" s="855" t="s">
        <v>679</v>
      </c>
      <c r="B25" s="856">
        <v>13</v>
      </c>
      <c r="C25" s="1007">
        <f>C26+C31</f>
        <v>612754</v>
      </c>
      <c r="D25" s="1007">
        <f>D26+D31</f>
        <v>106368</v>
      </c>
    </row>
    <row r="26" spans="1:4" ht="15.75">
      <c r="A26" s="857" t="s">
        <v>680</v>
      </c>
      <c r="B26" s="858">
        <v>14</v>
      </c>
      <c r="C26" s="1008">
        <f>C27+C28</f>
        <v>93859</v>
      </c>
      <c r="D26" s="1008">
        <v>20676</v>
      </c>
    </row>
    <row r="27" spans="1:4" ht="15.75">
      <c r="A27" s="860" t="s">
        <v>663</v>
      </c>
      <c r="B27" s="856" t="s">
        <v>681</v>
      </c>
      <c r="C27" s="1011"/>
      <c r="D27" s="1011"/>
    </row>
    <row r="28" spans="1:4" ht="15.75">
      <c r="A28" s="860" t="s">
        <v>665</v>
      </c>
      <c r="B28" s="856" t="s">
        <v>682</v>
      </c>
      <c r="C28" s="1011">
        <f>C29+C30</f>
        <v>93859</v>
      </c>
      <c r="D28" s="1011">
        <v>20676</v>
      </c>
    </row>
    <row r="29" spans="1:4" ht="15.75">
      <c r="A29" s="864" t="s">
        <v>673</v>
      </c>
      <c r="B29" s="867" t="s">
        <v>683</v>
      </c>
      <c r="C29" s="1011"/>
      <c r="D29" s="1011"/>
    </row>
    <row r="30" spans="1:4" ht="15.75">
      <c r="A30" s="864" t="s">
        <v>675</v>
      </c>
      <c r="B30" s="867" t="s">
        <v>684</v>
      </c>
      <c r="C30" s="1011">
        <v>93859</v>
      </c>
      <c r="D30" s="1011">
        <v>20676</v>
      </c>
    </row>
    <row r="31" spans="1:4" ht="15.75">
      <c r="A31" s="857" t="s">
        <v>667</v>
      </c>
      <c r="B31" s="858">
        <v>15</v>
      </c>
      <c r="C31" s="1008">
        <v>518895</v>
      </c>
      <c r="D31" s="1008">
        <v>85692</v>
      </c>
    </row>
    <row r="32" spans="1:4" ht="16.5" thickBot="1">
      <c r="A32" s="971" t="s">
        <v>668</v>
      </c>
      <c r="B32" s="886">
        <v>16</v>
      </c>
      <c r="C32" s="1035">
        <v>420313</v>
      </c>
      <c r="D32" s="1035">
        <v>209212</v>
      </c>
    </row>
    <row r="33" spans="1:4" ht="16.5" thickBot="1">
      <c r="A33" s="866" t="s">
        <v>685</v>
      </c>
      <c r="B33" s="862">
        <v>17</v>
      </c>
      <c r="C33" s="1010">
        <f>C34+C36</f>
        <v>73327</v>
      </c>
      <c r="D33" s="1010">
        <v>30315</v>
      </c>
    </row>
    <row r="34" spans="1:4" ht="15.75">
      <c r="A34" s="1002" t="s">
        <v>1400</v>
      </c>
      <c r="B34" s="853">
        <v>17</v>
      </c>
      <c r="C34" s="1012">
        <v>4181</v>
      </c>
      <c r="D34" s="1012">
        <v>1846</v>
      </c>
    </row>
    <row r="35" spans="1:4" ht="15.75">
      <c r="A35" s="1236" t="s">
        <v>667</v>
      </c>
      <c r="B35" s="1003" t="s">
        <v>1401</v>
      </c>
      <c r="C35" s="1013">
        <v>4181</v>
      </c>
      <c r="D35" s="1013">
        <v>1846</v>
      </c>
    </row>
    <row r="36" spans="1:4" ht="16.5" thickBot="1">
      <c r="A36" s="971" t="s">
        <v>668</v>
      </c>
      <c r="B36" s="886">
        <v>18</v>
      </c>
      <c r="C36" s="1035">
        <v>69146</v>
      </c>
      <c r="D36" s="1035">
        <v>28469</v>
      </c>
    </row>
    <row r="37" spans="1:4" ht="16.5" thickBot="1">
      <c r="A37" s="866" t="s">
        <v>686</v>
      </c>
      <c r="B37" s="862">
        <v>19</v>
      </c>
      <c r="C37" s="1010">
        <f>C38</f>
        <v>0</v>
      </c>
      <c r="D37" s="1010">
        <f>D38</f>
        <v>0</v>
      </c>
    </row>
    <row r="38" spans="1:4" ht="16.5" thickBot="1">
      <c r="A38" s="971" t="s">
        <v>668</v>
      </c>
      <c r="B38" s="886">
        <v>20</v>
      </c>
      <c r="C38" s="1035"/>
      <c r="D38" s="1035"/>
    </row>
    <row r="39" spans="1:4" ht="16.5" thickBot="1">
      <c r="A39" s="866" t="s">
        <v>687</v>
      </c>
      <c r="B39" s="862">
        <v>21</v>
      </c>
      <c r="C39" s="1010">
        <f>C40+C47</f>
        <v>1226154</v>
      </c>
      <c r="D39" s="1010">
        <f>D40+D47</f>
        <v>1226154</v>
      </c>
    </row>
    <row r="40" spans="1:4" ht="15.75">
      <c r="A40" s="855" t="s">
        <v>688</v>
      </c>
      <c r="B40" s="856">
        <v>22</v>
      </c>
      <c r="C40" s="1007">
        <f>C41+C46</f>
        <v>1181879</v>
      </c>
      <c r="D40" s="1007">
        <f>D41+D46</f>
        <v>1181879</v>
      </c>
    </row>
    <row r="41" spans="1:4" ht="15.75">
      <c r="A41" s="857" t="s">
        <v>689</v>
      </c>
      <c r="B41" s="858">
        <v>23</v>
      </c>
      <c r="C41" s="1008">
        <v>1022952</v>
      </c>
      <c r="D41" s="1008">
        <v>1022952</v>
      </c>
    </row>
    <row r="42" spans="1:4" ht="15.75">
      <c r="A42" s="860" t="s">
        <v>663</v>
      </c>
      <c r="B42" s="858" t="s">
        <v>690</v>
      </c>
      <c r="C42" s="1009"/>
      <c r="D42" s="1009"/>
    </row>
    <row r="43" spans="1:4" ht="15.75">
      <c r="A43" s="860" t="s">
        <v>665</v>
      </c>
      <c r="B43" s="858" t="s">
        <v>691</v>
      </c>
      <c r="C43" s="1009"/>
      <c r="D43" s="1009"/>
    </row>
    <row r="44" spans="1:4" ht="15.75">
      <c r="A44" s="864" t="s">
        <v>673</v>
      </c>
      <c r="B44" s="1004" t="s">
        <v>1402</v>
      </c>
      <c r="C44" s="1009"/>
      <c r="D44" s="1009"/>
    </row>
    <row r="45" spans="1:4" ht="15.75">
      <c r="A45" s="864" t="s">
        <v>675</v>
      </c>
      <c r="B45" s="1004" t="s">
        <v>1403</v>
      </c>
      <c r="C45" s="1009">
        <v>1022952</v>
      </c>
      <c r="D45" s="1009">
        <v>1022952</v>
      </c>
    </row>
    <row r="46" spans="1:4" ht="15.75">
      <c r="A46" s="857" t="s">
        <v>667</v>
      </c>
      <c r="B46" s="858">
        <v>24</v>
      </c>
      <c r="C46" s="1008">
        <v>158927</v>
      </c>
      <c r="D46" s="1008">
        <v>158927</v>
      </c>
    </row>
    <row r="47" spans="1:4" ht="16.5" thickBot="1">
      <c r="A47" s="971" t="s">
        <v>668</v>
      </c>
      <c r="B47" s="886">
        <v>25</v>
      </c>
      <c r="C47" s="1035">
        <v>44275</v>
      </c>
      <c r="D47" s="1035">
        <v>44275</v>
      </c>
    </row>
    <row r="48" spans="1:4" ht="16.5" thickBot="1">
      <c r="A48" s="866" t="s">
        <v>692</v>
      </c>
      <c r="B48" s="862">
        <v>26</v>
      </c>
      <c r="C48" s="1010">
        <f>C49+C56</f>
        <v>0</v>
      </c>
      <c r="D48" s="1010">
        <f>D49+D56</f>
        <v>0</v>
      </c>
    </row>
    <row r="49" spans="1:4" ht="15.75">
      <c r="A49" s="855" t="s">
        <v>693</v>
      </c>
      <c r="B49" s="856">
        <v>27</v>
      </c>
      <c r="C49" s="1007">
        <f>C50+C55</f>
        <v>0</v>
      </c>
      <c r="D49" s="1007">
        <f>D50+D55</f>
        <v>0</v>
      </c>
    </row>
    <row r="50" spans="1:4" ht="15.75">
      <c r="A50" s="857" t="s">
        <v>694</v>
      </c>
      <c r="B50" s="858">
        <v>28</v>
      </c>
      <c r="C50" s="1008">
        <f>C51+C52</f>
        <v>0</v>
      </c>
      <c r="D50" s="1008">
        <f>D51+D52</f>
        <v>0</v>
      </c>
    </row>
    <row r="51" spans="1:4" ht="15.75">
      <c r="A51" s="860" t="s">
        <v>663</v>
      </c>
      <c r="B51" s="858" t="s">
        <v>695</v>
      </c>
      <c r="C51" s="1009"/>
      <c r="D51" s="1009"/>
    </row>
    <row r="52" spans="1:4" ht="15.75">
      <c r="A52" s="860" t="s">
        <v>665</v>
      </c>
      <c r="B52" s="858" t="s">
        <v>696</v>
      </c>
      <c r="C52" s="1009"/>
      <c r="D52" s="1009"/>
    </row>
    <row r="53" spans="1:4" ht="15.75">
      <c r="A53" s="864" t="s">
        <v>673</v>
      </c>
      <c r="B53" s="1004" t="s">
        <v>1404</v>
      </c>
      <c r="C53" s="1009"/>
      <c r="D53" s="1009"/>
    </row>
    <row r="54" spans="1:4" ht="15.75">
      <c r="A54" s="864" t="s">
        <v>675</v>
      </c>
      <c r="B54" s="1004" t="s">
        <v>1405</v>
      </c>
      <c r="C54" s="1009"/>
      <c r="D54" s="1009"/>
    </row>
    <row r="55" spans="1:4" ht="15.75">
      <c r="A55" s="857" t="s">
        <v>667</v>
      </c>
      <c r="B55" s="858">
        <v>29</v>
      </c>
      <c r="C55" s="1008"/>
      <c r="D55" s="1008"/>
    </row>
    <row r="56" spans="1:4" ht="16.5" thickBot="1">
      <c r="A56" s="971" t="s">
        <v>668</v>
      </c>
      <c r="B56" s="886">
        <v>30</v>
      </c>
      <c r="C56" s="1035"/>
      <c r="D56" s="1035"/>
    </row>
    <row r="57" spans="1:4" ht="16.5" thickBot="1">
      <c r="A57" s="866" t="s">
        <v>697</v>
      </c>
      <c r="B57" s="862">
        <v>31</v>
      </c>
      <c r="C57" s="1010"/>
      <c r="D57" s="1010"/>
    </row>
    <row r="58" spans="1:8" ht="16.5" thickBot="1">
      <c r="A58" s="866" t="s">
        <v>698</v>
      </c>
      <c r="B58" s="862">
        <v>32</v>
      </c>
      <c r="C58" s="1010">
        <f>C59+C67+C68+C69+C70+C71</f>
        <v>2272306</v>
      </c>
      <c r="D58" s="1010">
        <f>D59+D67+D68+D69+D70+D71</f>
        <v>2272306</v>
      </c>
      <c r="E58" s="868"/>
      <c r="F58" s="869"/>
      <c r="G58" s="870"/>
      <c r="H58" s="870"/>
    </row>
    <row r="59" spans="1:8" ht="15.75">
      <c r="A59" s="871" t="s">
        <v>699</v>
      </c>
      <c r="B59" s="853">
        <v>33</v>
      </c>
      <c r="C59" s="1012">
        <v>587400</v>
      </c>
      <c r="D59" s="1012">
        <v>587400</v>
      </c>
      <c r="E59" s="872"/>
      <c r="F59" s="873"/>
      <c r="G59" s="874"/>
      <c r="H59" s="874"/>
    </row>
    <row r="60" spans="1:8" ht="15.75">
      <c r="A60" s="855" t="s">
        <v>700</v>
      </c>
      <c r="B60" s="875">
        <v>34</v>
      </c>
      <c r="C60" s="1014">
        <f>C61+C65</f>
        <v>587400</v>
      </c>
      <c r="D60" s="1014">
        <v>587400</v>
      </c>
      <c r="E60" s="872"/>
      <c r="F60" s="873"/>
      <c r="G60" s="874"/>
      <c r="H60" s="874"/>
    </row>
    <row r="61" spans="1:8" s="878" customFormat="1" ht="15.75">
      <c r="A61" s="857" t="s">
        <v>701</v>
      </c>
      <c r="B61" s="877">
        <v>35</v>
      </c>
      <c r="C61" s="1015">
        <f>C62</f>
        <v>556930</v>
      </c>
      <c r="D61" s="1015">
        <f>D62</f>
        <v>556930</v>
      </c>
      <c r="E61" s="872"/>
      <c r="F61" s="873"/>
      <c r="G61" s="874"/>
      <c r="H61" s="874"/>
    </row>
    <row r="62" spans="1:8" ht="15.75">
      <c r="A62" s="860" t="s">
        <v>665</v>
      </c>
      <c r="B62" s="877" t="s">
        <v>702</v>
      </c>
      <c r="C62" s="1014">
        <f>C63+C64</f>
        <v>556930</v>
      </c>
      <c r="D62" s="1014">
        <f>D63+D64</f>
        <v>556930</v>
      </c>
      <c r="E62" s="872"/>
      <c r="F62" s="873"/>
      <c r="G62" s="874"/>
      <c r="H62" s="874"/>
    </row>
    <row r="63" spans="1:8" ht="15.75">
      <c r="A63" s="864" t="s">
        <v>673</v>
      </c>
      <c r="B63" s="877" t="s">
        <v>703</v>
      </c>
      <c r="C63" s="1016"/>
      <c r="D63" s="1016"/>
      <c r="E63" s="872"/>
      <c r="F63" s="873"/>
      <c r="G63" s="874"/>
      <c r="H63" s="874"/>
    </row>
    <row r="64" spans="1:8" ht="15.75">
      <c r="A64" s="864" t="s">
        <v>675</v>
      </c>
      <c r="B64" s="877" t="s">
        <v>704</v>
      </c>
      <c r="C64" s="1016">
        <v>556930</v>
      </c>
      <c r="D64" s="1016">
        <v>556930</v>
      </c>
      <c r="E64" s="872"/>
      <c r="F64" s="873"/>
      <c r="G64" s="874"/>
      <c r="H64" s="874"/>
    </row>
    <row r="65" spans="1:8" ht="15.75">
      <c r="A65" s="1005" t="s">
        <v>1406</v>
      </c>
      <c r="B65" s="1006" t="s">
        <v>1407</v>
      </c>
      <c r="C65" s="1017">
        <v>30470</v>
      </c>
      <c r="D65" s="1017">
        <v>30470</v>
      </c>
      <c r="E65" s="874"/>
      <c r="F65" s="873"/>
      <c r="G65" s="874"/>
      <c r="H65" s="874"/>
    </row>
    <row r="66" spans="1:4" ht="16.5" thickBot="1">
      <c r="A66" s="971" t="s">
        <v>668</v>
      </c>
      <c r="B66" s="886"/>
      <c r="C66" s="1035"/>
      <c r="D66" s="1035"/>
    </row>
    <row r="67" spans="1:8" ht="15.75">
      <c r="A67" s="879" t="s">
        <v>705</v>
      </c>
      <c r="B67" s="875">
        <v>37</v>
      </c>
      <c r="C67" s="1014"/>
      <c r="D67" s="1014"/>
      <c r="E67" s="880"/>
      <c r="F67" s="869"/>
      <c r="G67" s="881"/>
      <c r="H67" s="881"/>
    </row>
    <row r="68" spans="1:8" ht="15.75">
      <c r="A68" s="882" t="s">
        <v>706</v>
      </c>
      <c r="B68" s="883">
        <v>38</v>
      </c>
      <c r="C68" s="1018">
        <v>74142</v>
      </c>
      <c r="D68" s="1018">
        <v>74142</v>
      </c>
      <c r="E68" s="880"/>
      <c r="F68" s="869"/>
      <c r="G68" s="881"/>
      <c r="H68" s="881"/>
    </row>
    <row r="69" spans="1:8" ht="15.75">
      <c r="A69" s="882" t="s">
        <v>707</v>
      </c>
      <c r="B69" s="883">
        <v>39</v>
      </c>
      <c r="C69" s="1018"/>
      <c r="D69" s="1018"/>
      <c r="E69" s="872"/>
      <c r="F69" s="873"/>
      <c r="G69" s="874"/>
      <c r="H69" s="874"/>
    </row>
    <row r="70" spans="1:4" ht="15.75">
      <c r="A70" s="882" t="s">
        <v>708</v>
      </c>
      <c r="B70" s="883">
        <v>40</v>
      </c>
      <c r="C70" s="1018">
        <v>1610764</v>
      </c>
      <c r="D70" s="1018">
        <v>1610764</v>
      </c>
    </row>
    <row r="71" spans="1:4" ht="16.5" thickBot="1">
      <c r="A71" s="885" t="s">
        <v>709</v>
      </c>
      <c r="B71" s="886">
        <v>41</v>
      </c>
      <c r="C71" s="1019"/>
      <c r="D71" s="1019"/>
    </row>
    <row r="72" spans="1:4" ht="36.75" customHeight="1" thickBot="1">
      <c r="A72" s="866" t="s">
        <v>710</v>
      </c>
      <c r="B72" s="862">
        <v>42</v>
      </c>
      <c r="C72" s="1010">
        <f>C73+C78</f>
        <v>62991</v>
      </c>
      <c r="D72" s="1010">
        <f>D73+D78</f>
        <v>22488</v>
      </c>
    </row>
    <row r="73" spans="1:4" ht="15.75">
      <c r="A73" s="855" t="s">
        <v>711</v>
      </c>
      <c r="B73" s="856">
        <v>43</v>
      </c>
      <c r="C73" s="1007">
        <f>C74+C77</f>
        <v>62991</v>
      </c>
      <c r="D73" s="1007">
        <f>D74+D77</f>
        <v>22488</v>
      </c>
    </row>
    <row r="74" spans="1:4" ht="15.75">
      <c r="A74" s="857" t="s">
        <v>712</v>
      </c>
      <c r="B74" s="858">
        <v>44</v>
      </c>
      <c r="C74" s="1008">
        <f>C75+C76</f>
        <v>0</v>
      </c>
      <c r="D74" s="1008">
        <f>D75+D76</f>
        <v>0</v>
      </c>
    </row>
    <row r="75" spans="1:4" ht="15.75">
      <c r="A75" s="860" t="s">
        <v>663</v>
      </c>
      <c r="B75" s="858" t="s">
        <v>713</v>
      </c>
      <c r="C75" s="1009"/>
      <c r="D75" s="1009"/>
    </row>
    <row r="76" spans="1:4" ht="15.75">
      <c r="A76" s="860" t="s">
        <v>665</v>
      </c>
      <c r="B76" s="858" t="s">
        <v>714</v>
      </c>
      <c r="C76" s="1009"/>
      <c r="D76" s="1009"/>
    </row>
    <row r="77" spans="1:4" ht="15.75">
      <c r="A77" s="857" t="s">
        <v>667</v>
      </c>
      <c r="B77" s="858">
        <v>45</v>
      </c>
      <c r="C77" s="1008">
        <v>62991</v>
      </c>
      <c r="D77" s="1008">
        <v>22488</v>
      </c>
    </row>
    <row r="78" spans="1:4" ht="16.5" thickBot="1">
      <c r="A78" s="971" t="s">
        <v>668</v>
      </c>
      <c r="B78" s="886">
        <v>46</v>
      </c>
      <c r="C78" s="1035"/>
      <c r="D78" s="1035"/>
    </row>
    <row r="79" spans="1:4" ht="16.5" thickBot="1">
      <c r="A79" s="863" t="s">
        <v>715</v>
      </c>
      <c r="B79" s="899">
        <v>47</v>
      </c>
      <c r="C79" s="1010">
        <f>C7+C16+C58+C72</f>
        <v>236928651</v>
      </c>
      <c r="D79" s="1010">
        <f>D7+D16+D58+D72</f>
        <v>224835901</v>
      </c>
    </row>
    <row r="80" spans="1:4" ht="15.75">
      <c r="A80" s="871" t="s">
        <v>716</v>
      </c>
      <c r="B80" s="853">
        <v>48</v>
      </c>
      <c r="C80" s="1012">
        <v>1757</v>
      </c>
      <c r="D80" s="1012">
        <v>1757</v>
      </c>
    </row>
    <row r="81" spans="1:4" ht="15.75">
      <c r="A81" s="882" t="s">
        <v>717</v>
      </c>
      <c r="B81" s="883">
        <v>49</v>
      </c>
      <c r="C81" s="1018">
        <v>1665790</v>
      </c>
      <c r="D81" s="1018">
        <v>1665790</v>
      </c>
    </row>
    <row r="82" spans="1:4" ht="15.75">
      <c r="A82" s="882" t="s">
        <v>718</v>
      </c>
      <c r="B82" s="883">
        <v>50</v>
      </c>
      <c r="C82" s="1018"/>
      <c r="D82" s="1018"/>
    </row>
    <row r="83" spans="1:4" ht="15.75">
      <c r="A83" s="882" t="s">
        <v>719</v>
      </c>
      <c r="B83" s="883">
        <v>51</v>
      </c>
      <c r="C83" s="1018">
        <v>1372056</v>
      </c>
      <c r="D83" s="1018">
        <v>1372056</v>
      </c>
    </row>
    <row r="84" spans="1:4" ht="16.5" thickBot="1">
      <c r="A84" s="885" t="s">
        <v>720</v>
      </c>
      <c r="B84" s="886">
        <v>52</v>
      </c>
      <c r="C84" s="1019">
        <v>643854</v>
      </c>
      <c r="D84" s="1019">
        <v>643854</v>
      </c>
    </row>
    <row r="85" spans="1:4" ht="16.5" thickBot="1">
      <c r="A85" s="863" t="s">
        <v>721</v>
      </c>
      <c r="B85" s="899">
        <v>53</v>
      </c>
      <c r="C85" s="1010">
        <f>C80+C81+C82+C83+C84</f>
        <v>3683457</v>
      </c>
      <c r="D85" s="1034">
        <f>D80+D81+D82+D83+D84</f>
        <v>3683457</v>
      </c>
    </row>
    <row r="86" spans="1:4" ht="16.5" thickBot="1">
      <c r="A86" s="863" t="s">
        <v>722</v>
      </c>
      <c r="B86" s="899">
        <v>54</v>
      </c>
      <c r="C86" s="1010">
        <f>C79+C85</f>
        <v>240612108</v>
      </c>
      <c r="D86" s="1010">
        <f>D79+D85</f>
        <v>228519358</v>
      </c>
    </row>
    <row r="87" spans="1:4" ht="15.75">
      <c r="A87" s="887"/>
      <c r="B87" s="888"/>
      <c r="C87" s="889"/>
      <c r="D87" s="889"/>
    </row>
    <row r="88" spans="1:4" ht="15.75">
      <c r="A88" s="887"/>
      <c r="B88" s="888"/>
      <c r="C88" s="889"/>
      <c r="D88" s="889"/>
    </row>
    <row r="89" spans="1:2" ht="15.75">
      <c r="A89" s="847"/>
      <c r="B89" s="888"/>
    </row>
    <row r="90" spans="1:4" ht="81.75" customHeight="1">
      <c r="A90" s="1400" t="s">
        <v>723</v>
      </c>
      <c r="B90" s="1400"/>
      <c r="C90" s="1400"/>
      <c r="D90" s="1400"/>
    </row>
    <row r="91" ht="16.5" thickBot="1">
      <c r="D91" s="850" t="s">
        <v>1408</v>
      </c>
    </row>
    <row r="92" spans="1:4" ht="15.75" customHeight="1">
      <c r="A92" s="1391" t="s">
        <v>724</v>
      </c>
      <c r="B92" s="1393" t="s">
        <v>651</v>
      </c>
      <c r="C92" s="1403" t="s">
        <v>653</v>
      </c>
      <c r="D92" s="1404"/>
    </row>
    <row r="93" spans="1:4" ht="24.75" customHeight="1" thickBot="1">
      <c r="A93" s="1392"/>
      <c r="B93" s="1392"/>
      <c r="C93" s="1405"/>
      <c r="D93" s="1406"/>
    </row>
    <row r="94" spans="1:4" ht="15.75">
      <c r="A94" s="890" t="s">
        <v>725</v>
      </c>
      <c r="B94" s="891">
        <v>1</v>
      </c>
      <c r="C94" s="1414">
        <v>220047607</v>
      </c>
      <c r="D94" s="1415"/>
    </row>
    <row r="95" spans="1:4" ht="15.75">
      <c r="A95" s="892" t="s">
        <v>726</v>
      </c>
      <c r="B95" s="893">
        <f>+B94+1</f>
        <v>2</v>
      </c>
      <c r="C95" s="1401">
        <v>769127</v>
      </c>
      <c r="D95" s="1402"/>
    </row>
    <row r="96" spans="1:7" ht="16.5" thickBot="1">
      <c r="A96" s="894" t="s">
        <v>727</v>
      </c>
      <c r="B96" s="895">
        <f>+B95+1</f>
        <v>3</v>
      </c>
      <c r="C96" s="1396"/>
      <c r="D96" s="1397"/>
      <c r="G96" s="846" t="s">
        <v>1098</v>
      </c>
    </row>
    <row r="97" spans="1:4" ht="16.5" thickBot="1">
      <c r="A97" s="863" t="s">
        <v>728</v>
      </c>
      <c r="B97" s="899">
        <f>+B96+1</f>
        <v>4</v>
      </c>
      <c r="C97" s="1398">
        <f>+C94+C95+C96</f>
        <v>220816734</v>
      </c>
      <c r="D97" s="1399"/>
    </row>
    <row r="98" spans="1:4" ht="15.75">
      <c r="A98" s="876" t="s">
        <v>729</v>
      </c>
      <c r="B98" s="891">
        <f>+B97+1</f>
        <v>5</v>
      </c>
      <c r="C98" s="1396">
        <v>1673093</v>
      </c>
      <c r="D98" s="1397"/>
    </row>
    <row r="99" spans="1:4" ht="16.5" thickBot="1">
      <c r="A99" s="884" t="s">
        <v>730</v>
      </c>
      <c r="B99" s="893">
        <v>6</v>
      </c>
      <c r="C99" s="1416"/>
      <c r="D99" s="1417"/>
    </row>
    <row r="100" spans="1:4" ht="16.5" thickBot="1">
      <c r="A100" s="1020" t="s">
        <v>731</v>
      </c>
      <c r="B100" s="899">
        <v>7</v>
      </c>
      <c r="C100" s="1398">
        <f>+C98+C99</f>
        <v>1673093</v>
      </c>
      <c r="D100" s="1399"/>
    </row>
    <row r="101" spans="1:4" ht="15.75">
      <c r="A101" s="876" t="s">
        <v>732</v>
      </c>
      <c r="B101" s="891">
        <v>8</v>
      </c>
      <c r="C101" s="1396">
        <v>4205265</v>
      </c>
      <c r="D101" s="1397"/>
    </row>
    <row r="102" spans="1:4" ht="15.75">
      <c r="A102" s="884" t="s">
        <v>733</v>
      </c>
      <c r="B102" s="891">
        <v>9</v>
      </c>
      <c r="C102" s="1396">
        <v>1481449</v>
      </c>
      <c r="D102" s="1397"/>
    </row>
    <row r="103" spans="1:4" ht="15.75" customHeight="1" thickBot="1">
      <c r="A103" s="896" t="s">
        <v>734</v>
      </c>
      <c r="B103" s="891">
        <v>10</v>
      </c>
      <c r="C103" s="1396">
        <v>342817</v>
      </c>
      <c r="D103" s="1397"/>
    </row>
    <row r="104" spans="1:7" ht="16.5" thickBot="1">
      <c r="A104" s="863" t="s">
        <v>735</v>
      </c>
      <c r="B104" s="899">
        <v>11</v>
      </c>
      <c r="C104" s="1398">
        <f>+C101+C102+C103</f>
        <v>6029531</v>
      </c>
      <c r="D104" s="1399"/>
      <c r="G104" s="846" t="s">
        <v>1098</v>
      </c>
    </row>
    <row r="105" spans="1:4" ht="16.5" thickBot="1">
      <c r="A105" s="863" t="s">
        <v>736</v>
      </c>
      <c r="B105" s="899">
        <v>12</v>
      </c>
      <c r="C105" s="1398">
        <f>+C97+C100+C104</f>
        <v>228519358</v>
      </c>
      <c r="D105" s="1399"/>
    </row>
    <row r="106" ht="15.75">
      <c r="B106" s="897"/>
    </row>
    <row r="107" ht="15.75">
      <c r="B107" s="897"/>
    </row>
    <row r="108" spans="1:4" ht="81.75" customHeight="1">
      <c r="A108" s="1400" t="s">
        <v>737</v>
      </c>
      <c r="B108" s="1400"/>
      <c r="C108" s="1400"/>
      <c r="D108" s="1400"/>
    </row>
    <row r="109" ht="16.5" thickBot="1">
      <c r="D109" s="850" t="s">
        <v>649</v>
      </c>
    </row>
    <row r="110" spans="1:4" ht="15.75">
      <c r="A110" s="1408" t="s">
        <v>650</v>
      </c>
      <c r="B110" s="1410" t="s">
        <v>651</v>
      </c>
      <c r="C110" s="1412" t="s">
        <v>652</v>
      </c>
      <c r="D110" s="1418" t="s">
        <v>653</v>
      </c>
    </row>
    <row r="111" spans="1:4" ht="16.5" thickBot="1">
      <c r="A111" s="1409"/>
      <c r="B111" s="1411"/>
      <c r="C111" s="1411"/>
      <c r="D111" s="1419"/>
    </row>
    <row r="112" spans="1:4" ht="16.5" thickBot="1">
      <c r="A112" s="898" t="s">
        <v>738</v>
      </c>
      <c r="B112" s="899">
        <v>1</v>
      </c>
      <c r="C112" s="1021">
        <f>C113+C114</f>
        <v>339953</v>
      </c>
      <c r="D112" s="1022"/>
    </row>
    <row r="113" spans="1:4" ht="15.75">
      <c r="A113" s="900" t="s">
        <v>739</v>
      </c>
      <c r="B113" s="901">
        <v>2</v>
      </c>
      <c r="C113" s="1023">
        <v>339953</v>
      </c>
      <c r="D113" s="1023"/>
    </row>
    <row r="114" spans="1:4" ht="16.5" thickBot="1">
      <c r="A114" s="903" t="s">
        <v>740</v>
      </c>
      <c r="B114" s="904">
        <v>3</v>
      </c>
      <c r="C114" s="1023">
        <v>0</v>
      </c>
      <c r="D114" s="1024"/>
    </row>
    <row r="115" spans="1:4" ht="16.5" thickBot="1">
      <c r="A115" s="898" t="s">
        <v>741</v>
      </c>
      <c r="B115" s="899">
        <v>4</v>
      </c>
      <c r="C115" s="1021">
        <f>C116+C119+C122+C125</f>
        <v>480952</v>
      </c>
      <c r="D115" s="1022"/>
    </row>
    <row r="116" spans="1:4" ht="15.75">
      <c r="A116" s="905" t="s">
        <v>742</v>
      </c>
      <c r="B116" s="906">
        <v>5</v>
      </c>
      <c r="C116" s="1025"/>
      <c r="D116" s="1026"/>
    </row>
    <row r="117" spans="1:4" ht="15.75">
      <c r="A117" s="900" t="s">
        <v>739</v>
      </c>
      <c r="B117" s="901">
        <v>6</v>
      </c>
      <c r="C117" s="1027"/>
      <c r="D117" s="1027"/>
    </row>
    <row r="118" spans="1:4" ht="15.75">
      <c r="A118" s="907" t="s">
        <v>740</v>
      </c>
      <c r="B118" s="908">
        <v>7</v>
      </c>
      <c r="C118" s="1027"/>
      <c r="D118" s="1028"/>
    </row>
    <row r="119" spans="1:4" ht="15.75">
      <c r="A119" s="907" t="s">
        <v>743</v>
      </c>
      <c r="B119" s="908">
        <v>8</v>
      </c>
      <c r="C119" s="1027">
        <v>463254</v>
      </c>
      <c r="D119" s="1029"/>
    </row>
    <row r="120" spans="1:4" ht="15.75">
      <c r="A120" s="907" t="s">
        <v>739</v>
      </c>
      <c r="B120" s="908">
        <v>9</v>
      </c>
      <c r="C120" s="1027">
        <v>463254</v>
      </c>
      <c r="D120" s="1028"/>
    </row>
    <row r="121" spans="1:4" ht="15.75">
      <c r="A121" s="907" t="s">
        <v>740</v>
      </c>
      <c r="B121" s="908">
        <v>10</v>
      </c>
      <c r="C121" s="1027"/>
      <c r="D121" s="1028"/>
    </row>
    <row r="122" spans="1:4" ht="15.75">
      <c r="A122" s="907" t="s">
        <v>744</v>
      </c>
      <c r="B122" s="908">
        <v>11</v>
      </c>
      <c r="C122" s="1027">
        <v>17698</v>
      </c>
      <c r="D122" s="1029"/>
    </row>
    <row r="123" spans="1:4" ht="15.75">
      <c r="A123" s="907" t="s">
        <v>739</v>
      </c>
      <c r="B123" s="908">
        <v>12</v>
      </c>
      <c r="C123" s="1027">
        <v>17698</v>
      </c>
      <c r="D123" s="1028"/>
    </row>
    <row r="124" spans="1:4" ht="15.75">
      <c r="A124" s="907" t="s">
        <v>740</v>
      </c>
      <c r="B124" s="908">
        <v>13</v>
      </c>
      <c r="C124" s="1027"/>
      <c r="D124" s="1028"/>
    </row>
    <row r="125" spans="1:4" ht="15.75">
      <c r="A125" s="907" t="s">
        <v>745</v>
      </c>
      <c r="B125" s="908">
        <v>14</v>
      </c>
      <c r="C125" s="1027">
        <f>C126+C127</f>
        <v>0</v>
      </c>
      <c r="D125" s="1028"/>
    </row>
    <row r="126" spans="1:4" ht="15.75">
      <c r="A126" s="907" t="s">
        <v>739</v>
      </c>
      <c r="B126" s="908">
        <v>15</v>
      </c>
      <c r="C126" s="1027"/>
      <c r="D126" s="1028"/>
    </row>
    <row r="127" spans="1:4" ht="16.5" thickBot="1">
      <c r="A127" s="903" t="s">
        <v>740</v>
      </c>
      <c r="B127" s="904">
        <v>16</v>
      </c>
      <c r="C127" s="1023"/>
      <c r="D127" s="1024"/>
    </row>
    <row r="128" spans="1:4" ht="32.25" thickBot="1">
      <c r="A128" s="910" t="s">
        <v>748</v>
      </c>
      <c r="B128" s="899">
        <v>17</v>
      </c>
      <c r="C128" s="1021">
        <f>C129+C130</f>
        <v>471928</v>
      </c>
      <c r="D128" s="1022"/>
    </row>
    <row r="129" spans="1:4" ht="15.75">
      <c r="A129" s="900" t="s">
        <v>739</v>
      </c>
      <c r="B129" s="901">
        <v>18</v>
      </c>
      <c r="C129" s="1030">
        <v>471928</v>
      </c>
      <c r="D129" s="1031"/>
    </row>
    <row r="130" spans="1:4" ht="16.5" thickBot="1">
      <c r="A130" s="911" t="s">
        <v>740</v>
      </c>
      <c r="B130" s="912">
        <v>19</v>
      </c>
      <c r="C130" s="1032"/>
      <c r="D130" s="1033"/>
    </row>
    <row r="131" spans="1:4" ht="16.5" thickBot="1">
      <c r="A131" s="863" t="s">
        <v>749</v>
      </c>
      <c r="B131" s="899">
        <v>20</v>
      </c>
      <c r="C131" s="1010">
        <f>C112+C115+C128</f>
        <v>1292833</v>
      </c>
      <c r="D131" s="1034">
        <f>D112+D115+D128</f>
        <v>0</v>
      </c>
    </row>
    <row r="132" ht="15.75">
      <c r="B132" s="897"/>
    </row>
    <row r="133" ht="15.75">
      <c r="B133" s="897"/>
    </row>
    <row r="134" spans="1:2" ht="15.75">
      <c r="A134" s="913"/>
      <c r="B134" s="897"/>
    </row>
    <row r="135" spans="1:4" ht="90.75" customHeight="1">
      <c r="A135" s="1400" t="s">
        <v>750</v>
      </c>
      <c r="B135" s="1400"/>
      <c r="C135" s="1400"/>
      <c r="D135" s="1400"/>
    </row>
    <row r="136" spans="2:4" ht="16.5" thickBot="1">
      <c r="B136" s="897"/>
      <c r="D136" s="850" t="s">
        <v>1408</v>
      </c>
    </row>
    <row r="137" spans="1:4" ht="15.75" customHeight="1">
      <c r="A137" s="1391" t="s">
        <v>1015</v>
      </c>
      <c r="B137" s="1393" t="s">
        <v>651</v>
      </c>
      <c r="C137" s="1393" t="s">
        <v>751</v>
      </c>
      <c r="D137" s="1394" t="s">
        <v>752</v>
      </c>
    </row>
    <row r="138" spans="1:4" ht="24.75" customHeight="1" thickBot="1">
      <c r="A138" s="1392" t="s">
        <v>753</v>
      </c>
      <c r="B138" s="1392"/>
      <c r="C138" s="1392"/>
      <c r="D138" s="1395"/>
    </row>
    <row r="139" spans="1:4" ht="15.75">
      <c r="A139" s="914" t="s">
        <v>754</v>
      </c>
      <c r="B139" s="915">
        <v>1</v>
      </c>
      <c r="C139" s="902">
        <v>133</v>
      </c>
      <c r="D139" s="916">
        <v>42324</v>
      </c>
    </row>
    <row r="140" spans="1:4" ht="15.75">
      <c r="A140" s="917" t="s">
        <v>755</v>
      </c>
      <c r="B140" s="918">
        <v>2</v>
      </c>
      <c r="C140" s="909"/>
      <c r="D140" s="919"/>
    </row>
    <row r="141" spans="1:4" ht="15.75">
      <c r="A141" s="917" t="s">
        <v>756</v>
      </c>
      <c r="B141" s="918">
        <v>3</v>
      </c>
      <c r="C141" s="909"/>
      <c r="D141" s="919"/>
    </row>
    <row r="142" spans="1:4" ht="15.75">
      <c r="A142" s="920" t="s">
        <v>757</v>
      </c>
      <c r="B142" s="918">
        <v>4</v>
      </c>
      <c r="C142" s="909"/>
      <c r="D142" s="919"/>
    </row>
    <row r="143" spans="1:4" ht="16.5" thickBot="1">
      <c r="A143" s="917" t="s">
        <v>758</v>
      </c>
      <c r="B143" s="918">
        <v>5</v>
      </c>
      <c r="C143" s="909"/>
      <c r="D143" s="919"/>
    </row>
    <row r="144" spans="1:4" ht="16.5" thickBot="1">
      <c r="A144" s="863" t="s">
        <v>759</v>
      </c>
      <c r="B144" s="899">
        <v>6</v>
      </c>
      <c r="C144" s="1010">
        <v>133</v>
      </c>
      <c r="D144" s="1034">
        <f>SUM(D139:D143)</f>
        <v>42324</v>
      </c>
    </row>
    <row r="145" spans="1:4" ht="15.75">
      <c r="A145" s="851"/>
      <c r="B145" s="897"/>
      <c r="C145" s="921"/>
      <c r="D145" s="851"/>
    </row>
    <row r="147" spans="1:4" ht="71.25" customHeight="1">
      <c r="A147" s="1400" t="s">
        <v>760</v>
      </c>
      <c r="B147" s="1400"/>
      <c r="C147" s="1400"/>
      <c r="D147" s="1400"/>
    </row>
    <row r="148" spans="1:4" ht="16.5" thickBot="1">
      <c r="A148" s="913"/>
      <c r="D148" s="850" t="s">
        <v>649</v>
      </c>
    </row>
    <row r="149" spans="1:4" ht="15.75" customHeight="1">
      <c r="A149" s="1391" t="s">
        <v>1015</v>
      </c>
      <c r="B149" s="1393" t="s">
        <v>651</v>
      </c>
      <c r="C149" s="1393" t="s">
        <v>751</v>
      </c>
      <c r="D149" s="1394" t="s">
        <v>752</v>
      </c>
    </row>
    <row r="150" spans="1:4" ht="33.75" customHeight="1" thickBot="1">
      <c r="A150" s="1392" t="s">
        <v>753</v>
      </c>
      <c r="B150" s="1392"/>
      <c r="C150" s="1392"/>
      <c r="D150" s="1395"/>
    </row>
    <row r="151" spans="1:6" ht="15.75">
      <c r="A151" s="914" t="s">
        <v>761</v>
      </c>
      <c r="B151" s="915">
        <v>1</v>
      </c>
      <c r="C151" s="902">
        <v>5</v>
      </c>
      <c r="D151" s="916">
        <v>4201</v>
      </c>
      <c r="F151" s="846" t="s">
        <v>1098</v>
      </c>
    </row>
    <row r="152" spans="1:4" ht="16.5" thickBot="1">
      <c r="A152" s="914" t="s">
        <v>762</v>
      </c>
      <c r="B152" s="915">
        <v>2</v>
      </c>
      <c r="C152" s="909"/>
      <c r="D152" s="919"/>
    </row>
    <row r="153" spans="1:6" ht="16.5" thickBot="1">
      <c r="A153" s="863" t="s">
        <v>763</v>
      </c>
      <c r="B153" s="899">
        <v>3</v>
      </c>
      <c r="C153" s="1010">
        <v>5</v>
      </c>
      <c r="D153" s="1034">
        <f>SUM(D151:D152)</f>
        <v>4201</v>
      </c>
      <c r="F153" s="846" t="s">
        <v>1098</v>
      </c>
    </row>
    <row r="155" ht="15.75">
      <c r="A155" s="922"/>
    </row>
    <row r="156" ht="15.75">
      <c r="A156" s="846" t="s">
        <v>1098</v>
      </c>
    </row>
  </sheetData>
  <sheetProtection/>
  <mergeCells count="37">
    <mergeCell ref="C99:D99"/>
    <mergeCell ref="C100:D100"/>
    <mergeCell ref="C103:D103"/>
    <mergeCell ref="A110:A111"/>
    <mergeCell ref="B110:B111"/>
    <mergeCell ref="C110:C111"/>
    <mergeCell ref="D110:D111"/>
    <mergeCell ref="C92:D93"/>
    <mergeCell ref="C137:C138"/>
    <mergeCell ref="D137:D138"/>
    <mergeCell ref="A2:D2"/>
    <mergeCell ref="A5:A6"/>
    <mergeCell ref="B5:B6"/>
    <mergeCell ref="C5:C6"/>
    <mergeCell ref="D5:D6"/>
    <mergeCell ref="C105:D105"/>
    <mergeCell ref="C94:D94"/>
    <mergeCell ref="A90:D90"/>
    <mergeCell ref="C95:D95"/>
    <mergeCell ref="A108:D108"/>
    <mergeCell ref="A135:D135"/>
    <mergeCell ref="C102:D102"/>
    <mergeCell ref="C96:D96"/>
    <mergeCell ref="C97:D97"/>
    <mergeCell ref="C98:D98"/>
    <mergeCell ref="A92:A93"/>
    <mergeCell ref="B92:B93"/>
    <mergeCell ref="A1:D1"/>
    <mergeCell ref="A149:A150"/>
    <mergeCell ref="B149:B150"/>
    <mergeCell ref="C149:C150"/>
    <mergeCell ref="D149:D150"/>
    <mergeCell ref="C101:D101"/>
    <mergeCell ref="C104:D104"/>
    <mergeCell ref="A147:D147"/>
    <mergeCell ref="A137:A138"/>
    <mergeCell ref="B137:B138"/>
  </mergeCells>
  <printOptions horizontalCentered="1"/>
  <pageMargins left="0.7086614173228347" right="0.7086614173228347" top="0.7480314960629921" bottom="0.7480314960629921" header="0.31496062992125984" footer="0.31496062992125984"/>
  <pageSetup firstPageNumber="69" useFirstPageNumber="1" fitToHeight="0" fitToWidth="1" horizontalDpi="600" verticalDpi="600" orientation="portrait" paperSize="9" scale="61" r:id="rId1"/>
  <headerFooter alignWithMargins="0">
    <oddFooter>&amp;C&amp;P. oldal</oddFooter>
  </headerFooter>
  <rowBreaks count="2" manualBreakCount="2">
    <brk id="71" max="4" man="1"/>
    <brk id="13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N44"/>
  <sheetViews>
    <sheetView view="pageBreakPreview" zoomScale="80" zoomScaleSheetLayoutView="80" workbookViewId="0" topLeftCell="A1">
      <selection activeCell="B11" sqref="B11"/>
    </sheetView>
  </sheetViews>
  <sheetFormatPr defaultColWidth="9.00390625" defaultRowHeight="12.75"/>
  <cols>
    <col min="1" max="1" width="6.625" style="1155" customWidth="1"/>
    <col min="2" max="2" width="44.75390625" style="1155" customWidth="1"/>
    <col min="3" max="8" width="14.375" style="1155" customWidth="1"/>
    <col min="9" max="16384" width="8.00390625" style="1155" customWidth="1"/>
  </cols>
  <sheetData>
    <row r="2" spans="1:8" ht="15.75">
      <c r="A2" s="1420" t="s">
        <v>152</v>
      </c>
      <c r="B2" s="1420"/>
      <c r="C2" s="1420"/>
      <c r="D2" s="1420"/>
      <c r="E2" s="1420"/>
      <c r="F2" s="1420"/>
      <c r="G2" s="1420"/>
      <c r="H2" s="1420"/>
    </row>
    <row r="3" spans="1:8" ht="18.75">
      <c r="A3" s="1422" t="s">
        <v>39</v>
      </c>
      <c r="B3" s="1422"/>
      <c r="C3" s="1422"/>
      <c r="D3" s="1422"/>
      <c r="E3" s="1422"/>
      <c r="F3" s="1422"/>
      <c r="G3" s="1422"/>
      <c r="H3" s="1422"/>
    </row>
    <row r="4" spans="1:8" ht="18.75">
      <c r="A4" s="1422" t="s">
        <v>128</v>
      </c>
      <c r="B4" s="1422"/>
      <c r="C4" s="1422"/>
      <c r="D4" s="1422"/>
      <c r="E4" s="1422"/>
      <c r="F4" s="1422"/>
      <c r="G4" s="1422"/>
      <c r="H4" s="1422"/>
    </row>
    <row r="5" ht="16.5" thickBot="1">
      <c r="H5" s="1156" t="s">
        <v>649</v>
      </c>
    </row>
    <row r="6" spans="1:8" ht="50.25" customHeight="1" thickBot="1">
      <c r="A6" s="1423" t="s">
        <v>604</v>
      </c>
      <c r="B6" s="1424"/>
      <c r="C6" s="1157" t="s">
        <v>823</v>
      </c>
      <c r="D6" s="1064" t="s">
        <v>41</v>
      </c>
      <c r="E6" s="1095" t="s">
        <v>825</v>
      </c>
      <c r="F6" s="1063" t="s">
        <v>42</v>
      </c>
      <c r="G6" s="1064" t="s">
        <v>41</v>
      </c>
      <c r="H6" s="1095" t="s">
        <v>827</v>
      </c>
    </row>
    <row r="7" spans="1:8" ht="16.5" thickBot="1">
      <c r="A7" s="1215" t="s">
        <v>1016</v>
      </c>
      <c r="B7" s="1198" t="s">
        <v>129</v>
      </c>
      <c r="C7" s="1216">
        <f aca="true" t="shared" si="0" ref="C7:H7">C8+C9+C10+C11</f>
        <v>225221147</v>
      </c>
      <c r="D7" s="1200">
        <f t="shared" si="0"/>
        <v>0</v>
      </c>
      <c r="E7" s="1201">
        <f t="shared" si="0"/>
        <v>225221147</v>
      </c>
      <c r="F7" s="1217">
        <f t="shared" si="0"/>
        <v>224835901</v>
      </c>
      <c r="G7" s="1200">
        <f t="shared" si="0"/>
        <v>0</v>
      </c>
      <c r="H7" s="1201">
        <f t="shared" si="0"/>
        <v>224835901</v>
      </c>
    </row>
    <row r="8" spans="1:8" ht="12.75" customHeight="1">
      <c r="A8" s="1158" t="s">
        <v>1017</v>
      </c>
      <c r="B8" s="1159" t="s">
        <v>130</v>
      </c>
      <c r="C8" s="1160">
        <v>45746</v>
      </c>
      <c r="D8" s="1161">
        <v>0</v>
      </c>
      <c r="E8" s="1203">
        <f>C8+D8</f>
        <v>45746</v>
      </c>
      <c r="F8" s="1162">
        <v>51308</v>
      </c>
      <c r="G8" s="1161">
        <v>0</v>
      </c>
      <c r="H8" s="1208">
        <f>F8+G8</f>
        <v>51308</v>
      </c>
    </row>
    <row r="9" spans="1:8" ht="13.5" customHeight="1">
      <c r="A9" s="1163" t="s">
        <v>1018</v>
      </c>
      <c r="B9" s="1164" t="s">
        <v>131</v>
      </c>
      <c r="C9" s="1165">
        <v>222817677</v>
      </c>
      <c r="D9" s="1166">
        <v>0</v>
      </c>
      <c r="E9" s="1204">
        <f>C9+D9</f>
        <v>222817677</v>
      </c>
      <c r="F9" s="1167">
        <v>222489799</v>
      </c>
      <c r="G9" s="1166">
        <v>0</v>
      </c>
      <c r="H9" s="1209">
        <f>F9+G9</f>
        <v>222489799</v>
      </c>
    </row>
    <row r="10" spans="1:8" ht="13.5" customHeight="1">
      <c r="A10" s="1168" t="s">
        <v>1019</v>
      </c>
      <c r="B10" s="1164" t="s">
        <v>132</v>
      </c>
      <c r="C10" s="1169">
        <v>2321289</v>
      </c>
      <c r="D10" s="1170">
        <v>0</v>
      </c>
      <c r="E10" s="1204">
        <f>C10+D10</f>
        <v>2321289</v>
      </c>
      <c r="F10" s="1167">
        <v>2272306</v>
      </c>
      <c r="G10" s="1170">
        <v>0</v>
      </c>
      <c r="H10" s="1209">
        <f>F10+G10</f>
        <v>2272306</v>
      </c>
    </row>
    <row r="11" spans="1:10" ht="39" customHeight="1" thickBot="1">
      <c r="A11" s="1171" t="s">
        <v>1020</v>
      </c>
      <c r="B11" s="1172" t="s">
        <v>133</v>
      </c>
      <c r="C11" s="1173">
        <v>36435</v>
      </c>
      <c r="D11" s="1174">
        <v>0</v>
      </c>
      <c r="E11" s="1205">
        <f>C11+D11</f>
        <v>36435</v>
      </c>
      <c r="F11" s="1175">
        <v>22488</v>
      </c>
      <c r="G11" s="1174">
        <v>0</v>
      </c>
      <c r="H11" s="1210">
        <f>F11+G11</f>
        <v>22488</v>
      </c>
      <c r="J11" s="1176"/>
    </row>
    <row r="12" spans="1:10" ht="15" customHeight="1" thickBot="1">
      <c r="A12" s="1197" t="s">
        <v>1148</v>
      </c>
      <c r="B12" s="1198" t="s">
        <v>134</v>
      </c>
      <c r="C12" s="1199">
        <f aca="true" t="shared" si="1" ref="C12:H12">C13+C14+C15+C16+C17</f>
        <v>2196460</v>
      </c>
      <c r="D12" s="1200">
        <f t="shared" si="1"/>
        <v>0</v>
      </c>
      <c r="E12" s="1201">
        <f t="shared" si="1"/>
        <v>2196460</v>
      </c>
      <c r="F12" s="1202">
        <f t="shared" si="1"/>
        <v>3683457</v>
      </c>
      <c r="G12" s="1200">
        <f t="shared" si="1"/>
        <v>0</v>
      </c>
      <c r="H12" s="1201">
        <f t="shared" si="1"/>
        <v>3683457</v>
      </c>
      <c r="J12" s="1177"/>
    </row>
    <row r="13" spans="1:8" ht="12.75" customHeight="1">
      <c r="A13" s="1178" t="s">
        <v>229</v>
      </c>
      <c r="B13" s="1159" t="s">
        <v>135</v>
      </c>
      <c r="C13" s="1179">
        <v>1126</v>
      </c>
      <c r="D13" s="1180">
        <v>0</v>
      </c>
      <c r="E13" s="1203">
        <f>C13+D13</f>
        <v>1126</v>
      </c>
      <c r="F13" s="1180">
        <v>1757</v>
      </c>
      <c r="G13" s="1180">
        <v>0</v>
      </c>
      <c r="H13" s="1211">
        <f>+F13+G13</f>
        <v>1757</v>
      </c>
    </row>
    <row r="14" spans="1:8" ht="12.75" customHeight="1">
      <c r="A14" s="1163" t="s">
        <v>324</v>
      </c>
      <c r="B14" s="1164" t="s">
        <v>136</v>
      </c>
      <c r="C14" s="1169">
        <v>1360624</v>
      </c>
      <c r="D14" s="1170">
        <v>0</v>
      </c>
      <c r="E14" s="1204">
        <f>C14+D14</f>
        <v>1360624</v>
      </c>
      <c r="F14" s="1170">
        <v>1665790</v>
      </c>
      <c r="G14" s="1170">
        <v>0</v>
      </c>
      <c r="H14" s="1212">
        <f>+F14+G14</f>
        <v>1665790</v>
      </c>
    </row>
    <row r="15" spans="1:8" ht="12.75" customHeight="1">
      <c r="A15" s="1163" t="s">
        <v>326</v>
      </c>
      <c r="B15" s="1164" t="s">
        <v>137</v>
      </c>
      <c r="C15" s="1169">
        <v>0</v>
      </c>
      <c r="D15" s="1170">
        <v>0</v>
      </c>
      <c r="E15" s="1204">
        <f>+C15+D15</f>
        <v>0</v>
      </c>
      <c r="F15" s="1170">
        <v>0</v>
      </c>
      <c r="G15" s="1170">
        <v>0</v>
      </c>
      <c r="H15" s="1212">
        <f>+F15+G15</f>
        <v>0</v>
      </c>
    </row>
    <row r="16" spans="1:8" ht="13.5" customHeight="1">
      <c r="A16" s="1168" t="s">
        <v>328</v>
      </c>
      <c r="B16" s="1164" t="s">
        <v>138</v>
      </c>
      <c r="C16" s="1169">
        <v>609351</v>
      </c>
      <c r="D16" s="1170">
        <v>0</v>
      </c>
      <c r="E16" s="1204">
        <f>+C16+D16</f>
        <v>609351</v>
      </c>
      <c r="F16" s="1170">
        <v>1372056</v>
      </c>
      <c r="G16" s="1170">
        <v>0</v>
      </c>
      <c r="H16" s="1212">
        <f>+F16+G16</f>
        <v>1372056</v>
      </c>
    </row>
    <row r="17" spans="1:8" ht="12.75" customHeight="1" thickBot="1">
      <c r="A17" s="1181" t="s">
        <v>330</v>
      </c>
      <c r="B17" s="1182" t="s">
        <v>720</v>
      </c>
      <c r="C17" s="1183">
        <v>225359</v>
      </c>
      <c r="D17" s="1184">
        <v>0</v>
      </c>
      <c r="E17" s="1206">
        <f>+C17+D17</f>
        <v>225359</v>
      </c>
      <c r="F17" s="1184">
        <v>643854</v>
      </c>
      <c r="G17" s="1184">
        <v>0</v>
      </c>
      <c r="H17" s="1213">
        <f>+F17+G17</f>
        <v>643854</v>
      </c>
    </row>
    <row r="18" spans="1:11" ht="15" customHeight="1" thickBot="1">
      <c r="A18" s="1197" t="s">
        <v>331</v>
      </c>
      <c r="B18" s="1198" t="s">
        <v>139</v>
      </c>
      <c r="C18" s="1199">
        <f aca="true" t="shared" si="2" ref="C18:H18">C7+C12</f>
        <v>227417607</v>
      </c>
      <c r="D18" s="1200">
        <f t="shared" si="2"/>
        <v>0</v>
      </c>
      <c r="E18" s="1201">
        <f t="shared" si="2"/>
        <v>227417607</v>
      </c>
      <c r="F18" s="1202">
        <f t="shared" si="2"/>
        <v>228519358</v>
      </c>
      <c r="G18" s="1200">
        <f t="shared" si="2"/>
        <v>0</v>
      </c>
      <c r="H18" s="1201">
        <f t="shared" si="2"/>
        <v>228519358</v>
      </c>
      <c r="K18" s="1155" t="s">
        <v>1098</v>
      </c>
    </row>
    <row r="19" spans="1:14" ht="50.25" customHeight="1" thickBot="1">
      <c r="A19" s="1425" t="s">
        <v>638</v>
      </c>
      <c r="B19" s="1426"/>
      <c r="C19" s="1185" t="s">
        <v>823</v>
      </c>
      <c r="D19" s="1186" t="s">
        <v>41</v>
      </c>
      <c r="E19" s="1207" t="s">
        <v>825</v>
      </c>
      <c r="F19" s="1187" t="s">
        <v>42</v>
      </c>
      <c r="G19" s="1186" t="s">
        <v>41</v>
      </c>
      <c r="H19" s="1207" t="s">
        <v>827</v>
      </c>
      <c r="J19" s="1155" t="s">
        <v>1098</v>
      </c>
      <c r="N19" s="1188"/>
    </row>
    <row r="20" spans="1:8" ht="13.5" customHeight="1" thickBot="1">
      <c r="A20" s="1218" t="s">
        <v>332</v>
      </c>
      <c r="B20" s="1219" t="s">
        <v>140</v>
      </c>
      <c r="C20" s="1220">
        <f aca="true" t="shared" si="3" ref="C20:H20">+C21+C22+C23</f>
        <v>221475543</v>
      </c>
      <c r="D20" s="1221">
        <f t="shared" si="3"/>
        <v>0</v>
      </c>
      <c r="E20" s="1201">
        <f t="shared" si="3"/>
        <v>221475543</v>
      </c>
      <c r="F20" s="1222">
        <f t="shared" si="3"/>
        <v>220816734</v>
      </c>
      <c r="G20" s="1221">
        <f t="shared" si="3"/>
        <v>0</v>
      </c>
      <c r="H20" s="1201">
        <f t="shared" si="3"/>
        <v>220816734</v>
      </c>
    </row>
    <row r="21" spans="1:8" ht="12.75" customHeight="1">
      <c r="A21" s="1189" t="s">
        <v>334</v>
      </c>
      <c r="B21" s="1164" t="s">
        <v>141</v>
      </c>
      <c r="C21" s="1179">
        <v>221588490</v>
      </c>
      <c r="D21" s="1180">
        <v>0</v>
      </c>
      <c r="E21" s="1203">
        <f>+C21+D21</f>
        <v>221588490</v>
      </c>
      <c r="F21" s="1190">
        <v>220047607</v>
      </c>
      <c r="G21" s="1180">
        <v>0</v>
      </c>
      <c r="H21" s="1203">
        <f>+F21+G21</f>
        <v>220047607</v>
      </c>
    </row>
    <row r="22" spans="1:12" ht="15" customHeight="1">
      <c r="A22" s="1191" t="s">
        <v>335</v>
      </c>
      <c r="B22" s="1164" t="s">
        <v>142</v>
      </c>
      <c r="C22" s="1169">
        <v>-112947</v>
      </c>
      <c r="D22" s="1170">
        <v>0</v>
      </c>
      <c r="E22" s="1204">
        <f>+C22+D22</f>
        <v>-112947</v>
      </c>
      <c r="F22" s="1192">
        <v>769127</v>
      </c>
      <c r="G22" s="1170">
        <v>0</v>
      </c>
      <c r="H22" s="1204">
        <f>+F22+G22</f>
        <v>769127</v>
      </c>
      <c r="L22" s="1193"/>
    </row>
    <row r="23" spans="1:8" ht="14.25" customHeight="1" thickBot="1">
      <c r="A23" s="1194" t="s">
        <v>337</v>
      </c>
      <c r="B23" s="1182" t="s">
        <v>143</v>
      </c>
      <c r="C23" s="1183">
        <v>0</v>
      </c>
      <c r="D23" s="1184">
        <v>0</v>
      </c>
      <c r="E23" s="1206">
        <f>+C23+D23</f>
        <v>0</v>
      </c>
      <c r="F23" s="1195">
        <v>0</v>
      </c>
      <c r="G23" s="1184">
        <v>0</v>
      </c>
      <c r="H23" s="1206">
        <f>+F23+G23</f>
        <v>0</v>
      </c>
    </row>
    <row r="24" spans="1:8" ht="12.75" customHeight="1" thickBot="1">
      <c r="A24" s="1215" t="s">
        <v>339</v>
      </c>
      <c r="B24" s="1198" t="s">
        <v>144</v>
      </c>
      <c r="C24" s="1199">
        <f aca="true" t="shared" si="4" ref="C24:H24">+C25+C26</f>
        <v>797151</v>
      </c>
      <c r="D24" s="1200">
        <f t="shared" si="4"/>
        <v>0</v>
      </c>
      <c r="E24" s="1201">
        <f t="shared" si="4"/>
        <v>797151</v>
      </c>
      <c r="F24" s="1202">
        <f t="shared" si="4"/>
        <v>1673093</v>
      </c>
      <c r="G24" s="1200">
        <f t="shared" si="4"/>
        <v>0</v>
      </c>
      <c r="H24" s="1201">
        <f t="shared" si="4"/>
        <v>1673093</v>
      </c>
    </row>
    <row r="25" spans="1:8" ht="12.75" customHeight="1">
      <c r="A25" s="1178" t="s">
        <v>341</v>
      </c>
      <c r="B25" s="1223" t="s">
        <v>145</v>
      </c>
      <c r="C25" s="1224">
        <v>797151</v>
      </c>
      <c r="D25" s="1225">
        <v>0</v>
      </c>
      <c r="E25" s="1203">
        <f>+C25+D25</f>
        <v>797151</v>
      </c>
      <c r="F25" s="1226">
        <v>1673093</v>
      </c>
      <c r="G25" s="1225">
        <v>0</v>
      </c>
      <c r="H25" s="1203">
        <f>+F25+G25</f>
        <v>1673093</v>
      </c>
    </row>
    <row r="26" spans="1:8" ht="13.5" customHeight="1" thickBot="1">
      <c r="A26" s="1171" t="s">
        <v>343</v>
      </c>
      <c r="B26" s="1227" t="s">
        <v>146</v>
      </c>
      <c r="C26" s="1228">
        <v>0</v>
      </c>
      <c r="D26" s="1229">
        <v>0</v>
      </c>
      <c r="E26" s="1206">
        <f>+C26+D26</f>
        <v>0</v>
      </c>
      <c r="F26" s="1230">
        <v>0</v>
      </c>
      <c r="G26" s="1229">
        <v>0</v>
      </c>
      <c r="H26" s="1206">
        <f>+F26+G26</f>
        <v>0</v>
      </c>
    </row>
    <row r="27" spans="1:8" ht="13.5" customHeight="1" thickBot="1">
      <c r="A27" s="1215" t="s">
        <v>345</v>
      </c>
      <c r="B27" s="1198" t="s">
        <v>147</v>
      </c>
      <c r="C27" s="1199">
        <f aca="true" t="shared" si="5" ref="C27:H27">+C28+C29+C30</f>
        <v>5144913</v>
      </c>
      <c r="D27" s="1200">
        <f t="shared" si="5"/>
        <v>0</v>
      </c>
      <c r="E27" s="1201">
        <f t="shared" si="5"/>
        <v>5144913</v>
      </c>
      <c r="F27" s="1202">
        <f t="shared" si="5"/>
        <v>6029531</v>
      </c>
      <c r="G27" s="1200">
        <f t="shared" si="5"/>
        <v>0</v>
      </c>
      <c r="H27" s="1201">
        <f t="shared" si="5"/>
        <v>6029531</v>
      </c>
    </row>
    <row r="28" spans="1:8" ht="13.5" customHeight="1">
      <c r="A28" s="1178" t="s">
        <v>347</v>
      </c>
      <c r="B28" s="1223" t="s">
        <v>148</v>
      </c>
      <c r="C28" s="1224">
        <v>3933778</v>
      </c>
      <c r="D28" s="1225">
        <v>0</v>
      </c>
      <c r="E28" s="1203">
        <f>+C28+D28</f>
        <v>3933778</v>
      </c>
      <c r="F28" s="1226">
        <v>4205265</v>
      </c>
      <c r="G28" s="1225">
        <v>0</v>
      </c>
      <c r="H28" s="1203">
        <f>+F28+G28</f>
        <v>4205265</v>
      </c>
    </row>
    <row r="29" spans="1:8" ht="12.75" customHeight="1">
      <c r="A29" s="1168" t="s">
        <v>349</v>
      </c>
      <c r="B29" s="1231" t="s">
        <v>149</v>
      </c>
      <c r="C29" s="1232">
        <v>1173575</v>
      </c>
      <c r="D29" s="1233">
        <v>0</v>
      </c>
      <c r="E29" s="1204">
        <f>+C29+D29</f>
        <v>1173575</v>
      </c>
      <c r="F29" s="1234">
        <v>1481449</v>
      </c>
      <c r="G29" s="1233">
        <v>0</v>
      </c>
      <c r="H29" s="1204">
        <f>+F29+G29</f>
        <v>1481449</v>
      </c>
    </row>
    <row r="30" spans="1:8" ht="13.5" customHeight="1" thickBot="1">
      <c r="A30" s="1171" t="s">
        <v>351</v>
      </c>
      <c r="B30" s="1227" t="s">
        <v>150</v>
      </c>
      <c r="C30" s="1228">
        <v>37560</v>
      </c>
      <c r="D30" s="1229">
        <v>0</v>
      </c>
      <c r="E30" s="1206">
        <f>+C30+D30</f>
        <v>37560</v>
      </c>
      <c r="F30" s="1230">
        <v>342817</v>
      </c>
      <c r="G30" s="1229">
        <v>0</v>
      </c>
      <c r="H30" s="1206">
        <f>+F30+G30</f>
        <v>342817</v>
      </c>
    </row>
    <row r="31" spans="1:8" ht="14.25" customHeight="1" thickBot="1">
      <c r="A31" s="1215" t="s">
        <v>353</v>
      </c>
      <c r="B31" s="1198" t="s">
        <v>151</v>
      </c>
      <c r="C31" s="1199">
        <f aca="true" t="shared" si="6" ref="C31:H31">+C20+C24+C27</f>
        <v>227417607</v>
      </c>
      <c r="D31" s="1199">
        <f t="shared" si="6"/>
        <v>0</v>
      </c>
      <c r="E31" s="1199">
        <f t="shared" si="6"/>
        <v>227417607</v>
      </c>
      <c r="F31" s="1199">
        <f t="shared" si="6"/>
        <v>228519358</v>
      </c>
      <c r="G31" s="1199">
        <f t="shared" si="6"/>
        <v>0</v>
      </c>
      <c r="H31" s="1214">
        <f t="shared" si="6"/>
        <v>228519358</v>
      </c>
    </row>
    <row r="33" spans="1:2" ht="15.75">
      <c r="A33" s="1421"/>
      <c r="B33" s="1421"/>
    </row>
    <row r="37" spans="3:6" ht="15.75">
      <c r="C37" s="1196" t="s">
        <v>1098</v>
      </c>
      <c r="D37" s="1196" t="s">
        <v>1098</v>
      </c>
      <c r="E37" s="1196" t="s">
        <v>1098</v>
      </c>
      <c r="F37" s="1196" t="s">
        <v>1098</v>
      </c>
    </row>
    <row r="38" spans="3:6" ht="15.75">
      <c r="C38" s="1196"/>
      <c r="D38" s="1196"/>
      <c r="E38" s="1196" t="s">
        <v>1098</v>
      </c>
      <c r="F38" s="1196" t="s">
        <v>1098</v>
      </c>
    </row>
    <row r="39" spans="3:6" ht="15.75">
      <c r="C39" s="1196" t="s">
        <v>1098</v>
      </c>
      <c r="D39" s="1196" t="s">
        <v>1098</v>
      </c>
      <c r="E39" s="1196" t="s">
        <v>1098</v>
      </c>
      <c r="F39" s="1196" t="s">
        <v>1098</v>
      </c>
    </row>
    <row r="40" spans="3:6" ht="15.75">
      <c r="C40" s="1196" t="s">
        <v>1098</v>
      </c>
      <c r="D40" s="1196" t="s">
        <v>1098</v>
      </c>
      <c r="E40" s="1196" t="s">
        <v>1098</v>
      </c>
      <c r="F40" s="1196" t="s">
        <v>1098</v>
      </c>
    </row>
    <row r="41" spans="3:6" ht="15.75">
      <c r="C41" s="1196" t="s">
        <v>1098</v>
      </c>
      <c r="D41" s="1196" t="s">
        <v>1098</v>
      </c>
      <c r="E41" s="1196"/>
      <c r="F41" s="1196" t="s">
        <v>1098</v>
      </c>
    </row>
    <row r="42" spans="3:6" ht="15.75">
      <c r="C42" s="1196"/>
      <c r="D42" s="1196"/>
      <c r="E42" s="1196"/>
      <c r="F42" s="1196" t="s">
        <v>1098</v>
      </c>
    </row>
    <row r="43" spans="3:6" ht="15.75">
      <c r="C43" s="1196"/>
      <c r="D43" s="1196"/>
      <c r="E43" s="1196"/>
      <c r="F43" s="1196"/>
    </row>
    <row r="44" spans="3:6" ht="15.75">
      <c r="C44" s="1196"/>
      <c r="D44" s="1196"/>
      <c r="E44" s="1196"/>
      <c r="F44" s="1196"/>
    </row>
  </sheetData>
  <sheetProtection/>
  <mergeCells count="6">
    <mergeCell ref="A2:H2"/>
    <mergeCell ref="A33:B33"/>
    <mergeCell ref="A3:H3"/>
    <mergeCell ref="A4:H4"/>
    <mergeCell ref="A6:B6"/>
    <mergeCell ref="A19:B1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72" useFirstPageNumber="1" horizontalDpi="300" verticalDpi="300" orientation="landscape" paperSize="9" scale="80" r:id="rId1"/>
  <headerFooter alignWithMargins="0">
    <oddFooter>&amp;C&amp;P.oldal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P69"/>
  <sheetViews>
    <sheetView zoomScaleSheetLayoutView="85" workbookViewId="0" topLeftCell="A1">
      <selection activeCell="C25" sqref="C25"/>
    </sheetView>
  </sheetViews>
  <sheetFormatPr defaultColWidth="9.00390625" defaultRowHeight="12.75"/>
  <cols>
    <col min="1" max="1" width="7.25390625" style="1059" customWidth="1"/>
    <col min="2" max="2" width="66.625" style="1059" customWidth="1"/>
    <col min="3" max="5" width="12.125" style="1059" customWidth="1"/>
    <col min="6" max="6" width="17.625" style="1059" customWidth="1"/>
    <col min="7" max="7" width="19.75390625" style="1059" bestFit="1" customWidth="1"/>
    <col min="8" max="8" width="12.75390625" style="1059" customWidth="1"/>
    <col min="9" max="9" width="11.00390625" style="1059" customWidth="1"/>
    <col min="10" max="16384" width="8.00390625" style="1059" customWidth="1"/>
  </cols>
  <sheetData>
    <row r="2" spans="1:5" ht="15.75">
      <c r="A2" s="1420" t="s">
        <v>499</v>
      </c>
      <c r="B2" s="1420"/>
      <c r="C2" s="1420"/>
      <c r="D2" s="1420"/>
      <c r="E2" s="1420"/>
    </row>
    <row r="3" spans="1:8" ht="18.75">
      <c r="A3" s="1427" t="s">
        <v>39</v>
      </c>
      <c r="B3" s="1427"/>
      <c r="C3" s="1427"/>
      <c r="D3" s="1427"/>
      <c r="E3" s="1427"/>
      <c r="F3" s="1058"/>
      <c r="G3" s="1058"/>
      <c r="H3" s="1058"/>
    </row>
    <row r="4" spans="1:5" ht="15.75">
      <c r="A4" s="1428" t="s">
        <v>58</v>
      </c>
      <c r="B4" s="1428"/>
      <c r="C4" s="1428"/>
      <c r="D4" s="1428"/>
      <c r="E4" s="1428"/>
    </row>
    <row r="5" spans="1:5" ht="15.75">
      <c r="A5" s="1103"/>
      <c r="B5" s="1103"/>
      <c r="C5" s="1103"/>
      <c r="D5" s="1103"/>
      <c r="E5" s="1103"/>
    </row>
    <row r="6" spans="1:5" ht="16.5" thickBot="1">
      <c r="A6" s="1104"/>
      <c r="B6" s="1104"/>
      <c r="C6" s="1104"/>
      <c r="D6" s="1104"/>
      <c r="E6" s="1060" t="s">
        <v>649</v>
      </c>
    </row>
    <row r="7" spans="1:5" ht="15.75" customHeight="1">
      <c r="A7" s="1429" t="s">
        <v>579</v>
      </c>
      <c r="B7" s="1429" t="s">
        <v>1015</v>
      </c>
      <c r="C7" s="1105" t="s">
        <v>59</v>
      </c>
      <c r="D7" s="1106" t="s">
        <v>60</v>
      </c>
      <c r="E7" s="1431" t="s">
        <v>779</v>
      </c>
    </row>
    <row r="8" spans="1:5" ht="16.5" thickBot="1">
      <c r="A8" s="1430"/>
      <c r="B8" s="1430"/>
      <c r="C8" s="1433" t="s">
        <v>194</v>
      </c>
      <c r="D8" s="1434"/>
      <c r="E8" s="1432"/>
    </row>
    <row r="9" spans="1:5" ht="15.75">
      <c r="A9" s="1108" t="s">
        <v>61</v>
      </c>
      <c r="B9" s="1108" t="s">
        <v>62</v>
      </c>
      <c r="C9" s="1153" t="s">
        <v>63</v>
      </c>
      <c r="D9" s="1154" t="s">
        <v>64</v>
      </c>
      <c r="E9" s="1107" t="s">
        <v>65</v>
      </c>
    </row>
    <row r="10" spans="1:6" ht="15.75">
      <c r="A10" s="1109" t="s">
        <v>66</v>
      </c>
      <c r="B10" s="1110" t="s">
        <v>67</v>
      </c>
      <c r="C10" s="1111">
        <v>4275222</v>
      </c>
      <c r="D10" s="1112">
        <v>4529467</v>
      </c>
      <c r="E10" s="1113">
        <v>4358054</v>
      </c>
      <c r="F10" s="1086"/>
    </row>
    <row r="11" spans="1:6" ht="15.75">
      <c r="A11" s="1109" t="s">
        <v>68</v>
      </c>
      <c r="B11" s="1110" t="s">
        <v>69</v>
      </c>
      <c r="C11" s="1114">
        <v>1113717</v>
      </c>
      <c r="D11" s="1115">
        <v>1211673</v>
      </c>
      <c r="E11" s="1116">
        <v>1152979</v>
      </c>
      <c r="F11" s="1086"/>
    </row>
    <row r="12" spans="1:6" ht="15.75">
      <c r="A12" s="1109" t="s">
        <v>70</v>
      </c>
      <c r="B12" s="1110" t="s">
        <v>71</v>
      </c>
      <c r="C12" s="1114">
        <v>5866633</v>
      </c>
      <c r="D12" s="1115">
        <v>6242582</v>
      </c>
      <c r="E12" s="1116">
        <v>5513067</v>
      </c>
      <c r="F12" s="1086"/>
    </row>
    <row r="13" spans="1:6" ht="15.75">
      <c r="A13" s="1109" t="s">
        <v>72</v>
      </c>
      <c r="B13" s="1110" t="s">
        <v>73</v>
      </c>
      <c r="C13" s="1114">
        <f>3696+279860</f>
        <v>283556</v>
      </c>
      <c r="D13" s="1115">
        <f>482197+17588</f>
        <v>499785</v>
      </c>
      <c r="E13" s="1116">
        <f>475493+20296</f>
        <v>495789</v>
      </c>
      <c r="F13" s="1086"/>
    </row>
    <row r="14" spans="1:6" ht="15.75">
      <c r="A14" s="1109" t="s">
        <v>74</v>
      </c>
      <c r="B14" s="1110" t="s">
        <v>75</v>
      </c>
      <c r="C14" s="1117">
        <v>925248</v>
      </c>
      <c r="D14" s="1115">
        <v>958933</v>
      </c>
      <c r="E14" s="1116">
        <v>940644</v>
      </c>
      <c r="F14" s="1086"/>
    </row>
    <row r="15" spans="1:6" ht="15.75">
      <c r="A15" s="1109" t="s">
        <v>76</v>
      </c>
      <c r="B15" s="1110" t="s">
        <v>77</v>
      </c>
      <c r="C15" s="1114">
        <v>3500</v>
      </c>
      <c r="D15" s="1115">
        <v>24370</v>
      </c>
      <c r="E15" s="1116">
        <v>24646</v>
      </c>
      <c r="F15" s="1086"/>
    </row>
    <row r="16" spans="1:6" ht="15.75">
      <c r="A16" s="1109" t="s">
        <v>78</v>
      </c>
      <c r="B16" s="1110" t="s">
        <v>79</v>
      </c>
      <c r="C16" s="1117">
        <v>2265259</v>
      </c>
      <c r="D16" s="1118">
        <v>2359302</v>
      </c>
      <c r="E16" s="1116">
        <v>1673514</v>
      </c>
      <c r="F16" s="1086"/>
    </row>
    <row r="17" spans="1:6" ht="15.75">
      <c r="A17" s="1109" t="s">
        <v>80</v>
      </c>
      <c r="B17" s="1110" t="s">
        <v>81</v>
      </c>
      <c r="C17" s="1117">
        <f>2896979-2265259</f>
        <v>631720</v>
      </c>
      <c r="D17" s="1118">
        <f>3262139-2359302</f>
        <v>902837</v>
      </c>
      <c r="E17" s="1116">
        <f>2016050-1673514</f>
        <v>342536</v>
      </c>
      <c r="F17" s="1086"/>
    </row>
    <row r="18" spans="1:6" ht="15.75">
      <c r="A18" s="1109" t="s">
        <v>82</v>
      </c>
      <c r="B18" s="1110" t="s">
        <v>83</v>
      </c>
      <c r="C18" s="1117">
        <v>0</v>
      </c>
      <c r="D18" s="1118">
        <v>6696</v>
      </c>
      <c r="E18" s="1116">
        <v>3696</v>
      </c>
      <c r="F18" s="1086"/>
    </row>
    <row r="19" spans="1:6" ht="15.75">
      <c r="A19" s="1109" t="s">
        <v>328</v>
      </c>
      <c r="B19" s="1110" t="s">
        <v>84</v>
      </c>
      <c r="C19" s="1117">
        <v>655000</v>
      </c>
      <c r="D19" s="1118">
        <v>688491</v>
      </c>
      <c r="E19" s="1116">
        <v>534116</v>
      </c>
      <c r="F19" s="1086"/>
    </row>
    <row r="20" spans="1:6" ht="15.75">
      <c r="A20" s="1109" t="s">
        <v>330</v>
      </c>
      <c r="B20" s="1110" t="s">
        <v>85</v>
      </c>
      <c r="C20" s="1114">
        <f>55000+27057</f>
        <v>82057</v>
      </c>
      <c r="D20" s="1115">
        <f>56176+28322+25000</f>
        <v>109498</v>
      </c>
      <c r="E20" s="1116">
        <f>31320+14929+25000</f>
        <v>71249</v>
      </c>
      <c r="F20" s="1086"/>
    </row>
    <row r="21" spans="1:6" ht="15.75">
      <c r="A21" s="1109" t="s">
        <v>331</v>
      </c>
      <c r="B21" s="1110" t="s">
        <v>86</v>
      </c>
      <c r="C21" s="1114">
        <v>0</v>
      </c>
      <c r="D21" s="1115">
        <v>0</v>
      </c>
      <c r="E21" s="1116">
        <v>0</v>
      </c>
      <c r="F21" s="1086"/>
    </row>
    <row r="22" spans="1:6" ht="15.75">
      <c r="A22" s="1135" t="s">
        <v>332</v>
      </c>
      <c r="B22" s="1136" t="s">
        <v>87</v>
      </c>
      <c r="C22" s="1137">
        <f>+C10+C11+C12+C13+C14+C15+C16+C17+C18+C19+C20+C21</f>
        <v>16101912</v>
      </c>
      <c r="D22" s="1138">
        <f>+D10+D11+D12+D13+D14+D15+D16+D17+D18+D19+D20+D21</f>
        <v>17533634</v>
      </c>
      <c r="E22" s="1139">
        <f>+E10+E11+E12+E13+E14+E15+E16+E17+E18+E19+E20+E21</f>
        <v>15110290</v>
      </c>
      <c r="F22" s="1086"/>
    </row>
    <row r="23" spans="1:6" ht="15.75">
      <c r="A23" s="1109" t="s">
        <v>334</v>
      </c>
      <c r="B23" s="1110" t="s">
        <v>88</v>
      </c>
      <c r="C23" s="1114">
        <v>628666</v>
      </c>
      <c r="D23" s="1115">
        <v>628666</v>
      </c>
      <c r="E23" s="1116">
        <v>458999</v>
      </c>
      <c r="F23" s="1086"/>
    </row>
    <row r="24" spans="1:5" ht="15.75">
      <c r="A24" s="1109" t="s">
        <v>335</v>
      </c>
      <c r="B24" s="1110" t="s">
        <v>89</v>
      </c>
      <c r="C24" s="1119">
        <v>0</v>
      </c>
      <c r="D24" s="1120">
        <v>0</v>
      </c>
      <c r="E24" s="1116">
        <v>0</v>
      </c>
    </row>
    <row r="25" spans="1:7" ht="15.75">
      <c r="A25" s="1109" t="s">
        <v>337</v>
      </c>
      <c r="B25" s="1110" t="s">
        <v>90</v>
      </c>
      <c r="C25" s="1119">
        <v>0</v>
      </c>
      <c r="D25" s="1120">
        <v>0</v>
      </c>
      <c r="E25" s="1121">
        <v>0</v>
      </c>
      <c r="G25" s="1086"/>
    </row>
    <row r="26" spans="1:5" ht="15.75">
      <c r="A26" s="1109" t="s">
        <v>339</v>
      </c>
      <c r="B26" s="1110" t="s">
        <v>91</v>
      </c>
      <c r="C26" s="1119">
        <v>0</v>
      </c>
      <c r="D26" s="1120">
        <v>0</v>
      </c>
      <c r="E26" s="1121">
        <v>0</v>
      </c>
    </row>
    <row r="27" spans="1:5" ht="15.75">
      <c r="A27" s="1109" t="s">
        <v>341</v>
      </c>
      <c r="B27" s="1110" t="s">
        <v>92</v>
      </c>
      <c r="C27" s="1119">
        <v>0</v>
      </c>
      <c r="D27" s="1120">
        <v>0</v>
      </c>
      <c r="E27" s="1121">
        <v>0</v>
      </c>
    </row>
    <row r="28" spans="1:11" ht="15.75">
      <c r="A28" s="1135" t="s">
        <v>343</v>
      </c>
      <c r="B28" s="1136" t="s">
        <v>93</v>
      </c>
      <c r="C28" s="1137">
        <f>+C23+C24+C26+C27</f>
        <v>628666</v>
      </c>
      <c r="D28" s="1138">
        <f>+D23+D24+D26+D27</f>
        <v>628666</v>
      </c>
      <c r="E28" s="1139">
        <f>+E23+E24+E26+E27</f>
        <v>458999</v>
      </c>
      <c r="F28" s="1122"/>
      <c r="G28" s="1122"/>
      <c r="H28" s="1122"/>
      <c r="I28" s="1122"/>
      <c r="J28" s="1123"/>
      <c r="K28" s="1123"/>
    </row>
    <row r="29" spans="1:11" ht="15.75">
      <c r="A29" s="1135" t="s">
        <v>345</v>
      </c>
      <c r="B29" s="1136" t="s">
        <v>94</v>
      </c>
      <c r="C29" s="1137">
        <f>+C22+C28</f>
        <v>16730578</v>
      </c>
      <c r="D29" s="1138">
        <f>+D22+D28</f>
        <v>18162300</v>
      </c>
      <c r="E29" s="1139">
        <f>+E22+E28</f>
        <v>15569289</v>
      </c>
      <c r="F29" s="1122"/>
      <c r="G29" s="1122"/>
      <c r="H29" s="1122"/>
      <c r="I29" s="1122"/>
      <c r="J29" s="1123"/>
      <c r="K29" s="1123"/>
    </row>
    <row r="30" spans="1:11" ht="15.75">
      <c r="A30" s="1109" t="s">
        <v>347</v>
      </c>
      <c r="B30" s="1110" t="s">
        <v>95</v>
      </c>
      <c r="C30" s="1114">
        <v>207859</v>
      </c>
      <c r="D30" s="1115">
        <v>7668</v>
      </c>
      <c r="E30" s="1124">
        <v>0</v>
      </c>
      <c r="F30" s="1122"/>
      <c r="G30" s="1122"/>
      <c r="H30" s="1122"/>
      <c r="I30" s="1122"/>
      <c r="J30" s="1123"/>
      <c r="K30" s="1123"/>
    </row>
    <row r="31" spans="1:11" ht="16.5" thickBot="1">
      <c r="A31" s="1125" t="s">
        <v>349</v>
      </c>
      <c r="B31" s="1126" t="s">
        <v>96</v>
      </c>
      <c r="C31" s="1117">
        <v>0</v>
      </c>
      <c r="D31" s="1118">
        <v>0</v>
      </c>
      <c r="E31" s="1116">
        <v>418495</v>
      </c>
      <c r="F31" s="1127"/>
      <c r="G31" s="1127"/>
      <c r="H31" s="1127"/>
      <c r="I31" s="1122"/>
      <c r="J31" s="1123"/>
      <c r="K31" s="1123"/>
    </row>
    <row r="32" spans="1:11" ht="16.5" thickBot="1">
      <c r="A32" s="1140" t="s">
        <v>351</v>
      </c>
      <c r="B32" s="1141" t="s">
        <v>97</v>
      </c>
      <c r="C32" s="1142">
        <f>SUM(C29+C30)</f>
        <v>16938437</v>
      </c>
      <c r="D32" s="1143">
        <f>SUM(D29+D30)</f>
        <v>18169968</v>
      </c>
      <c r="E32" s="1143">
        <f>SUM(E29+E30+E31)</f>
        <v>15987784</v>
      </c>
      <c r="F32" s="1122"/>
      <c r="G32" s="1122"/>
      <c r="H32" s="1122"/>
      <c r="I32" s="1122"/>
      <c r="J32" s="1123"/>
      <c r="K32" s="1123"/>
    </row>
    <row r="33" spans="1:11" ht="15.75">
      <c r="A33" s="1128" t="s">
        <v>353</v>
      </c>
      <c r="B33" s="1129" t="s">
        <v>98</v>
      </c>
      <c r="C33" s="1117">
        <v>2590967</v>
      </c>
      <c r="D33" s="1118">
        <v>2588943</v>
      </c>
      <c r="E33" s="1116">
        <v>2333060</v>
      </c>
      <c r="F33" s="1122"/>
      <c r="G33" s="1122"/>
      <c r="H33" s="1122"/>
      <c r="I33" s="1122"/>
      <c r="J33" s="1123"/>
      <c r="K33" s="1123"/>
    </row>
    <row r="34" spans="1:11" ht="15.75">
      <c r="A34" s="1109" t="s">
        <v>355</v>
      </c>
      <c r="B34" s="1110" t="s">
        <v>99</v>
      </c>
      <c r="C34" s="1117">
        <v>8221893</v>
      </c>
      <c r="D34" s="1118">
        <v>8670251</v>
      </c>
      <c r="E34" s="1116">
        <v>8498505</v>
      </c>
      <c r="F34" s="1122"/>
      <c r="G34" s="1122"/>
      <c r="H34" s="1122"/>
      <c r="I34" s="1122"/>
      <c r="J34" s="1123"/>
      <c r="K34" s="1123"/>
    </row>
    <row r="35" spans="1:11" ht="15.75">
      <c r="A35" s="1109" t="s">
        <v>357</v>
      </c>
      <c r="B35" s="1110" t="s">
        <v>100</v>
      </c>
      <c r="C35" s="1117">
        <v>1400</v>
      </c>
      <c r="D35" s="1118">
        <v>131925</v>
      </c>
      <c r="E35" s="1116">
        <f>133505+51373</f>
        <v>184878</v>
      </c>
      <c r="F35" s="1127"/>
      <c r="G35" s="1127"/>
      <c r="H35" s="1127"/>
      <c r="I35" s="1122"/>
      <c r="J35" s="1123"/>
      <c r="K35" s="1123"/>
    </row>
    <row r="36" spans="1:11" ht="15.75">
      <c r="A36" s="1109" t="s">
        <v>359</v>
      </c>
      <c r="B36" s="1110" t="s">
        <v>101</v>
      </c>
      <c r="C36" s="1117">
        <v>0</v>
      </c>
      <c r="D36" s="1118">
        <v>9136</v>
      </c>
      <c r="E36" s="1116">
        <v>19401</v>
      </c>
      <c r="F36" s="1122"/>
      <c r="G36" s="1122"/>
      <c r="H36" s="1122"/>
      <c r="I36" s="1122"/>
      <c r="J36" s="1123"/>
      <c r="K36" s="1123"/>
    </row>
    <row r="37" spans="1:8" ht="15.75">
      <c r="A37" s="1109" t="s">
        <v>361</v>
      </c>
      <c r="B37" s="1110" t="s">
        <v>102</v>
      </c>
      <c r="C37" s="1117">
        <f>250000+1160000</f>
        <v>1410000</v>
      </c>
      <c r="D37" s="1118">
        <f>250000+749421</f>
        <v>999421</v>
      </c>
      <c r="E37" s="1116">
        <f>255816+560880</f>
        <v>816696</v>
      </c>
      <c r="F37" s="1122"/>
      <c r="G37" s="1122"/>
      <c r="H37" s="1122"/>
    </row>
    <row r="38" spans="1:5" ht="15.75">
      <c r="A38" s="1109" t="s">
        <v>363</v>
      </c>
      <c r="B38" s="1110" t="s">
        <v>103</v>
      </c>
      <c r="C38" s="1117">
        <v>250000</v>
      </c>
      <c r="D38" s="1118">
        <v>250000</v>
      </c>
      <c r="E38" s="1116">
        <v>255816</v>
      </c>
    </row>
    <row r="39" spans="1:5" ht="15.75">
      <c r="A39" s="1109" t="s">
        <v>365</v>
      </c>
      <c r="B39" s="1110" t="s">
        <v>104</v>
      </c>
      <c r="C39" s="1117">
        <v>1301002</v>
      </c>
      <c r="D39" s="1118">
        <v>1146511</v>
      </c>
      <c r="E39" s="1116">
        <v>826886</v>
      </c>
    </row>
    <row r="40" spans="1:5" ht="15.75">
      <c r="A40" s="1109" t="s">
        <v>367</v>
      </c>
      <c r="B40" s="1110" t="s">
        <v>105</v>
      </c>
      <c r="C40" s="1117">
        <v>0</v>
      </c>
      <c r="D40" s="1118">
        <v>6506</v>
      </c>
      <c r="E40" s="1116">
        <v>6506</v>
      </c>
    </row>
    <row r="41" spans="1:5" ht="15.75">
      <c r="A41" s="1109" t="s">
        <v>369</v>
      </c>
      <c r="B41" s="1110" t="s">
        <v>106</v>
      </c>
      <c r="C41" s="1114">
        <v>2078175</v>
      </c>
      <c r="D41" s="1115">
        <v>2662565</v>
      </c>
      <c r="E41" s="1116">
        <f>171110+2662565</f>
        <v>2833675</v>
      </c>
    </row>
    <row r="42" spans="1:6" ht="15.75">
      <c r="A42" s="1109" t="s">
        <v>371</v>
      </c>
      <c r="B42" s="1110" t="s">
        <v>107</v>
      </c>
      <c r="C42" s="1114">
        <v>2078175</v>
      </c>
      <c r="D42" s="1115">
        <v>2662565</v>
      </c>
      <c r="E42" s="1116">
        <v>2662565</v>
      </c>
      <c r="F42" s="1086"/>
    </row>
    <row r="43" spans="1:5" ht="15.75">
      <c r="A43" s="1109" t="s">
        <v>373</v>
      </c>
      <c r="B43" s="1110" t="s">
        <v>108</v>
      </c>
      <c r="C43" s="1114">
        <v>65000</v>
      </c>
      <c r="D43" s="1115">
        <v>65076</v>
      </c>
      <c r="E43" s="1116">
        <v>55624</v>
      </c>
    </row>
    <row r="44" spans="1:12" ht="15.75">
      <c r="A44" s="1109" t="s">
        <v>375</v>
      </c>
      <c r="B44" s="1110" t="s">
        <v>109</v>
      </c>
      <c r="C44" s="1114">
        <v>0</v>
      </c>
      <c r="D44" s="1115">
        <v>0</v>
      </c>
      <c r="E44" s="1124">
        <v>0</v>
      </c>
      <c r="F44" s="1123"/>
      <c r="G44" s="1130"/>
      <c r="H44" s="1123"/>
      <c r="I44" s="1123"/>
      <c r="J44" s="1123"/>
      <c r="K44" s="1123"/>
      <c r="L44" s="1123"/>
    </row>
    <row r="45" spans="1:16" ht="15.75">
      <c r="A45" s="1135" t="s">
        <v>377</v>
      </c>
      <c r="B45" s="1136" t="s">
        <v>110</v>
      </c>
      <c r="C45" s="1137">
        <f>+C33+C34+C35+C36+C37+C39+C40+C41+C43+C44</f>
        <v>15668437</v>
      </c>
      <c r="D45" s="1138">
        <f>+D33+D34+D35+D36+D37+D39+D40+D41+D43+D44</f>
        <v>16280334</v>
      </c>
      <c r="E45" s="1139">
        <f>+E33+E34+E35+E36+E37+E39+E40+E41+E43+E44</f>
        <v>15575231</v>
      </c>
      <c r="F45" s="1122"/>
      <c r="G45" s="1122"/>
      <c r="H45" s="1122"/>
      <c r="I45" s="1122"/>
      <c r="J45" s="1122"/>
      <c r="K45" s="1122"/>
      <c r="L45" s="1122"/>
      <c r="M45" s="1122"/>
      <c r="N45" s="1086"/>
      <c r="O45" s="1086"/>
      <c r="P45" s="1086"/>
    </row>
    <row r="46" spans="1:16" ht="15.75">
      <c r="A46" s="1109" t="s">
        <v>780</v>
      </c>
      <c r="B46" s="1110" t="s">
        <v>111</v>
      </c>
      <c r="C46" s="1119">
        <v>870000</v>
      </c>
      <c r="D46" s="1120">
        <v>870000</v>
      </c>
      <c r="E46" s="1121">
        <v>870000</v>
      </c>
      <c r="F46" s="1122"/>
      <c r="G46" s="1122"/>
      <c r="H46" s="1122"/>
      <c r="I46" s="1122"/>
      <c r="J46" s="1122"/>
      <c r="K46" s="1122"/>
      <c r="L46" s="1122"/>
      <c r="M46" s="1122"/>
      <c r="N46" s="1086"/>
      <c r="O46" s="1086"/>
      <c r="P46" s="1086"/>
    </row>
    <row r="47" spans="1:16" ht="15.75">
      <c r="A47" s="1109" t="s">
        <v>379</v>
      </c>
      <c r="B47" s="1110" t="s">
        <v>112</v>
      </c>
      <c r="C47" s="1119">
        <v>0</v>
      </c>
      <c r="D47" s="1120">
        <v>0</v>
      </c>
      <c r="E47" s="1121">
        <v>0</v>
      </c>
      <c r="F47" s="1122"/>
      <c r="G47" s="1122"/>
      <c r="H47" s="1122"/>
      <c r="I47" s="1122"/>
      <c r="J47" s="1122"/>
      <c r="K47" s="1122"/>
      <c r="L47" s="1122"/>
      <c r="M47" s="1122"/>
      <c r="N47" s="1086"/>
      <c r="O47" s="1086"/>
      <c r="P47" s="1086"/>
    </row>
    <row r="48" spans="1:16" ht="15.75">
      <c r="A48" s="1109" t="s">
        <v>381</v>
      </c>
      <c r="B48" s="1110" t="s">
        <v>113</v>
      </c>
      <c r="C48" s="1119">
        <v>0</v>
      </c>
      <c r="D48" s="1120">
        <v>0</v>
      </c>
      <c r="E48" s="1121">
        <v>0</v>
      </c>
      <c r="F48" s="1122"/>
      <c r="G48" s="1122"/>
      <c r="H48" s="1122"/>
      <c r="I48" s="1122"/>
      <c r="J48" s="1122"/>
      <c r="K48" s="1122"/>
      <c r="L48" s="1122"/>
      <c r="M48" s="1122"/>
      <c r="N48" s="1086"/>
      <c r="O48" s="1086"/>
      <c r="P48" s="1086"/>
    </row>
    <row r="49" spans="1:16" ht="15.75">
      <c r="A49" s="1109" t="s">
        <v>382</v>
      </c>
      <c r="B49" s="1110" t="s">
        <v>114</v>
      </c>
      <c r="C49" s="1119">
        <v>0</v>
      </c>
      <c r="D49" s="1120">
        <v>0</v>
      </c>
      <c r="E49" s="1121">
        <v>0</v>
      </c>
      <c r="F49" s="1127"/>
      <c r="G49" s="1127"/>
      <c r="H49" s="1127"/>
      <c r="I49" s="1122"/>
      <c r="J49" s="1122"/>
      <c r="K49" s="1122"/>
      <c r="L49" s="1122"/>
      <c r="M49" s="1122"/>
      <c r="N49" s="1086"/>
      <c r="O49" s="1086"/>
      <c r="P49" s="1086"/>
    </row>
    <row r="50" spans="1:16" ht="15.75">
      <c r="A50" s="1109" t="s">
        <v>781</v>
      </c>
      <c r="B50" s="1110" t="s">
        <v>115</v>
      </c>
      <c r="C50" s="1119">
        <v>0</v>
      </c>
      <c r="D50" s="1120">
        <v>0</v>
      </c>
      <c r="E50" s="1121">
        <v>0</v>
      </c>
      <c r="F50" s="1122"/>
      <c r="G50" s="1127"/>
      <c r="H50" s="1127"/>
      <c r="I50" s="1127"/>
      <c r="J50" s="1122"/>
      <c r="K50" s="1122"/>
      <c r="L50" s="1122"/>
      <c r="M50" s="1122"/>
      <c r="N50" s="1086"/>
      <c r="O50" s="1086"/>
      <c r="P50" s="1086"/>
    </row>
    <row r="51" spans="1:16" ht="15.75">
      <c r="A51" s="1135" t="s">
        <v>788</v>
      </c>
      <c r="B51" s="1136" t="s">
        <v>116</v>
      </c>
      <c r="C51" s="1137">
        <f>+C46+C47+C49+C50</f>
        <v>870000</v>
      </c>
      <c r="D51" s="1138">
        <f>+D46+D47+D49+D50</f>
        <v>870000</v>
      </c>
      <c r="E51" s="1139">
        <f>+E46+E47+E49+E50</f>
        <v>870000</v>
      </c>
      <c r="F51" s="1122"/>
      <c r="G51" s="1122"/>
      <c r="H51" s="1122"/>
      <c r="I51" s="1122"/>
      <c r="J51" s="1122"/>
      <c r="K51" s="1122"/>
      <c r="L51" s="1122"/>
      <c r="M51" s="1122"/>
      <c r="N51" s="1086"/>
      <c r="O51" s="1086"/>
      <c r="P51" s="1086"/>
    </row>
    <row r="52" spans="1:16" ht="15.75">
      <c r="A52" s="1135" t="s">
        <v>789</v>
      </c>
      <c r="B52" s="1136" t="s">
        <v>117</v>
      </c>
      <c r="C52" s="1137">
        <f>+C45+C51</f>
        <v>16538437</v>
      </c>
      <c r="D52" s="1138">
        <f>+D45+D51</f>
        <v>17150334</v>
      </c>
      <c r="E52" s="1139">
        <f>+E45+E51</f>
        <v>16445231</v>
      </c>
      <c r="F52" s="1122"/>
      <c r="G52" s="1122"/>
      <c r="H52" s="1122"/>
      <c r="I52" s="1122"/>
      <c r="J52" s="1122"/>
      <c r="K52" s="1122"/>
      <c r="L52" s="1122"/>
      <c r="M52" s="1122"/>
      <c r="N52" s="1086"/>
      <c r="O52" s="1086"/>
      <c r="P52" s="1086"/>
    </row>
    <row r="53" spans="1:16" ht="15.75">
      <c r="A53" s="1109" t="s">
        <v>790</v>
      </c>
      <c r="B53" s="1110" t="s">
        <v>118</v>
      </c>
      <c r="C53" s="1119">
        <v>400000</v>
      </c>
      <c r="D53" s="1120">
        <v>1019634</v>
      </c>
      <c r="E53" s="1121">
        <v>1019634</v>
      </c>
      <c r="F53" s="1122"/>
      <c r="G53" s="1122"/>
      <c r="H53" s="1122"/>
      <c r="I53" s="1122"/>
      <c r="J53" s="1122"/>
      <c r="K53" s="1122"/>
      <c r="L53" s="1122"/>
      <c r="M53" s="1122"/>
      <c r="N53" s="1086"/>
      <c r="O53" s="1086"/>
      <c r="P53" s="1086"/>
    </row>
    <row r="54" spans="1:16" ht="15.75">
      <c r="A54" s="1109" t="s">
        <v>791</v>
      </c>
      <c r="B54" s="1110" t="s">
        <v>119</v>
      </c>
      <c r="C54" s="1131">
        <v>0</v>
      </c>
      <c r="D54" s="1132">
        <v>0</v>
      </c>
      <c r="E54" s="1121">
        <v>0</v>
      </c>
      <c r="F54" s="1122"/>
      <c r="G54" s="1122"/>
      <c r="H54" s="1122"/>
      <c r="I54" s="1122"/>
      <c r="J54" s="1122"/>
      <c r="K54" s="1122"/>
      <c r="L54" s="1122"/>
      <c r="M54" s="1122"/>
      <c r="N54" s="1086"/>
      <c r="O54" s="1086"/>
      <c r="P54" s="1086"/>
    </row>
    <row r="55" spans="1:16" ht="16.5" thickBot="1">
      <c r="A55" s="1125" t="s">
        <v>792</v>
      </c>
      <c r="B55" s="1126" t="s">
        <v>120</v>
      </c>
      <c r="C55" s="1131">
        <v>0</v>
      </c>
      <c r="D55" s="1133">
        <v>0</v>
      </c>
      <c r="E55" s="1134">
        <v>298563</v>
      </c>
      <c r="F55" s="1122"/>
      <c r="G55" s="1122"/>
      <c r="H55" s="1122"/>
      <c r="I55" s="1122"/>
      <c r="J55" s="1122"/>
      <c r="K55" s="1122"/>
      <c r="L55" s="1122"/>
      <c r="M55" s="1122"/>
      <c r="N55" s="1086"/>
      <c r="O55" s="1086"/>
      <c r="P55" s="1086"/>
    </row>
    <row r="56" spans="1:16" ht="16.5" thickBot="1">
      <c r="A56" s="1140" t="s">
        <v>793</v>
      </c>
      <c r="B56" s="1141" t="s">
        <v>121</v>
      </c>
      <c r="C56" s="1142">
        <f>SUM(C52+C53)</f>
        <v>16938437</v>
      </c>
      <c r="D56" s="1143">
        <f>SUM(D52+D53)</f>
        <v>18169968</v>
      </c>
      <c r="E56" s="1143">
        <f>+E52+E53+E54+E55</f>
        <v>17763428</v>
      </c>
      <c r="F56" s="1122"/>
      <c r="G56" s="1122"/>
      <c r="H56" s="1122"/>
      <c r="I56" s="1122"/>
      <c r="J56" s="1122"/>
      <c r="K56" s="1122"/>
      <c r="L56" s="1122"/>
      <c r="M56" s="1122"/>
      <c r="N56" s="1086"/>
      <c r="O56" s="1086"/>
      <c r="P56" s="1086"/>
    </row>
    <row r="57" spans="1:16" ht="28.5" customHeight="1">
      <c r="A57" s="1144" t="s">
        <v>794</v>
      </c>
      <c r="B57" s="1145" t="s">
        <v>122</v>
      </c>
      <c r="C57" s="1146">
        <f>SUM(C45-C22)</f>
        <v>-433475</v>
      </c>
      <c r="D57" s="1147">
        <f>SUM(D45-D22)</f>
        <v>-1253300</v>
      </c>
      <c r="E57" s="1147">
        <f>SUM(E45-E22)</f>
        <v>464941</v>
      </c>
      <c r="F57" s="1122"/>
      <c r="G57" s="1122"/>
      <c r="H57" s="1122"/>
      <c r="I57" s="1122"/>
      <c r="J57" s="1122"/>
      <c r="K57" s="1122"/>
      <c r="L57" s="1122"/>
      <c r="M57" s="1122"/>
      <c r="N57" s="1086"/>
      <c r="O57" s="1086"/>
      <c r="P57" s="1086"/>
    </row>
    <row r="58" spans="1:13" ht="39" customHeight="1">
      <c r="A58" s="1144" t="s">
        <v>795</v>
      </c>
      <c r="B58" s="1145" t="s">
        <v>123</v>
      </c>
      <c r="C58" s="1146">
        <f>SUM(C57+C53-C30)</f>
        <v>-241334</v>
      </c>
      <c r="D58" s="1147">
        <f>SUM(D57+D53-D30)</f>
        <v>-241334</v>
      </c>
      <c r="E58" s="1147">
        <f>SUM(E57+E53-E30)</f>
        <v>1484575</v>
      </c>
      <c r="F58" s="1122"/>
      <c r="G58" s="1122"/>
      <c r="H58" s="1122"/>
      <c r="I58" s="1122"/>
      <c r="J58" s="1122"/>
      <c r="K58" s="1122"/>
      <c r="L58" s="1122"/>
      <c r="M58" s="1123"/>
    </row>
    <row r="59" spans="1:13" ht="15.75">
      <c r="A59" s="1135" t="s">
        <v>796</v>
      </c>
      <c r="B59" s="1136" t="s">
        <v>124</v>
      </c>
      <c r="C59" s="1137">
        <f>+C51-C28</f>
        <v>241334</v>
      </c>
      <c r="D59" s="1138">
        <f>+D51-D28</f>
        <v>241334</v>
      </c>
      <c r="E59" s="1139">
        <f>+E51-E28</f>
        <v>411001</v>
      </c>
      <c r="G59" s="1122"/>
      <c r="H59" s="1122"/>
      <c r="I59" s="1122"/>
      <c r="J59" s="1122"/>
      <c r="K59" s="1122"/>
      <c r="L59" s="1122"/>
      <c r="M59" s="1123"/>
    </row>
    <row r="60" spans="1:13" ht="16.5" thickBot="1">
      <c r="A60" s="1148" t="s">
        <v>125</v>
      </c>
      <c r="B60" s="1149" t="s">
        <v>126</v>
      </c>
      <c r="C60" s="1150" t="s">
        <v>127</v>
      </c>
      <c r="D60" s="1151" t="s">
        <v>127</v>
      </c>
      <c r="E60" s="1152">
        <f>SUM(E54+E55-E31)</f>
        <v>-119932</v>
      </c>
      <c r="F60" s="1122"/>
      <c r="G60" s="1122"/>
      <c r="H60" s="1122"/>
      <c r="I60" s="1127"/>
      <c r="J60" s="1122"/>
      <c r="K60" s="1122"/>
      <c r="L60" s="1122"/>
      <c r="M60" s="1123"/>
    </row>
    <row r="61" spans="6:13" ht="15.75">
      <c r="F61" s="1127"/>
      <c r="G61" s="1127"/>
      <c r="H61" s="1127"/>
      <c r="I61" s="1122"/>
      <c r="J61" s="1122"/>
      <c r="K61" s="1122"/>
      <c r="L61" s="1122"/>
      <c r="M61" s="1123"/>
    </row>
    <row r="62" spans="1:13" ht="15.75">
      <c r="A62" s="1421"/>
      <c r="B62" s="1421"/>
      <c r="G62" s="1122"/>
      <c r="H62" s="1122"/>
      <c r="I62" s="1122"/>
      <c r="J62" s="1122"/>
      <c r="K62" s="1122"/>
      <c r="L62" s="1122"/>
      <c r="M62" s="1123"/>
    </row>
    <row r="63" spans="6:13" ht="15.75">
      <c r="F63" s="1122"/>
      <c r="G63" s="1122"/>
      <c r="H63" s="1122"/>
      <c r="I63" s="1122"/>
      <c r="J63" s="1122"/>
      <c r="K63" s="1122"/>
      <c r="L63" s="1122"/>
      <c r="M63" s="1123"/>
    </row>
    <row r="64" spans="7:13" ht="15.75">
      <c r="G64" s="1122"/>
      <c r="H64" s="1122"/>
      <c r="I64" s="1122"/>
      <c r="J64" s="1122"/>
      <c r="K64" s="1122"/>
      <c r="L64" s="1122"/>
      <c r="M64" s="1123"/>
    </row>
    <row r="65" spans="7:13" ht="15.75">
      <c r="G65" s="1122"/>
      <c r="H65" s="1122"/>
      <c r="I65" s="1122"/>
      <c r="J65" s="1122"/>
      <c r="K65" s="1122"/>
      <c r="L65" s="1122"/>
      <c r="M65" s="1123"/>
    </row>
    <row r="66" spans="7:13" ht="15.75">
      <c r="G66" s="1122"/>
      <c r="H66" s="1122"/>
      <c r="I66" s="1122"/>
      <c r="J66" s="1122"/>
      <c r="K66" s="1122"/>
      <c r="L66" s="1122"/>
      <c r="M66" s="1123"/>
    </row>
    <row r="67" spans="7:13" ht="15.75">
      <c r="G67" s="1122"/>
      <c r="H67" s="1122"/>
      <c r="I67" s="1122"/>
      <c r="J67" s="1122"/>
      <c r="K67" s="1122"/>
      <c r="L67" s="1122"/>
      <c r="M67" s="1123"/>
    </row>
    <row r="68" spans="7:13" ht="15.75">
      <c r="G68" s="1123"/>
      <c r="H68" s="1123"/>
      <c r="I68" s="1123"/>
      <c r="J68" s="1123"/>
      <c r="K68" s="1123"/>
      <c r="L68" s="1123"/>
      <c r="M68" s="1123"/>
    </row>
    <row r="69" spans="7:13" ht="15.75">
      <c r="G69" s="1123"/>
      <c r="H69" s="1123"/>
      <c r="I69" s="1123"/>
      <c r="J69" s="1123"/>
      <c r="K69" s="1123"/>
      <c r="L69" s="1123"/>
      <c r="M69" s="1123"/>
    </row>
  </sheetData>
  <sheetProtection/>
  <mergeCells count="8">
    <mergeCell ref="A2:E2"/>
    <mergeCell ref="A62:B62"/>
    <mergeCell ref="A3:E3"/>
    <mergeCell ref="A4:E4"/>
    <mergeCell ref="A7:A8"/>
    <mergeCell ref="B7:B8"/>
    <mergeCell ref="E7:E8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73" useFirstPageNumber="1" horizontalDpi="600" verticalDpi="600" orientation="portrait" paperSize="9" scale="63" r:id="rId1"/>
  <headerFooter alignWithMargins="0"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5" zoomScaleSheetLayoutView="85" workbookViewId="0" topLeftCell="A1">
      <selection activeCell="D14" sqref="D14"/>
    </sheetView>
  </sheetViews>
  <sheetFormatPr defaultColWidth="9.00390625" defaultRowHeight="12.75"/>
  <cols>
    <col min="1" max="1" width="8.00390625" style="1059" customWidth="1"/>
    <col min="2" max="2" width="53.75390625" style="1059" customWidth="1"/>
    <col min="3" max="8" width="14.375" style="1059" customWidth="1"/>
    <col min="9" max="16384" width="8.00390625" style="1059" customWidth="1"/>
  </cols>
  <sheetData>
    <row r="1" spans="1:8" ht="18.75">
      <c r="A1" s="1057"/>
      <c r="B1" s="1057"/>
      <c r="C1" s="1057"/>
      <c r="D1" s="1057"/>
      <c r="E1" s="1057"/>
      <c r="F1" s="1057"/>
      <c r="G1" s="1057"/>
      <c r="H1" s="1057"/>
    </row>
    <row r="2" spans="1:8" ht="15.75">
      <c r="A2" s="1420" t="s">
        <v>797</v>
      </c>
      <c r="B2" s="1420"/>
      <c r="C2" s="1420"/>
      <c r="D2" s="1420"/>
      <c r="E2" s="1420"/>
      <c r="F2" s="1420"/>
      <c r="G2" s="1420"/>
      <c r="H2" s="1420"/>
    </row>
    <row r="3" spans="1:8" ht="15.75">
      <c r="A3" s="1427" t="s">
        <v>39</v>
      </c>
      <c r="B3" s="1427"/>
      <c r="C3" s="1427"/>
      <c r="D3" s="1427"/>
      <c r="E3" s="1427"/>
      <c r="F3" s="1427"/>
      <c r="G3" s="1427"/>
      <c r="H3" s="1427"/>
    </row>
    <row r="4" spans="1:8" ht="15.75">
      <c r="A4" s="1420" t="s">
        <v>40</v>
      </c>
      <c r="B4" s="1420"/>
      <c r="C4" s="1420"/>
      <c r="D4" s="1420"/>
      <c r="E4" s="1420"/>
      <c r="F4" s="1420"/>
      <c r="G4" s="1420"/>
      <c r="H4" s="1420"/>
    </row>
    <row r="5" ht="30" customHeight="1" thickBot="1">
      <c r="H5" s="1060" t="s">
        <v>649</v>
      </c>
    </row>
    <row r="6" spans="1:8" ht="61.5" customHeight="1" thickBot="1">
      <c r="A6" s="1061" t="s">
        <v>579</v>
      </c>
      <c r="B6" s="1062" t="s">
        <v>1015</v>
      </c>
      <c r="C6" s="1063" t="s">
        <v>823</v>
      </c>
      <c r="D6" s="1064" t="s">
        <v>41</v>
      </c>
      <c r="E6" s="1095" t="s">
        <v>825</v>
      </c>
      <c r="F6" s="1063" t="s">
        <v>42</v>
      </c>
      <c r="G6" s="1064" t="s">
        <v>41</v>
      </c>
      <c r="H6" s="1095" t="s">
        <v>827</v>
      </c>
    </row>
    <row r="7" spans="1:8" ht="26.25" customHeight="1">
      <c r="A7" s="1065" t="s">
        <v>1016</v>
      </c>
      <c r="B7" s="1066" t="s">
        <v>43</v>
      </c>
      <c r="C7" s="1067">
        <v>589639</v>
      </c>
      <c r="D7" s="1068">
        <v>0</v>
      </c>
      <c r="E7" s="1096">
        <f>D7+C7</f>
        <v>589639</v>
      </c>
      <c r="F7" s="1067">
        <v>1345649</v>
      </c>
      <c r="G7" s="1068">
        <v>0</v>
      </c>
      <c r="H7" s="1096">
        <f>F7+G7</f>
        <v>1345649</v>
      </c>
    </row>
    <row r="8" spans="1:8" ht="26.25" customHeight="1">
      <c r="A8" s="1065" t="s">
        <v>1017</v>
      </c>
      <c r="B8" s="1066" t="s">
        <v>44</v>
      </c>
      <c r="C8" s="1067">
        <v>0</v>
      </c>
      <c r="D8" s="1068">
        <v>0</v>
      </c>
      <c r="E8" s="1096">
        <f>D8+C8</f>
        <v>0</v>
      </c>
      <c r="F8" s="1067">
        <v>0</v>
      </c>
      <c r="G8" s="1068">
        <v>0</v>
      </c>
      <c r="H8" s="1096">
        <f>F8+G8</f>
        <v>0</v>
      </c>
    </row>
    <row r="9" spans="1:8" ht="26.25" customHeight="1">
      <c r="A9" s="1065" t="s">
        <v>1018</v>
      </c>
      <c r="B9" s="1069" t="s">
        <v>45</v>
      </c>
      <c r="C9" s="1070">
        <v>207512</v>
      </c>
      <c r="D9" s="1071">
        <v>0</v>
      </c>
      <c r="E9" s="1097">
        <f>D9+C9</f>
        <v>207512</v>
      </c>
      <c r="F9" s="1070">
        <v>327444</v>
      </c>
      <c r="G9" s="1071">
        <v>0</v>
      </c>
      <c r="H9" s="1097">
        <f>F9+G9</f>
        <v>327444</v>
      </c>
    </row>
    <row r="10" spans="1:8" ht="26.25" customHeight="1">
      <c r="A10" s="1065" t="s">
        <v>1019</v>
      </c>
      <c r="B10" s="1069" t="s">
        <v>46</v>
      </c>
      <c r="C10" s="1070">
        <v>0</v>
      </c>
      <c r="D10" s="1071">
        <v>0</v>
      </c>
      <c r="E10" s="1097">
        <f>D10+C10</f>
        <v>0</v>
      </c>
      <c r="F10" s="1070">
        <v>0</v>
      </c>
      <c r="G10" s="1071">
        <v>0</v>
      </c>
      <c r="H10" s="1097">
        <f>F10+G10</f>
        <v>0</v>
      </c>
    </row>
    <row r="11" spans="1:8" ht="26.25" customHeight="1" thickBot="1">
      <c r="A11" s="1065" t="s">
        <v>1020</v>
      </c>
      <c r="B11" s="1072" t="s">
        <v>47</v>
      </c>
      <c r="C11" s="1073">
        <v>0</v>
      </c>
      <c r="D11" s="1074">
        <v>0</v>
      </c>
      <c r="E11" s="1098">
        <f>D11+C11</f>
        <v>0</v>
      </c>
      <c r="F11" s="1073">
        <v>0</v>
      </c>
      <c r="G11" s="1074">
        <v>0</v>
      </c>
      <c r="H11" s="1098">
        <f>F11+G11</f>
        <v>0</v>
      </c>
    </row>
    <row r="12" spans="1:8" ht="26.25" customHeight="1" thickBot="1">
      <c r="A12" s="1090" t="s">
        <v>1148</v>
      </c>
      <c r="B12" s="1091" t="s">
        <v>57</v>
      </c>
      <c r="C12" s="1092">
        <f aca="true" t="shared" si="0" ref="C12:H12">+C7+C8+C9-C10-C11</f>
        <v>797151</v>
      </c>
      <c r="D12" s="1093">
        <f t="shared" si="0"/>
        <v>0</v>
      </c>
      <c r="E12" s="1094">
        <f t="shared" si="0"/>
        <v>797151</v>
      </c>
      <c r="F12" s="1092">
        <f t="shared" si="0"/>
        <v>1673093</v>
      </c>
      <c r="G12" s="1093">
        <f t="shared" si="0"/>
        <v>0</v>
      </c>
      <c r="H12" s="1094">
        <f t="shared" si="0"/>
        <v>1673093</v>
      </c>
    </row>
    <row r="13" spans="1:8" ht="26.25" customHeight="1">
      <c r="A13" s="1065" t="s">
        <v>229</v>
      </c>
      <c r="B13" s="1075" t="s">
        <v>48</v>
      </c>
      <c r="C13" s="1067">
        <v>61676</v>
      </c>
      <c r="D13" s="1068">
        <v>0</v>
      </c>
      <c r="E13" s="1096">
        <f>D13+C13</f>
        <v>61676</v>
      </c>
      <c r="F13" s="1067">
        <v>56415</v>
      </c>
      <c r="G13" s="1068">
        <v>0</v>
      </c>
      <c r="H13" s="1096">
        <f>F13+G13</f>
        <v>56415</v>
      </c>
    </row>
    <row r="14" spans="1:8" ht="26.25" customHeight="1">
      <c r="A14" s="1065" t="s">
        <v>324</v>
      </c>
      <c r="B14" s="1069" t="s">
        <v>49</v>
      </c>
      <c r="C14" s="1070">
        <v>0</v>
      </c>
      <c r="D14" s="1071">
        <v>0</v>
      </c>
      <c r="E14" s="1097">
        <f>D14+C14</f>
        <v>0</v>
      </c>
      <c r="F14" s="1070">
        <v>0</v>
      </c>
      <c r="G14" s="1071">
        <v>0</v>
      </c>
      <c r="H14" s="1097">
        <f>F14+G14</f>
        <v>0</v>
      </c>
    </row>
    <row r="15" spans="1:8" ht="26.25" customHeight="1">
      <c r="A15" s="1065" t="s">
        <v>326</v>
      </c>
      <c r="B15" s="1076" t="s">
        <v>50</v>
      </c>
      <c r="C15" s="1070">
        <v>858827</v>
      </c>
      <c r="D15" s="1070">
        <v>0</v>
      </c>
      <c r="E15" s="1097">
        <f>E12+E13+E14</f>
        <v>858827</v>
      </c>
      <c r="F15" s="1070">
        <v>1729508</v>
      </c>
      <c r="G15" s="1070">
        <v>0</v>
      </c>
      <c r="H15" s="1097">
        <f>+H12+H13+H14</f>
        <v>1729508</v>
      </c>
    </row>
    <row r="16" spans="1:8" ht="26.25" customHeight="1">
      <c r="A16" s="1065" t="s">
        <v>328</v>
      </c>
      <c r="B16" s="1076" t="s">
        <v>51</v>
      </c>
      <c r="C16" s="1070">
        <v>0</v>
      </c>
      <c r="D16" s="1071">
        <v>0</v>
      </c>
      <c r="E16" s="1097">
        <f>D16+C16</f>
        <v>0</v>
      </c>
      <c r="F16" s="1070">
        <v>0</v>
      </c>
      <c r="G16" s="1071">
        <v>0</v>
      </c>
      <c r="H16" s="1097">
        <f>F16+G16</f>
        <v>0</v>
      </c>
    </row>
    <row r="17" spans="1:8" ht="26.25" customHeight="1" thickBot="1">
      <c r="A17" s="1065" t="s">
        <v>330</v>
      </c>
      <c r="B17" s="1072" t="s">
        <v>52</v>
      </c>
      <c r="C17" s="1073">
        <v>0</v>
      </c>
      <c r="D17" s="1074">
        <v>0</v>
      </c>
      <c r="E17" s="1098">
        <f>D17+C17</f>
        <v>0</v>
      </c>
      <c r="F17" s="1073">
        <v>0</v>
      </c>
      <c r="G17" s="1074">
        <v>0</v>
      </c>
      <c r="H17" s="1098">
        <f>F17+G17</f>
        <v>0</v>
      </c>
    </row>
    <row r="18" spans="1:8" ht="26.25" customHeight="1" thickBot="1">
      <c r="A18" s="1090" t="s">
        <v>331</v>
      </c>
      <c r="B18" s="1091" t="s">
        <v>53</v>
      </c>
      <c r="C18" s="1101">
        <f>C15+C16+C17</f>
        <v>858827</v>
      </c>
      <c r="D18" s="1102">
        <f>D15+D16+D17</f>
        <v>0</v>
      </c>
      <c r="E18" s="1099">
        <f>+E15+E16+E17</f>
        <v>858827</v>
      </c>
      <c r="F18" s="1101">
        <f>F15+F16+F17</f>
        <v>1729508</v>
      </c>
      <c r="G18" s="1102">
        <f>G15+G16+G17</f>
        <v>0</v>
      </c>
      <c r="H18" s="1099">
        <f>+H15+H16+H17</f>
        <v>1729508</v>
      </c>
    </row>
    <row r="19" spans="1:8" ht="40.5" customHeight="1">
      <c r="A19" s="1065" t="s">
        <v>332</v>
      </c>
      <c r="B19" s="1077" t="s">
        <v>54</v>
      </c>
      <c r="C19" s="1067">
        <v>0</v>
      </c>
      <c r="D19" s="1078">
        <v>0</v>
      </c>
      <c r="E19" s="1096">
        <f>D19+C19</f>
        <v>0</v>
      </c>
      <c r="F19" s="1067">
        <v>0</v>
      </c>
      <c r="G19" s="1078">
        <v>0</v>
      </c>
      <c r="H19" s="1096">
        <f>F19+G19</f>
        <v>0</v>
      </c>
    </row>
    <row r="20" spans="1:8" ht="26.25" customHeight="1">
      <c r="A20" s="1065" t="s">
        <v>334</v>
      </c>
      <c r="B20" s="1079" t="s">
        <v>55</v>
      </c>
      <c r="C20" s="1070">
        <v>858827</v>
      </c>
      <c r="D20" s="1080">
        <v>0</v>
      </c>
      <c r="E20" s="1097">
        <f>D20+C20</f>
        <v>858827</v>
      </c>
      <c r="F20" s="1070">
        <v>1694007</v>
      </c>
      <c r="G20" s="1080">
        <v>0</v>
      </c>
      <c r="H20" s="1097">
        <f>F20+G20</f>
        <v>1694007</v>
      </c>
    </row>
    <row r="21" spans="1:8" ht="26.25" customHeight="1" thickBot="1">
      <c r="A21" s="1081" t="s">
        <v>335</v>
      </c>
      <c r="B21" s="1082" t="s">
        <v>56</v>
      </c>
      <c r="C21" s="1083">
        <v>0</v>
      </c>
      <c r="D21" s="1084">
        <v>0</v>
      </c>
      <c r="E21" s="1100">
        <f>D21+C21</f>
        <v>0</v>
      </c>
      <c r="F21" s="1083">
        <v>35501</v>
      </c>
      <c r="G21" s="1085">
        <v>0</v>
      </c>
      <c r="H21" s="1100">
        <v>35501</v>
      </c>
    </row>
    <row r="22" ht="15.75">
      <c r="F22" s="1086" t="s">
        <v>1098</v>
      </c>
    </row>
    <row r="23" spans="1:8" ht="15.75">
      <c r="A23" s="1435"/>
      <c r="B23" s="1435"/>
      <c r="C23" s="1087"/>
      <c r="D23" s="1088"/>
      <c r="E23" s="1089"/>
      <c r="F23" s="1087"/>
      <c r="G23" s="1088" t="s">
        <v>1098</v>
      </c>
      <c r="H23" s="1089"/>
    </row>
    <row r="24" spans="3:8" ht="15.75">
      <c r="C24" s="1087"/>
      <c r="D24" s="1088"/>
      <c r="E24" s="1088"/>
      <c r="F24" s="1087" t="s">
        <v>1098</v>
      </c>
      <c r="G24" s="1088" t="s">
        <v>1098</v>
      </c>
      <c r="H24" s="1088"/>
    </row>
    <row r="26" ht="15.75">
      <c r="G26" s="1059" t="s">
        <v>1098</v>
      </c>
    </row>
  </sheetData>
  <sheetProtection/>
  <mergeCells count="4">
    <mergeCell ref="A3:H3"/>
    <mergeCell ref="A4:H4"/>
    <mergeCell ref="A23:B23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firstPageNumber="74" useFirstPageNumber="1" horizontalDpi="300" verticalDpi="300" orientation="landscape" paperSize="9" scale="75" r:id="rId1"/>
  <headerFooter alignWithMargins="0">
    <oddFooter>&amp;C&amp;P.oldal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B9" sqref="B9:C16"/>
    </sheetView>
  </sheetViews>
  <sheetFormatPr defaultColWidth="9.00390625" defaultRowHeight="12.75"/>
  <cols>
    <col min="1" max="1" width="6.75390625" style="299" customWidth="1"/>
    <col min="2" max="2" width="10.125" style="299" customWidth="1"/>
    <col min="3" max="3" width="35.00390625" style="299" customWidth="1"/>
    <col min="4" max="4" width="10.625" style="299" customWidth="1"/>
    <col min="5" max="7" width="9.125" style="299" customWidth="1"/>
    <col min="8" max="8" width="11.875" style="299" customWidth="1"/>
    <col min="9" max="9" width="11.375" style="299" customWidth="1"/>
    <col min="10" max="10" width="12.125" style="299" customWidth="1"/>
    <col min="11" max="11" width="11.75390625" style="299" customWidth="1"/>
    <col min="12" max="16384" width="9.125" style="299" customWidth="1"/>
  </cols>
  <sheetData>
    <row r="1" spans="1:9" ht="12.75">
      <c r="A1" s="1462" t="s">
        <v>822</v>
      </c>
      <c r="B1" s="1462"/>
      <c r="C1" s="1462"/>
      <c r="D1" s="1462"/>
      <c r="E1" s="1462"/>
      <c r="F1" s="1462"/>
      <c r="G1" s="1462"/>
      <c r="H1" s="1462"/>
      <c r="I1" s="1462"/>
    </row>
    <row r="2" spans="3:6" ht="16.5" customHeight="1">
      <c r="C2" s="1472"/>
      <c r="D2" s="1472"/>
      <c r="E2" s="1472"/>
      <c r="F2" s="1472"/>
    </row>
    <row r="3" spans="1:9" ht="14.25">
      <c r="A3" s="1463" t="s">
        <v>1161</v>
      </c>
      <c r="B3" s="1463"/>
      <c r="C3" s="1463"/>
      <c r="D3" s="1463"/>
      <c r="E3" s="1463"/>
      <c r="F3" s="1463"/>
      <c r="G3" s="1463"/>
      <c r="H3" s="1463"/>
      <c r="I3" s="1463"/>
    </row>
    <row r="4" spans="1:9" ht="14.25">
      <c r="A4" s="300"/>
      <c r="B4" s="300"/>
      <c r="C4" s="300"/>
      <c r="D4" s="300"/>
      <c r="E4" s="300"/>
      <c r="F4" s="300"/>
      <c r="G4" s="300"/>
      <c r="H4" s="300"/>
      <c r="I4" s="300"/>
    </row>
    <row r="5" spans="1:9" ht="9.75" customHeight="1">
      <c r="A5" s="300"/>
      <c r="B5" s="300"/>
      <c r="C5" s="300"/>
      <c r="D5" s="300"/>
      <c r="E5" s="300"/>
      <c r="F5" s="300"/>
      <c r="G5" s="300"/>
      <c r="H5" s="300"/>
      <c r="I5" s="300"/>
    </row>
    <row r="6" spans="4:11" ht="12.75">
      <c r="D6" s="301"/>
      <c r="E6" s="301"/>
      <c r="F6" s="301"/>
      <c r="G6" s="301"/>
      <c r="H6" s="301"/>
      <c r="I6" s="302"/>
      <c r="J6" s="302"/>
      <c r="K6" s="302" t="s">
        <v>1060</v>
      </c>
    </row>
    <row r="7" spans="1:11" ht="24.75" customHeight="1">
      <c r="A7" s="1464" t="s">
        <v>1097</v>
      </c>
      <c r="B7" s="1466" t="s">
        <v>1015</v>
      </c>
      <c r="C7" s="1467"/>
      <c r="D7" s="1466" t="s">
        <v>1142</v>
      </c>
      <c r="E7" s="1470"/>
      <c r="F7" s="1470"/>
      <c r="G7" s="1470"/>
      <c r="H7" s="1467"/>
      <c r="I7" s="1460" t="s">
        <v>196</v>
      </c>
      <c r="J7" s="1460" t="s">
        <v>302</v>
      </c>
      <c r="K7" s="1263" t="s">
        <v>850</v>
      </c>
    </row>
    <row r="8" spans="1:11" ht="25.5" customHeight="1">
      <c r="A8" s="1465"/>
      <c r="B8" s="1468"/>
      <c r="C8" s="1469"/>
      <c r="D8" s="1468"/>
      <c r="E8" s="1471"/>
      <c r="F8" s="1471"/>
      <c r="G8" s="1471"/>
      <c r="H8" s="1469"/>
      <c r="I8" s="1461"/>
      <c r="J8" s="1461"/>
      <c r="K8" s="1378"/>
    </row>
    <row r="9" spans="1:11" ht="13.5" customHeight="1">
      <c r="A9" s="1448" t="s">
        <v>1016</v>
      </c>
      <c r="B9" s="1441" t="s">
        <v>655</v>
      </c>
      <c r="C9" s="1442"/>
      <c r="D9" s="1448" t="s">
        <v>1143</v>
      </c>
      <c r="E9" s="303" t="s">
        <v>1323</v>
      </c>
      <c r="F9" s="304"/>
      <c r="G9" s="304"/>
      <c r="H9" s="305"/>
      <c r="I9" s="306"/>
      <c r="J9" s="306">
        <v>57455</v>
      </c>
      <c r="K9" s="999">
        <v>57454</v>
      </c>
    </row>
    <row r="10" spans="1:11" ht="13.5" customHeight="1">
      <c r="A10" s="1437"/>
      <c r="B10" s="1441"/>
      <c r="C10" s="1442"/>
      <c r="D10" s="1447"/>
      <c r="E10" s="307" t="s">
        <v>176</v>
      </c>
      <c r="F10" s="308"/>
      <c r="G10" s="308"/>
      <c r="H10" s="309"/>
      <c r="I10" s="310">
        <v>199938</v>
      </c>
      <c r="J10" s="310">
        <v>142483</v>
      </c>
      <c r="K10" s="310">
        <v>79373</v>
      </c>
    </row>
    <row r="11" spans="1:11" ht="13.5" customHeight="1">
      <c r="A11" s="1437"/>
      <c r="B11" s="1443"/>
      <c r="C11" s="1444"/>
      <c r="D11" s="1448" t="s">
        <v>1144</v>
      </c>
      <c r="E11" s="303" t="s">
        <v>1145</v>
      </c>
      <c r="F11" s="304"/>
      <c r="G11" s="304"/>
      <c r="H11" s="305"/>
      <c r="I11" s="306"/>
      <c r="J11" s="306">
        <v>34625</v>
      </c>
      <c r="K11" s="306">
        <v>9447</v>
      </c>
    </row>
    <row r="12" spans="1:11" ht="13.5" customHeight="1">
      <c r="A12" s="1437"/>
      <c r="B12" s="1443"/>
      <c r="C12" s="1444"/>
      <c r="D12" s="1449"/>
      <c r="E12" s="311" t="s">
        <v>188</v>
      </c>
      <c r="F12" s="312"/>
      <c r="G12" s="312"/>
      <c r="H12" s="313"/>
      <c r="I12" s="314"/>
      <c r="J12" s="314">
        <v>4251</v>
      </c>
      <c r="K12" s="314">
        <v>2377</v>
      </c>
    </row>
    <row r="13" spans="1:11" ht="13.5" customHeight="1">
      <c r="A13" s="1437"/>
      <c r="B13" s="1443"/>
      <c r="C13" s="1444"/>
      <c r="D13" s="1449"/>
      <c r="E13" s="311" t="s">
        <v>1146</v>
      </c>
      <c r="F13" s="312"/>
      <c r="G13" s="312"/>
      <c r="H13" s="313"/>
      <c r="I13" s="314">
        <v>204418</v>
      </c>
      <c r="J13" s="314">
        <v>102046</v>
      </c>
      <c r="K13" s="314">
        <v>42892</v>
      </c>
    </row>
    <row r="14" spans="1:11" ht="13.5" customHeight="1">
      <c r="A14" s="1437"/>
      <c r="B14" s="1443"/>
      <c r="C14" s="1444"/>
      <c r="D14" s="1449"/>
      <c r="E14" s="311" t="s">
        <v>1149</v>
      </c>
      <c r="F14" s="312"/>
      <c r="G14" s="312"/>
      <c r="H14" s="313"/>
      <c r="I14" s="314"/>
      <c r="J14" s="314"/>
      <c r="K14" s="314"/>
    </row>
    <row r="15" spans="1:11" ht="13.5" customHeight="1">
      <c r="A15" s="1437"/>
      <c r="B15" s="1443"/>
      <c r="C15" s="1444"/>
      <c r="D15" s="1449"/>
      <c r="E15" s="311" t="s">
        <v>1150</v>
      </c>
      <c r="F15" s="312"/>
      <c r="G15" s="312"/>
      <c r="H15" s="313"/>
      <c r="I15" s="314"/>
      <c r="J15" s="314"/>
      <c r="K15" s="314"/>
    </row>
    <row r="16" spans="1:11" ht="13.5" customHeight="1" thickBot="1">
      <c r="A16" s="1438"/>
      <c r="B16" s="1445"/>
      <c r="C16" s="1446"/>
      <c r="D16" s="1450"/>
      <c r="E16" s="315" t="s">
        <v>1373</v>
      </c>
      <c r="F16" s="316"/>
      <c r="G16" s="316"/>
      <c r="H16" s="317"/>
      <c r="I16" s="318"/>
      <c r="J16" s="318">
        <v>79373</v>
      </c>
      <c r="K16" s="318">
        <v>79373</v>
      </c>
    </row>
    <row r="17" spans="1:11" ht="13.5" customHeight="1">
      <c r="A17" s="1436" t="s">
        <v>1017</v>
      </c>
      <c r="B17" s="1439" t="s">
        <v>656</v>
      </c>
      <c r="C17" s="1455"/>
      <c r="D17" s="1436" t="s">
        <v>1143</v>
      </c>
      <c r="E17" s="303" t="s">
        <v>1323</v>
      </c>
      <c r="F17" s="319"/>
      <c r="G17" s="319"/>
      <c r="H17" s="320"/>
      <c r="I17" s="321"/>
      <c r="J17" s="321"/>
      <c r="K17" s="321"/>
    </row>
    <row r="18" spans="1:11" ht="13.5" customHeight="1">
      <c r="A18" s="1453"/>
      <c r="B18" s="1456"/>
      <c r="C18" s="1457"/>
      <c r="D18" s="1447"/>
      <c r="E18" s="307" t="s">
        <v>176</v>
      </c>
      <c r="F18" s="308"/>
      <c r="G18" s="308"/>
      <c r="H18" s="309"/>
      <c r="I18" s="310">
        <v>145835</v>
      </c>
      <c r="J18" s="310">
        <v>145835</v>
      </c>
      <c r="K18" s="310">
        <v>55365</v>
      </c>
    </row>
    <row r="19" spans="1:11" ht="13.5" customHeight="1">
      <c r="A19" s="1453"/>
      <c r="B19" s="1456"/>
      <c r="C19" s="1457"/>
      <c r="D19" s="1448" t="s">
        <v>1144</v>
      </c>
      <c r="E19" s="303" t="s">
        <v>1145</v>
      </c>
      <c r="F19" s="304"/>
      <c r="G19" s="304"/>
      <c r="H19" s="305"/>
      <c r="I19" s="306"/>
      <c r="J19" s="306"/>
      <c r="K19" s="306"/>
    </row>
    <row r="20" spans="1:11" ht="13.5" customHeight="1">
      <c r="A20" s="1453"/>
      <c r="B20" s="1456"/>
      <c r="C20" s="1457"/>
      <c r="D20" s="1449"/>
      <c r="E20" s="311" t="s">
        <v>188</v>
      </c>
      <c r="F20" s="312"/>
      <c r="G20" s="312"/>
      <c r="H20" s="313"/>
      <c r="I20" s="314"/>
      <c r="J20" s="314"/>
      <c r="K20" s="314"/>
    </row>
    <row r="21" spans="1:11" ht="13.5" customHeight="1">
      <c r="A21" s="1453"/>
      <c r="B21" s="1456"/>
      <c r="C21" s="1457"/>
      <c r="D21" s="1449"/>
      <c r="E21" s="311" t="s">
        <v>1146</v>
      </c>
      <c r="F21" s="312"/>
      <c r="G21" s="312"/>
      <c r="H21" s="313"/>
      <c r="I21" s="314"/>
      <c r="J21" s="314">
        <v>3389</v>
      </c>
      <c r="K21" s="314">
        <v>3389</v>
      </c>
    </row>
    <row r="22" spans="1:11" ht="13.5" customHeight="1">
      <c r="A22" s="1453"/>
      <c r="B22" s="1456"/>
      <c r="C22" s="1457"/>
      <c r="D22" s="1449"/>
      <c r="E22" s="311" t="s">
        <v>1149</v>
      </c>
      <c r="F22" s="312"/>
      <c r="G22" s="312"/>
      <c r="H22" s="313"/>
      <c r="I22" s="314"/>
      <c r="J22" s="314"/>
      <c r="K22" s="314"/>
    </row>
    <row r="23" spans="1:11" ht="13.5" customHeight="1">
      <c r="A23" s="1453"/>
      <c r="B23" s="1456"/>
      <c r="C23" s="1457"/>
      <c r="D23" s="1449"/>
      <c r="E23" s="311" t="s">
        <v>1150</v>
      </c>
      <c r="F23" s="312"/>
      <c r="G23" s="312"/>
      <c r="H23" s="313"/>
      <c r="I23" s="314"/>
      <c r="J23" s="314"/>
      <c r="K23" s="314"/>
    </row>
    <row r="24" spans="1:11" ht="13.5" customHeight="1" thickBot="1">
      <c r="A24" s="1454"/>
      <c r="B24" s="1458"/>
      <c r="C24" s="1459"/>
      <c r="D24" s="1450"/>
      <c r="E24" s="315" t="s">
        <v>1373</v>
      </c>
      <c r="F24" s="316"/>
      <c r="G24" s="316"/>
      <c r="H24" s="317"/>
      <c r="I24" s="318">
        <v>462663</v>
      </c>
      <c r="J24" s="318">
        <v>511670</v>
      </c>
      <c r="K24" s="318">
        <v>91246</v>
      </c>
    </row>
    <row r="25" spans="1:11" ht="13.5" customHeight="1">
      <c r="A25" s="1436" t="s">
        <v>1018</v>
      </c>
      <c r="B25" s="1439" t="s">
        <v>1241</v>
      </c>
      <c r="C25" s="1440"/>
      <c r="D25" s="1436" t="s">
        <v>1143</v>
      </c>
      <c r="E25" s="303" t="s">
        <v>1323</v>
      </c>
      <c r="F25" s="319"/>
      <c r="G25" s="319"/>
      <c r="H25" s="320"/>
      <c r="I25" s="321"/>
      <c r="J25" s="321"/>
      <c r="K25" s="321"/>
    </row>
    <row r="26" spans="1:11" ht="13.5" customHeight="1">
      <c r="A26" s="1437"/>
      <c r="B26" s="1441"/>
      <c r="C26" s="1442"/>
      <c r="D26" s="1447"/>
      <c r="E26" s="307" t="s">
        <v>176</v>
      </c>
      <c r="F26" s="308"/>
      <c r="G26" s="308"/>
      <c r="H26" s="309"/>
      <c r="I26" s="310">
        <v>17436</v>
      </c>
      <c r="J26" s="310">
        <v>102072</v>
      </c>
      <c r="K26" s="310">
        <v>11200</v>
      </c>
    </row>
    <row r="27" spans="1:11" ht="13.5" customHeight="1">
      <c r="A27" s="1437"/>
      <c r="B27" s="1443"/>
      <c r="C27" s="1444"/>
      <c r="D27" s="1448" t="s">
        <v>1144</v>
      </c>
      <c r="E27" s="303" t="s">
        <v>1145</v>
      </c>
      <c r="F27" s="304"/>
      <c r="G27" s="304"/>
      <c r="H27" s="305"/>
      <c r="I27" s="306"/>
      <c r="J27" s="306"/>
      <c r="K27" s="306"/>
    </row>
    <row r="28" spans="1:11" ht="13.5" customHeight="1">
      <c r="A28" s="1437"/>
      <c r="B28" s="1443"/>
      <c r="C28" s="1444"/>
      <c r="D28" s="1449"/>
      <c r="E28" s="311" t="s">
        <v>188</v>
      </c>
      <c r="F28" s="312"/>
      <c r="G28" s="312"/>
      <c r="H28" s="313"/>
      <c r="I28" s="314"/>
      <c r="J28" s="314"/>
      <c r="K28" s="314"/>
    </row>
    <row r="29" spans="1:11" ht="13.5" customHeight="1">
      <c r="A29" s="1437"/>
      <c r="B29" s="1443"/>
      <c r="C29" s="1444"/>
      <c r="D29" s="1449"/>
      <c r="E29" s="311" t="s">
        <v>1146</v>
      </c>
      <c r="F29" s="312"/>
      <c r="G29" s="312"/>
      <c r="H29" s="313"/>
      <c r="I29" s="314"/>
      <c r="J29" s="314">
        <v>8232</v>
      </c>
      <c r="K29" s="314">
        <v>8232</v>
      </c>
    </row>
    <row r="30" spans="1:11" ht="13.5" customHeight="1">
      <c r="A30" s="1437"/>
      <c r="B30" s="1443"/>
      <c r="C30" s="1444"/>
      <c r="D30" s="1449"/>
      <c r="E30" s="311" t="s">
        <v>1149</v>
      </c>
      <c r="F30" s="312"/>
      <c r="G30" s="312"/>
      <c r="H30" s="313"/>
      <c r="I30" s="314"/>
      <c r="J30" s="314">
        <v>1953</v>
      </c>
      <c r="K30" s="314">
        <v>1953</v>
      </c>
    </row>
    <row r="31" spans="1:11" ht="13.5" customHeight="1">
      <c r="A31" s="1437"/>
      <c r="B31" s="1443"/>
      <c r="C31" s="1444"/>
      <c r="D31" s="1449"/>
      <c r="E31" s="311" t="s">
        <v>1150</v>
      </c>
      <c r="F31" s="312"/>
      <c r="G31" s="312"/>
      <c r="H31" s="313"/>
      <c r="I31" s="314"/>
      <c r="J31" s="314"/>
      <c r="K31" s="314"/>
    </row>
    <row r="32" spans="1:11" ht="13.5" customHeight="1" thickBot="1">
      <c r="A32" s="1438"/>
      <c r="B32" s="1445"/>
      <c r="C32" s="1446"/>
      <c r="D32" s="1450"/>
      <c r="E32" s="315" t="s">
        <v>1372</v>
      </c>
      <c r="F32" s="316"/>
      <c r="G32" s="316"/>
      <c r="H32" s="317"/>
      <c r="I32" s="318">
        <v>149771</v>
      </c>
      <c r="J32" s="318">
        <v>188360</v>
      </c>
      <c r="K32" s="318">
        <v>83995</v>
      </c>
    </row>
    <row r="33" spans="1:11" ht="13.5" customHeight="1">
      <c r="A33" s="1436" t="s">
        <v>1019</v>
      </c>
      <c r="B33" s="1439" t="s">
        <v>1167</v>
      </c>
      <c r="C33" s="1440"/>
      <c r="D33" s="1436" t="s">
        <v>1143</v>
      </c>
      <c r="E33" s="609" t="s">
        <v>1323</v>
      </c>
      <c r="F33" s="319"/>
      <c r="G33" s="319"/>
      <c r="H33" s="320"/>
      <c r="I33" s="321"/>
      <c r="J33" s="321"/>
      <c r="K33" s="321"/>
    </row>
    <row r="34" spans="1:11" ht="13.5" customHeight="1">
      <c r="A34" s="1437"/>
      <c r="B34" s="1441"/>
      <c r="C34" s="1442"/>
      <c r="D34" s="1447"/>
      <c r="E34" s="307" t="s">
        <v>176</v>
      </c>
      <c r="F34" s="308"/>
      <c r="G34" s="308"/>
      <c r="H34" s="309"/>
      <c r="I34" s="310"/>
      <c r="J34" s="310"/>
      <c r="K34" s="310"/>
    </row>
    <row r="35" spans="1:11" ht="13.5" customHeight="1">
      <c r="A35" s="1437"/>
      <c r="B35" s="1443"/>
      <c r="C35" s="1444"/>
      <c r="D35" s="1448" t="s">
        <v>1144</v>
      </c>
      <c r="E35" s="303" t="s">
        <v>1145</v>
      </c>
      <c r="F35" s="304"/>
      <c r="G35" s="304"/>
      <c r="H35" s="305"/>
      <c r="I35" s="306"/>
      <c r="J35" s="306"/>
      <c r="K35" s="306"/>
    </row>
    <row r="36" spans="1:11" ht="13.5" customHeight="1">
      <c r="A36" s="1437"/>
      <c r="B36" s="1443"/>
      <c r="C36" s="1444"/>
      <c r="D36" s="1449"/>
      <c r="E36" s="311" t="s">
        <v>188</v>
      </c>
      <c r="F36" s="312"/>
      <c r="G36" s="312"/>
      <c r="H36" s="313"/>
      <c r="I36" s="314"/>
      <c r="J36" s="314"/>
      <c r="K36" s="314"/>
    </row>
    <row r="37" spans="1:11" ht="13.5" customHeight="1">
      <c r="A37" s="1437"/>
      <c r="B37" s="1443"/>
      <c r="C37" s="1444"/>
      <c r="D37" s="1449"/>
      <c r="E37" s="311" t="s">
        <v>1146</v>
      </c>
      <c r="F37" s="312"/>
      <c r="G37" s="312"/>
      <c r="H37" s="313"/>
      <c r="I37" s="314"/>
      <c r="J37" s="314">
        <v>312</v>
      </c>
      <c r="K37" s="314">
        <v>236</v>
      </c>
    </row>
    <row r="38" spans="1:11" ht="13.5" customHeight="1">
      <c r="A38" s="1437"/>
      <c r="B38" s="1443"/>
      <c r="C38" s="1444"/>
      <c r="D38" s="1449"/>
      <c r="E38" s="311" t="s">
        <v>1149</v>
      </c>
      <c r="F38" s="312"/>
      <c r="G38" s="312"/>
      <c r="H38" s="313"/>
      <c r="I38" s="314"/>
      <c r="J38" s="314"/>
      <c r="K38" s="314"/>
    </row>
    <row r="39" spans="1:11" ht="13.5" customHeight="1">
      <c r="A39" s="1437"/>
      <c r="B39" s="1443"/>
      <c r="C39" s="1444"/>
      <c r="D39" s="1449"/>
      <c r="E39" s="311" t="s">
        <v>1150</v>
      </c>
      <c r="F39" s="312"/>
      <c r="G39" s="312"/>
      <c r="H39" s="313"/>
      <c r="I39" s="314"/>
      <c r="J39" s="314"/>
      <c r="K39" s="314"/>
    </row>
    <row r="40" spans="1:11" ht="13.5" customHeight="1">
      <c r="A40" s="1484"/>
      <c r="B40" s="1485"/>
      <c r="C40" s="1486"/>
      <c r="D40" s="1447"/>
      <c r="E40" s="307" t="s">
        <v>1373</v>
      </c>
      <c r="F40" s="308"/>
      <c r="G40" s="308"/>
      <c r="H40" s="309"/>
      <c r="I40" s="310">
        <v>16649</v>
      </c>
      <c r="J40" s="310">
        <v>26425</v>
      </c>
      <c r="K40" s="310">
        <v>1524</v>
      </c>
    </row>
    <row r="41" spans="1:11" ht="13.5" customHeight="1">
      <c r="A41" s="1448" t="s">
        <v>1020</v>
      </c>
      <c r="B41" s="1451" t="s">
        <v>221</v>
      </c>
      <c r="C41" s="1452"/>
      <c r="D41" s="1448" t="s">
        <v>1143</v>
      </c>
      <c r="E41" s="303" t="s">
        <v>1323</v>
      </c>
      <c r="F41" s="304"/>
      <c r="G41" s="304"/>
      <c r="H41" s="305"/>
      <c r="I41" s="306"/>
      <c r="J41" s="306"/>
      <c r="K41" s="306"/>
    </row>
    <row r="42" spans="1:11" ht="13.5" customHeight="1">
      <c r="A42" s="1437"/>
      <c r="B42" s="1441"/>
      <c r="C42" s="1442"/>
      <c r="D42" s="1447"/>
      <c r="E42" s="307" t="s">
        <v>176</v>
      </c>
      <c r="F42" s="308"/>
      <c r="G42" s="308"/>
      <c r="H42" s="309"/>
      <c r="I42" s="310"/>
      <c r="J42" s="310"/>
      <c r="K42" s="310"/>
    </row>
    <row r="43" spans="1:11" ht="13.5" customHeight="1">
      <c r="A43" s="1437"/>
      <c r="B43" s="1443"/>
      <c r="C43" s="1444"/>
      <c r="D43" s="1448" t="s">
        <v>1144</v>
      </c>
      <c r="E43" s="303" t="s">
        <v>1145</v>
      </c>
      <c r="F43" s="304"/>
      <c r="G43" s="304"/>
      <c r="H43" s="305"/>
      <c r="I43" s="306"/>
      <c r="J43" s="306"/>
      <c r="K43" s="306"/>
    </row>
    <row r="44" spans="1:11" ht="13.5" customHeight="1">
      <c r="A44" s="1437"/>
      <c r="B44" s="1443"/>
      <c r="C44" s="1444"/>
      <c r="D44" s="1449"/>
      <c r="E44" s="311" t="s">
        <v>188</v>
      </c>
      <c r="F44" s="312"/>
      <c r="G44" s="312"/>
      <c r="H44" s="313"/>
      <c r="I44" s="314"/>
      <c r="J44" s="314"/>
      <c r="K44" s="314"/>
    </row>
    <row r="45" spans="1:11" ht="13.5" customHeight="1">
      <c r="A45" s="1437"/>
      <c r="B45" s="1443"/>
      <c r="C45" s="1444"/>
      <c r="D45" s="1449"/>
      <c r="E45" s="311" t="s">
        <v>1146</v>
      </c>
      <c r="F45" s="312"/>
      <c r="G45" s="312"/>
      <c r="H45" s="313"/>
      <c r="I45" s="314"/>
      <c r="J45" s="314"/>
      <c r="K45" s="314"/>
    </row>
    <row r="46" spans="1:11" ht="13.5" customHeight="1">
      <c r="A46" s="1437"/>
      <c r="B46" s="1443"/>
      <c r="C46" s="1444"/>
      <c r="D46" s="1449"/>
      <c r="E46" s="311" t="s">
        <v>1149</v>
      </c>
      <c r="F46" s="312"/>
      <c r="G46" s="312"/>
      <c r="H46" s="313"/>
      <c r="I46" s="314"/>
      <c r="J46" s="314"/>
      <c r="K46" s="314"/>
    </row>
    <row r="47" spans="1:11" ht="13.5" customHeight="1">
      <c r="A47" s="1437"/>
      <c r="B47" s="1443"/>
      <c r="C47" s="1444"/>
      <c r="D47" s="1449"/>
      <c r="E47" s="311" t="s">
        <v>1150</v>
      </c>
      <c r="F47" s="312"/>
      <c r="G47" s="312"/>
      <c r="H47" s="313"/>
      <c r="I47" s="314"/>
      <c r="J47" s="314"/>
      <c r="K47" s="314"/>
    </row>
    <row r="48" spans="1:11" ht="15.75" customHeight="1" thickBot="1">
      <c r="A48" s="1438"/>
      <c r="B48" s="1445"/>
      <c r="C48" s="1446"/>
      <c r="D48" s="1450"/>
      <c r="E48" s="315" t="s">
        <v>1373</v>
      </c>
      <c r="F48" s="316"/>
      <c r="G48" s="316"/>
      <c r="H48" s="317"/>
      <c r="I48" s="318">
        <v>19410</v>
      </c>
      <c r="J48" s="318"/>
      <c r="K48" s="318"/>
    </row>
    <row r="49" spans="1:11" ht="13.5" customHeight="1">
      <c r="A49" s="1473"/>
      <c r="B49" s="1476" t="s">
        <v>1051</v>
      </c>
      <c r="C49" s="1477"/>
      <c r="D49" s="1436" t="s">
        <v>1143</v>
      </c>
      <c r="E49" s="303" t="s">
        <v>1323</v>
      </c>
      <c r="F49" s="319"/>
      <c r="G49" s="319"/>
      <c r="H49" s="320"/>
      <c r="I49" s="322">
        <f>SUM(I9+I25)</f>
        <v>0</v>
      </c>
      <c r="J49" s="322">
        <f>SUM(J9+J25)</f>
        <v>57455</v>
      </c>
      <c r="K49" s="322">
        <f>SUM(K9+K25)</f>
        <v>57454</v>
      </c>
    </row>
    <row r="50" spans="1:11" ht="13.5" customHeight="1">
      <c r="A50" s="1474"/>
      <c r="B50" s="1478"/>
      <c r="C50" s="1479"/>
      <c r="D50" s="1447"/>
      <c r="E50" s="307" t="s">
        <v>176</v>
      </c>
      <c r="F50" s="308"/>
      <c r="G50" s="308"/>
      <c r="H50" s="309"/>
      <c r="I50" s="323">
        <f>SUM(I18+I34+I10+I26)</f>
        <v>363209</v>
      </c>
      <c r="J50" s="323">
        <f>SUM(J18+J34+J10+J26)</f>
        <v>390390</v>
      </c>
      <c r="K50" s="323">
        <f>SUM(K18+K34+K10+K26)</f>
        <v>145938</v>
      </c>
    </row>
    <row r="51" spans="1:11" ht="13.5" customHeight="1">
      <c r="A51" s="1474"/>
      <c r="B51" s="1480"/>
      <c r="C51" s="1481"/>
      <c r="D51" s="1448" t="s">
        <v>1144</v>
      </c>
      <c r="E51" s="303" t="s">
        <v>1145</v>
      </c>
      <c r="F51" s="304"/>
      <c r="G51" s="304"/>
      <c r="H51" s="305"/>
      <c r="I51" s="324">
        <f aca="true" t="shared" si="0" ref="I51:J53">SUM(I11+I27)</f>
        <v>0</v>
      </c>
      <c r="J51" s="324">
        <f t="shared" si="0"/>
        <v>34625</v>
      </c>
      <c r="K51" s="324">
        <f>SUM(K11+K27)</f>
        <v>9447</v>
      </c>
    </row>
    <row r="52" spans="1:11" ht="13.5" customHeight="1">
      <c r="A52" s="1474"/>
      <c r="B52" s="1480"/>
      <c r="C52" s="1481"/>
      <c r="D52" s="1449"/>
      <c r="E52" s="311" t="s">
        <v>188</v>
      </c>
      <c r="F52" s="312"/>
      <c r="G52" s="312"/>
      <c r="H52" s="313"/>
      <c r="I52" s="325">
        <f t="shared" si="0"/>
        <v>0</v>
      </c>
      <c r="J52" s="325">
        <f t="shared" si="0"/>
        <v>4251</v>
      </c>
      <c r="K52" s="325">
        <f>SUM(K12+K28)</f>
        <v>2377</v>
      </c>
    </row>
    <row r="53" spans="1:11" ht="13.5" customHeight="1">
      <c r="A53" s="1474"/>
      <c r="B53" s="1480"/>
      <c r="C53" s="1481"/>
      <c r="D53" s="1449"/>
      <c r="E53" s="311" t="s">
        <v>1146</v>
      </c>
      <c r="F53" s="312"/>
      <c r="G53" s="312"/>
      <c r="H53" s="313"/>
      <c r="I53" s="325">
        <f t="shared" si="0"/>
        <v>204418</v>
      </c>
      <c r="J53" s="325">
        <f>SUM(J13+J29+J21+J37)</f>
        <v>113979</v>
      </c>
      <c r="K53" s="325">
        <f>SUM(K13+K29+K21)</f>
        <v>54513</v>
      </c>
    </row>
    <row r="54" spans="1:11" ht="13.5" customHeight="1">
      <c r="A54" s="1474"/>
      <c r="B54" s="1480"/>
      <c r="C54" s="1481"/>
      <c r="D54" s="1449"/>
      <c r="E54" s="311" t="s">
        <v>1149</v>
      </c>
      <c r="F54" s="312"/>
      <c r="G54" s="312"/>
      <c r="H54" s="313"/>
      <c r="I54" s="314"/>
      <c r="J54" s="314"/>
      <c r="K54" s="314"/>
    </row>
    <row r="55" spans="1:11" ht="13.5" customHeight="1">
      <c r="A55" s="1474"/>
      <c r="B55" s="1480"/>
      <c r="C55" s="1481"/>
      <c r="D55" s="1449"/>
      <c r="E55" s="311" t="s">
        <v>1150</v>
      </c>
      <c r="F55" s="312"/>
      <c r="G55" s="312"/>
      <c r="H55" s="313"/>
      <c r="I55" s="314"/>
      <c r="J55" s="314"/>
      <c r="K55" s="314"/>
    </row>
    <row r="56" spans="1:11" ht="13.5" customHeight="1">
      <c r="A56" s="1474"/>
      <c r="B56" s="1480"/>
      <c r="C56" s="1481"/>
      <c r="D56" s="1449"/>
      <c r="E56" s="311" t="s">
        <v>1372</v>
      </c>
      <c r="F56" s="312"/>
      <c r="G56" s="312"/>
      <c r="H56" s="313"/>
      <c r="I56" s="314"/>
      <c r="J56" s="670">
        <f>SUM(J32)</f>
        <v>188360</v>
      </c>
      <c r="K56" s="670">
        <f>SUM(K32)</f>
        <v>83995</v>
      </c>
    </row>
    <row r="57" spans="1:11" ht="13.5" customHeight="1" thickBot="1">
      <c r="A57" s="1475"/>
      <c r="B57" s="1482"/>
      <c r="C57" s="1483"/>
      <c r="D57" s="1450"/>
      <c r="E57" s="315" t="s">
        <v>1373</v>
      </c>
      <c r="F57" s="316"/>
      <c r="G57" s="316"/>
      <c r="H57" s="317"/>
      <c r="I57" s="326">
        <f>SUM(I24+I32+I40+I16+I48)</f>
        <v>648493</v>
      </c>
      <c r="J57" s="326">
        <f>SUM(J24+J40+J16+J48)</f>
        <v>617468</v>
      </c>
      <c r="K57" s="326">
        <f>SUM(K24+K40+K16+K48)</f>
        <v>172143</v>
      </c>
    </row>
  </sheetData>
  <sheetProtection/>
  <mergeCells count="33">
    <mergeCell ref="K7:K8"/>
    <mergeCell ref="A33:A40"/>
    <mergeCell ref="B33:C40"/>
    <mergeCell ref="D33:D34"/>
    <mergeCell ref="D35:D40"/>
    <mergeCell ref="D9:D10"/>
    <mergeCell ref="D11:D16"/>
    <mergeCell ref="A9:A16"/>
    <mergeCell ref="B9:C16"/>
    <mergeCell ref="D17:D18"/>
    <mergeCell ref="A49:A57"/>
    <mergeCell ref="B49:C57"/>
    <mergeCell ref="D49:D50"/>
    <mergeCell ref="D51:D57"/>
    <mergeCell ref="A1:I1"/>
    <mergeCell ref="A3:I3"/>
    <mergeCell ref="I7:I8"/>
    <mergeCell ref="A7:A8"/>
    <mergeCell ref="B7:C8"/>
    <mergeCell ref="D7:H8"/>
    <mergeCell ref="C2:F2"/>
    <mergeCell ref="A17:A24"/>
    <mergeCell ref="B17:C24"/>
    <mergeCell ref="D19:D24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</mergeCells>
  <printOptions/>
  <pageMargins left="1.3779527559055118" right="1.3779527559055118" top="0.7" bottom="0" header="0.5118110236220472" footer="0.11811023622047245"/>
  <pageSetup firstPageNumber="75" useFirstPageNumber="1" horizontalDpi="600" verticalDpi="600" orientation="landscape" paperSize="9" scale="84" r:id="rId1"/>
  <headerFooter alignWithMargins="0">
    <oddFooter>&amp;C&amp;P. oldal</oddFooter>
  </headerFooter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O39"/>
  <sheetViews>
    <sheetView workbookViewId="0" topLeftCell="C1">
      <selection activeCell="J12" sqref="J12:J13"/>
    </sheetView>
  </sheetViews>
  <sheetFormatPr defaultColWidth="9.00390625" defaultRowHeight="12.75"/>
  <cols>
    <col min="1" max="2" width="9.125" style="923" customWidth="1"/>
    <col min="3" max="3" width="6.625" style="923" customWidth="1"/>
    <col min="4" max="4" width="13.25390625" style="923" customWidth="1"/>
    <col min="5" max="5" width="14.00390625" style="923" customWidth="1"/>
    <col min="6" max="16384" width="9.125" style="923" customWidth="1"/>
  </cols>
  <sheetData>
    <row r="2" spans="1:15" ht="17.25" customHeight="1">
      <c r="A2" s="1491" t="s">
        <v>501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</row>
    <row r="3" spans="1:15" ht="17.25" customHeight="1">
      <c r="A3" s="1492" t="s">
        <v>798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  <c r="N3" s="1492"/>
      <c r="O3" s="1492"/>
    </row>
    <row r="5" spans="6:15" ht="12.75">
      <c r="F5" s="924"/>
      <c r="G5" s="924"/>
      <c r="H5" s="924"/>
      <c r="I5" s="924"/>
      <c r="J5" s="924"/>
      <c r="K5" s="924"/>
      <c r="L5" s="924"/>
      <c r="M5" s="924"/>
      <c r="N5" s="924"/>
      <c r="O5" s="1235" t="s">
        <v>164</v>
      </c>
    </row>
    <row r="6" spans="1:15" ht="21" customHeight="1">
      <c r="A6" s="1503" t="s">
        <v>1015</v>
      </c>
      <c r="B6" s="1504"/>
      <c r="C6" s="1505"/>
      <c r="D6" s="1501" t="s">
        <v>799</v>
      </c>
      <c r="E6" s="1501" t="s">
        <v>261</v>
      </c>
      <c r="F6" s="1496" t="s">
        <v>800</v>
      </c>
      <c r="G6" s="1497"/>
      <c r="H6" s="1497"/>
      <c r="I6" s="1497"/>
      <c r="J6" s="1497"/>
      <c r="K6" s="1497"/>
      <c r="L6" s="1497"/>
      <c r="M6" s="1497"/>
      <c r="N6" s="1497"/>
      <c r="O6" s="1498"/>
    </row>
    <row r="7" spans="1:15" ht="21" customHeight="1">
      <c r="A7" s="1503"/>
      <c r="B7" s="1504"/>
      <c r="C7" s="1505"/>
      <c r="D7" s="1501"/>
      <c r="E7" s="1501"/>
      <c r="F7" s="925" t="s">
        <v>801</v>
      </c>
      <c r="G7" s="925" t="s">
        <v>802</v>
      </c>
      <c r="H7" s="925" t="s">
        <v>803</v>
      </c>
      <c r="I7" s="925" t="s">
        <v>804</v>
      </c>
      <c r="J7" s="926" t="s">
        <v>805</v>
      </c>
      <c r="K7" s="926" t="s">
        <v>806</v>
      </c>
      <c r="L7" s="926" t="s">
        <v>807</v>
      </c>
      <c r="M7" s="926" t="s">
        <v>808</v>
      </c>
      <c r="N7" s="926" t="s">
        <v>526</v>
      </c>
      <c r="O7" s="926" t="s">
        <v>527</v>
      </c>
    </row>
    <row r="8" spans="1:15" ht="12.75" customHeight="1">
      <c r="A8" s="1493" t="s">
        <v>809</v>
      </c>
      <c r="B8" s="1494"/>
      <c r="C8" s="1495"/>
      <c r="D8" s="1502">
        <v>700000</v>
      </c>
      <c r="E8" s="1499">
        <v>208108</v>
      </c>
      <c r="F8" s="1487">
        <v>75676</v>
      </c>
      <c r="G8" s="1487">
        <v>75676</v>
      </c>
      <c r="H8" s="1487">
        <v>37837</v>
      </c>
      <c r="I8" s="1487"/>
      <c r="J8" s="1487"/>
      <c r="K8" s="1487"/>
      <c r="L8" s="1487"/>
      <c r="M8" s="1487"/>
      <c r="N8" s="1487"/>
      <c r="O8" s="1487"/>
    </row>
    <row r="9" spans="1:15" ht="12.75" customHeight="1">
      <c r="A9" s="1493"/>
      <c r="B9" s="1494"/>
      <c r="C9" s="1495"/>
      <c r="D9" s="1502"/>
      <c r="E9" s="1500"/>
      <c r="F9" s="1488"/>
      <c r="G9" s="1488"/>
      <c r="H9" s="1488"/>
      <c r="I9" s="1488"/>
      <c r="J9" s="1488"/>
      <c r="K9" s="1488"/>
      <c r="L9" s="1488"/>
      <c r="M9" s="1488"/>
      <c r="N9" s="1488"/>
      <c r="O9" s="1488"/>
    </row>
    <row r="10" spans="1:15" ht="12.75" customHeight="1">
      <c r="A10" s="1493" t="s">
        <v>810</v>
      </c>
      <c r="B10" s="1494"/>
      <c r="C10" s="1495"/>
      <c r="D10" s="1502">
        <v>900000</v>
      </c>
      <c r="E10" s="1499">
        <v>375000</v>
      </c>
      <c r="F10" s="1487">
        <v>100000</v>
      </c>
      <c r="G10" s="1487">
        <v>100000</v>
      </c>
      <c r="H10" s="1487">
        <v>100000</v>
      </c>
      <c r="I10" s="1487">
        <v>50000</v>
      </c>
      <c r="J10" s="1487"/>
      <c r="K10" s="1487"/>
      <c r="L10" s="1487"/>
      <c r="M10" s="1487"/>
      <c r="N10" s="1487"/>
      <c r="O10" s="1487"/>
    </row>
    <row r="11" spans="1:15" ht="12.75" customHeight="1">
      <c r="A11" s="1493"/>
      <c r="B11" s="1494"/>
      <c r="C11" s="1495"/>
      <c r="D11" s="1502"/>
      <c r="E11" s="1500"/>
      <c r="F11" s="1488"/>
      <c r="G11" s="1488"/>
      <c r="H11" s="1488"/>
      <c r="I11" s="1488"/>
      <c r="J11" s="1488"/>
      <c r="K11" s="1488"/>
      <c r="L11" s="1488"/>
      <c r="M11" s="1488"/>
      <c r="N11" s="1488"/>
      <c r="O11" s="1488"/>
    </row>
    <row r="12" spans="1:15" ht="12.75" customHeight="1">
      <c r="A12" s="1493" t="s">
        <v>811</v>
      </c>
      <c r="B12" s="1494"/>
      <c r="C12" s="1495"/>
      <c r="D12" s="1502">
        <v>900000</v>
      </c>
      <c r="E12" s="1499">
        <v>488571</v>
      </c>
      <c r="F12" s="1487">
        <v>102857</v>
      </c>
      <c r="G12" s="1487">
        <v>102857</v>
      </c>
      <c r="H12" s="1487">
        <v>102857</v>
      </c>
      <c r="I12" s="1487">
        <v>102857</v>
      </c>
      <c r="J12" s="1487">
        <v>51429</v>
      </c>
      <c r="K12" s="1487"/>
      <c r="L12" s="1487"/>
      <c r="M12" s="1487"/>
      <c r="N12" s="1487"/>
      <c r="O12" s="1487"/>
    </row>
    <row r="13" spans="1:15" ht="12.75" customHeight="1">
      <c r="A13" s="1493"/>
      <c r="B13" s="1494"/>
      <c r="C13" s="1495"/>
      <c r="D13" s="1502"/>
      <c r="E13" s="1500"/>
      <c r="F13" s="1488"/>
      <c r="G13" s="1488"/>
      <c r="H13" s="1488"/>
      <c r="I13" s="1488"/>
      <c r="J13" s="1488"/>
      <c r="K13" s="1488"/>
      <c r="L13" s="1488"/>
      <c r="M13" s="1488"/>
      <c r="N13" s="1488"/>
      <c r="O13" s="1488"/>
    </row>
    <row r="14" spans="1:15" ht="12.75" customHeight="1">
      <c r="A14" s="1493" t="s">
        <v>812</v>
      </c>
      <c r="B14" s="1494"/>
      <c r="C14" s="1495"/>
      <c r="D14" s="1502">
        <v>900000</v>
      </c>
      <c r="E14" s="1499">
        <v>575000</v>
      </c>
      <c r="F14" s="1487">
        <v>100000</v>
      </c>
      <c r="G14" s="1487">
        <v>100000</v>
      </c>
      <c r="H14" s="1487">
        <v>100000</v>
      </c>
      <c r="I14" s="1487">
        <v>100000</v>
      </c>
      <c r="J14" s="1487">
        <v>100000</v>
      </c>
      <c r="K14" s="1487">
        <v>50000</v>
      </c>
      <c r="L14" s="1487"/>
      <c r="M14" s="1487"/>
      <c r="N14" s="1487"/>
      <c r="O14" s="1487"/>
    </row>
    <row r="15" spans="1:15" ht="12.75" customHeight="1">
      <c r="A15" s="1493"/>
      <c r="B15" s="1494"/>
      <c r="C15" s="1495"/>
      <c r="D15" s="1502"/>
      <c r="E15" s="1500"/>
      <c r="F15" s="1488"/>
      <c r="G15" s="1488"/>
      <c r="H15" s="1488"/>
      <c r="I15" s="1488"/>
      <c r="J15" s="1488"/>
      <c r="K15" s="1488"/>
      <c r="L15" s="1488"/>
      <c r="M15" s="1488"/>
      <c r="N15" s="1488"/>
      <c r="O15" s="1488"/>
    </row>
    <row r="16" spans="1:15" ht="12.75" customHeight="1">
      <c r="A16" s="1493" t="s">
        <v>813</v>
      </c>
      <c r="B16" s="1494"/>
      <c r="C16" s="1495"/>
      <c r="D16" s="1502">
        <v>600000</v>
      </c>
      <c r="E16" s="1499">
        <v>449700</v>
      </c>
      <c r="F16" s="1487">
        <v>66800</v>
      </c>
      <c r="G16" s="1487">
        <v>66800</v>
      </c>
      <c r="H16" s="1487">
        <v>66800</v>
      </c>
      <c r="I16" s="1487">
        <v>66800</v>
      </c>
      <c r="J16" s="1487">
        <v>66800</v>
      </c>
      <c r="K16" s="1487">
        <v>66800</v>
      </c>
      <c r="L16" s="1487">
        <v>32200</v>
      </c>
      <c r="M16" s="1487"/>
      <c r="N16" s="1487"/>
      <c r="O16" s="1487"/>
    </row>
    <row r="17" spans="1:15" ht="12.75" customHeight="1">
      <c r="A17" s="1493"/>
      <c r="B17" s="1494"/>
      <c r="C17" s="1495"/>
      <c r="D17" s="1502"/>
      <c r="E17" s="1500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</row>
    <row r="18" spans="1:15" ht="12.75" customHeight="1">
      <c r="A18" s="1493" t="s">
        <v>814</v>
      </c>
      <c r="B18" s="1494"/>
      <c r="C18" s="1495"/>
      <c r="D18" s="1502">
        <v>300000</v>
      </c>
      <c r="E18" s="1499">
        <v>233336</v>
      </c>
      <c r="F18" s="1487">
        <v>33333</v>
      </c>
      <c r="G18" s="1487">
        <v>33333</v>
      </c>
      <c r="H18" s="1487">
        <v>33333</v>
      </c>
      <c r="I18" s="1487">
        <v>33333</v>
      </c>
      <c r="J18" s="1487">
        <v>33333</v>
      </c>
      <c r="K18" s="1487">
        <v>33333</v>
      </c>
      <c r="L18" s="1487">
        <v>25004</v>
      </c>
      <c r="M18" s="1487"/>
      <c r="N18" s="1487"/>
      <c r="O18" s="1487"/>
    </row>
    <row r="19" spans="1:15" ht="12.75" customHeight="1">
      <c r="A19" s="1493"/>
      <c r="B19" s="1494"/>
      <c r="C19" s="1495"/>
      <c r="D19" s="1502"/>
      <c r="E19" s="1500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</row>
    <row r="20" spans="1:15" ht="12.75" customHeight="1">
      <c r="A20" s="1493" t="s">
        <v>815</v>
      </c>
      <c r="B20" s="1494"/>
      <c r="C20" s="1495"/>
      <c r="D20" s="1502">
        <v>900000</v>
      </c>
      <c r="E20" s="1499">
        <v>725000</v>
      </c>
      <c r="F20" s="1487">
        <v>100000</v>
      </c>
      <c r="G20" s="1487">
        <v>100000</v>
      </c>
      <c r="H20" s="1487">
        <v>100000</v>
      </c>
      <c r="I20" s="1487">
        <v>100000</v>
      </c>
      <c r="J20" s="1487">
        <v>100000</v>
      </c>
      <c r="K20" s="1487">
        <v>100000</v>
      </c>
      <c r="L20" s="1487">
        <v>100000</v>
      </c>
      <c r="M20" s="1487"/>
      <c r="N20" s="1487"/>
      <c r="O20" s="1487"/>
    </row>
    <row r="21" spans="1:15" ht="12.75" customHeight="1">
      <c r="A21" s="1493"/>
      <c r="B21" s="1494"/>
      <c r="C21" s="1495"/>
      <c r="D21" s="1502"/>
      <c r="E21" s="1500"/>
      <c r="F21" s="1488"/>
      <c r="G21" s="1488"/>
      <c r="H21" s="1488"/>
      <c r="I21" s="1488"/>
      <c r="J21" s="1488"/>
      <c r="K21" s="1488"/>
      <c r="L21" s="1488"/>
      <c r="M21" s="1488"/>
      <c r="N21" s="1488"/>
      <c r="O21" s="1488"/>
    </row>
    <row r="22" spans="1:15" ht="12.75" customHeight="1">
      <c r="A22" s="1493" t="s">
        <v>816</v>
      </c>
      <c r="B22" s="1494"/>
      <c r="C22" s="1495"/>
      <c r="D22" s="1487">
        <v>900000</v>
      </c>
      <c r="E22" s="1487">
        <v>875000</v>
      </c>
      <c r="F22" s="1487">
        <v>100000</v>
      </c>
      <c r="G22" s="1487">
        <v>100000</v>
      </c>
      <c r="H22" s="1487">
        <v>100000</v>
      </c>
      <c r="I22" s="1487">
        <v>100000</v>
      </c>
      <c r="J22" s="1487">
        <v>100000</v>
      </c>
      <c r="K22" s="1487">
        <v>100000</v>
      </c>
      <c r="L22" s="1487">
        <v>100000</v>
      </c>
      <c r="M22" s="1487">
        <v>100000</v>
      </c>
      <c r="N22" s="1487">
        <v>50000</v>
      </c>
      <c r="O22" s="1487"/>
    </row>
    <row r="23" spans="1:15" ht="12.75" customHeight="1">
      <c r="A23" s="1493"/>
      <c r="B23" s="1494"/>
      <c r="C23" s="1495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</row>
    <row r="24" spans="1:15" ht="12.75" customHeight="1">
      <c r="A24" s="1493" t="s">
        <v>528</v>
      </c>
      <c r="B24" s="1494"/>
      <c r="C24" s="1495"/>
      <c r="D24" s="1487">
        <v>870000</v>
      </c>
      <c r="E24" s="1487">
        <v>870000</v>
      </c>
      <c r="F24" s="1487">
        <v>24167</v>
      </c>
      <c r="G24" s="1487">
        <v>96667</v>
      </c>
      <c r="H24" s="1487">
        <v>96667</v>
      </c>
      <c r="I24" s="1487">
        <v>96667</v>
      </c>
      <c r="J24" s="1487">
        <v>96667</v>
      </c>
      <c r="K24" s="1487">
        <v>96667</v>
      </c>
      <c r="L24" s="1487">
        <v>96667</v>
      </c>
      <c r="M24" s="1487">
        <v>96667</v>
      </c>
      <c r="N24" s="1487">
        <v>96667</v>
      </c>
      <c r="O24" s="1487">
        <v>72497</v>
      </c>
    </row>
    <row r="25" spans="1:15" ht="12.75" customHeight="1">
      <c r="A25" s="1493"/>
      <c r="B25" s="1494"/>
      <c r="C25" s="1495"/>
      <c r="D25" s="1488"/>
      <c r="E25" s="1488"/>
      <c r="F25" s="1488"/>
      <c r="G25" s="1488"/>
      <c r="H25" s="1488"/>
      <c r="I25" s="1488"/>
      <c r="J25" s="1488"/>
      <c r="K25" s="1488"/>
      <c r="L25" s="1488"/>
      <c r="M25" s="1488"/>
      <c r="N25" s="1488"/>
      <c r="O25" s="1488"/>
    </row>
    <row r="26" spans="1:15" ht="12.75" customHeight="1">
      <c r="A26" s="1493" t="s">
        <v>817</v>
      </c>
      <c r="B26" s="1494"/>
      <c r="C26" s="1495"/>
      <c r="D26" s="1487">
        <v>17600</v>
      </c>
      <c r="E26" s="1487">
        <v>5280</v>
      </c>
      <c r="F26" s="1487">
        <v>3520</v>
      </c>
      <c r="G26" s="1487">
        <v>1760</v>
      </c>
      <c r="H26" s="1487"/>
      <c r="I26" s="1487"/>
      <c r="J26" s="1487"/>
      <c r="K26" s="1487"/>
      <c r="L26" s="1487"/>
      <c r="M26" s="1487"/>
      <c r="N26" s="1487"/>
      <c r="O26" s="1487"/>
    </row>
    <row r="27" spans="1:15" ht="15.75" customHeight="1">
      <c r="A27" s="1493"/>
      <c r="B27" s="1494"/>
      <c r="C27" s="1495"/>
      <c r="D27" s="1488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  <c r="O27" s="1488"/>
    </row>
    <row r="28" spans="1:15" ht="12.75" customHeight="1">
      <c r="A28" s="1493" t="s">
        <v>818</v>
      </c>
      <c r="B28" s="1494"/>
      <c r="C28" s="1495"/>
      <c r="D28" s="1487">
        <v>68038</v>
      </c>
      <c r="E28" s="1487">
        <v>68038</v>
      </c>
      <c r="F28" s="1487">
        <v>12127</v>
      </c>
      <c r="G28" s="1487">
        <v>12127</v>
      </c>
      <c r="H28" s="1487">
        <v>12127</v>
      </c>
      <c r="I28" s="1487">
        <v>12127</v>
      </c>
      <c r="J28" s="1487">
        <v>12126</v>
      </c>
      <c r="K28" s="1487">
        <v>7404</v>
      </c>
      <c r="L28" s="1487"/>
      <c r="M28" s="1487"/>
      <c r="N28" s="1487"/>
      <c r="O28" s="1487"/>
    </row>
    <row r="29" spans="1:15" ht="15.75" customHeight="1">
      <c r="A29" s="1493"/>
      <c r="B29" s="1494"/>
      <c r="C29" s="1495"/>
      <c r="D29" s="1488"/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  <c r="O29" s="1488"/>
    </row>
    <row r="30" spans="1:15" ht="12.75" customHeight="1">
      <c r="A30" s="1493" t="s">
        <v>819</v>
      </c>
      <c r="B30" s="1494"/>
      <c r="C30" s="1495"/>
      <c r="D30" s="1487">
        <v>49655</v>
      </c>
      <c r="E30" s="1487">
        <v>22345</v>
      </c>
      <c r="F30" s="1487">
        <v>9931</v>
      </c>
      <c r="G30" s="1487">
        <v>9931</v>
      </c>
      <c r="H30" s="1487">
        <v>2483</v>
      </c>
      <c r="I30" s="1487"/>
      <c r="J30" s="1487"/>
      <c r="K30" s="1487"/>
      <c r="L30" s="1487"/>
      <c r="M30" s="1487"/>
      <c r="N30" s="1487"/>
      <c r="O30" s="1487"/>
    </row>
    <row r="31" spans="1:15" ht="15.75" customHeight="1">
      <c r="A31" s="1493"/>
      <c r="B31" s="1494"/>
      <c r="C31" s="1495"/>
      <c r="D31" s="1488"/>
      <c r="E31" s="1488"/>
      <c r="F31" s="1488"/>
      <c r="G31" s="1488"/>
      <c r="H31" s="1488"/>
      <c r="I31" s="1488"/>
      <c r="J31" s="1488"/>
      <c r="K31" s="1488"/>
      <c r="L31" s="1488"/>
      <c r="M31" s="1488"/>
      <c r="N31" s="1488"/>
      <c r="O31" s="1488"/>
    </row>
    <row r="32" spans="1:15" ht="12.75" customHeight="1">
      <c r="A32" s="1493" t="s">
        <v>820</v>
      </c>
      <c r="B32" s="1494"/>
      <c r="C32" s="1495"/>
      <c r="D32" s="1487">
        <v>85020</v>
      </c>
      <c r="E32" s="1487">
        <v>85020</v>
      </c>
      <c r="F32" s="1487"/>
      <c r="G32" s="1487">
        <v>17004</v>
      </c>
      <c r="H32" s="1487">
        <v>17004</v>
      </c>
      <c r="I32" s="1487">
        <v>17004</v>
      </c>
      <c r="J32" s="1487">
        <v>17004</v>
      </c>
      <c r="K32" s="1487"/>
      <c r="L32" s="1487"/>
      <c r="M32" s="1487"/>
      <c r="N32" s="1487"/>
      <c r="O32" s="1487"/>
    </row>
    <row r="33" spans="1:15" ht="15.75" customHeight="1">
      <c r="A33" s="1493"/>
      <c r="B33" s="1494"/>
      <c r="C33" s="1495"/>
      <c r="D33" s="1488"/>
      <c r="E33" s="1488"/>
      <c r="F33" s="1488"/>
      <c r="G33" s="1488"/>
      <c r="H33" s="1488"/>
      <c r="I33" s="1488"/>
      <c r="J33" s="1488"/>
      <c r="K33" s="1488"/>
      <c r="L33" s="1488"/>
      <c r="M33" s="1488"/>
      <c r="N33" s="1488"/>
      <c r="O33" s="1488"/>
    </row>
    <row r="34" spans="1:15" ht="12.75" customHeight="1">
      <c r="A34" s="1493" t="s">
        <v>821</v>
      </c>
      <c r="B34" s="1494"/>
      <c r="C34" s="1495"/>
      <c r="D34" s="1487">
        <v>7393</v>
      </c>
      <c r="E34" s="1487">
        <v>5175</v>
      </c>
      <c r="F34" s="1487">
        <v>1479</v>
      </c>
      <c r="G34" s="1487">
        <v>1479</v>
      </c>
      <c r="H34" s="1487">
        <v>1478</v>
      </c>
      <c r="I34" s="1487">
        <v>739</v>
      </c>
      <c r="J34" s="1487"/>
      <c r="K34" s="1487"/>
      <c r="L34" s="1487"/>
      <c r="M34" s="1487"/>
      <c r="N34" s="1487"/>
      <c r="O34" s="1487"/>
    </row>
    <row r="35" spans="1:15" ht="15.75" customHeight="1">
      <c r="A35" s="1493"/>
      <c r="B35" s="1494"/>
      <c r="C35" s="1495"/>
      <c r="D35" s="1488"/>
      <c r="E35" s="1488"/>
      <c r="F35" s="1488"/>
      <c r="G35" s="1488"/>
      <c r="H35" s="1488"/>
      <c r="I35" s="1488"/>
      <c r="J35" s="1488"/>
      <c r="K35" s="1488"/>
      <c r="L35" s="1488"/>
      <c r="M35" s="1488"/>
      <c r="N35" s="1488"/>
      <c r="O35" s="1488"/>
    </row>
    <row r="36" spans="1:15" ht="15.75" customHeight="1">
      <c r="A36" s="1493" t="s">
        <v>1272</v>
      </c>
      <c r="B36" s="1494"/>
      <c r="C36" s="1495"/>
      <c r="D36" s="1487">
        <v>148563</v>
      </c>
      <c r="E36" s="1487">
        <v>148563</v>
      </c>
      <c r="F36" s="1487">
        <v>29314</v>
      </c>
      <c r="G36" s="1487">
        <v>29314</v>
      </c>
      <c r="H36" s="1487">
        <v>29314</v>
      </c>
      <c r="I36" s="1487">
        <v>29314</v>
      </c>
      <c r="J36" s="1487">
        <v>29314</v>
      </c>
      <c r="K36" s="1487">
        <v>1993</v>
      </c>
      <c r="L36" s="1051"/>
      <c r="M36" s="1051"/>
      <c r="N36" s="1051"/>
      <c r="O36" s="1051"/>
    </row>
    <row r="37" spans="1:15" ht="15.75" customHeight="1">
      <c r="A37" s="1493"/>
      <c r="B37" s="1494"/>
      <c r="C37" s="1495"/>
      <c r="D37" s="1488"/>
      <c r="E37" s="1488"/>
      <c r="F37" s="1488"/>
      <c r="G37" s="1488"/>
      <c r="H37" s="1488"/>
      <c r="I37" s="1488"/>
      <c r="J37" s="1488"/>
      <c r="K37" s="1488"/>
      <c r="L37" s="1051"/>
      <c r="M37" s="1051"/>
      <c r="N37" s="1051"/>
      <c r="O37" s="1051"/>
    </row>
    <row r="38" spans="1:15" ht="12.75" customHeight="1">
      <c r="A38" s="1503" t="s">
        <v>990</v>
      </c>
      <c r="B38" s="1504"/>
      <c r="C38" s="1505"/>
      <c r="D38" s="1489">
        <f>SUM(D8:D37)</f>
        <v>7346269</v>
      </c>
      <c r="E38" s="1489">
        <f aca="true" t="shared" si="0" ref="E38:O38">SUM(E8:E37)</f>
        <v>5134136</v>
      </c>
      <c r="F38" s="1489">
        <f t="shared" si="0"/>
        <v>759204</v>
      </c>
      <c r="G38" s="1489">
        <f t="shared" si="0"/>
        <v>846948</v>
      </c>
      <c r="H38" s="1489">
        <f t="shared" si="0"/>
        <v>799900</v>
      </c>
      <c r="I38" s="1489">
        <f t="shared" si="0"/>
        <v>708841</v>
      </c>
      <c r="J38" s="1489">
        <f t="shared" si="0"/>
        <v>606673</v>
      </c>
      <c r="K38" s="1489">
        <f t="shared" si="0"/>
        <v>456197</v>
      </c>
      <c r="L38" s="1489">
        <f t="shared" si="0"/>
        <v>353871</v>
      </c>
      <c r="M38" s="1489">
        <f t="shared" si="0"/>
        <v>196667</v>
      </c>
      <c r="N38" s="1489">
        <f t="shared" si="0"/>
        <v>146667</v>
      </c>
      <c r="O38" s="1489">
        <f t="shared" si="0"/>
        <v>72497</v>
      </c>
    </row>
    <row r="39" spans="1:15" ht="12.75" customHeight="1">
      <c r="A39" s="1503"/>
      <c r="B39" s="1504"/>
      <c r="C39" s="1505"/>
      <c r="D39" s="1490"/>
      <c r="E39" s="1490"/>
      <c r="F39" s="1490"/>
      <c r="G39" s="1490"/>
      <c r="H39" s="1490"/>
      <c r="I39" s="1490"/>
      <c r="J39" s="1490"/>
      <c r="K39" s="1490"/>
      <c r="L39" s="1490"/>
      <c r="M39" s="1490"/>
      <c r="N39" s="1490"/>
      <c r="O39" s="1490"/>
    </row>
  </sheetData>
  <mergeCells count="210">
    <mergeCell ref="O24:O25"/>
    <mergeCell ref="A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8:O39"/>
    <mergeCell ref="K38:K39"/>
    <mergeCell ref="L38:L39"/>
    <mergeCell ref="M38:M39"/>
    <mergeCell ref="N38:N39"/>
    <mergeCell ref="G38:G39"/>
    <mergeCell ref="H38:H39"/>
    <mergeCell ref="I38:I39"/>
    <mergeCell ref="J38:J39"/>
    <mergeCell ref="A38:C39"/>
    <mergeCell ref="D38:D39"/>
    <mergeCell ref="E38:E39"/>
    <mergeCell ref="A24:C25"/>
    <mergeCell ref="D24:D25"/>
    <mergeCell ref="E24:E25"/>
    <mergeCell ref="E28:E29"/>
    <mergeCell ref="E30:E31"/>
    <mergeCell ref="E32:E33"/>
    <mergeCell ref="A30:C31"/>
    <mergeCell ref="A12:C13"/>
    <mergeCell ref="A14:C15"/>
    <mergeCell ref="A16:C17"/>
    <mergeCell ref="A18:C19"/>
    <mergeCell ref="A20:C21"/>
    <mergeCell ref="A22:C23"/>
    <mergeCell ref="A6:C7"/>
    <mergeCell ref="D6:D7"/>
    <mergeCell ref="D8:D9"/>
    <mergeCell ref="D10:D11"/>
    <mergeCell ref="A8:C9"/>
    <mergeCell ref="A10:C11"/>
    <mergeCell ref="D12:D13"/>
    <mergeCell ref="D14:D15"/>
    <mergeCell ref="D16:D17"/>
    <mergeCell ref="D18:D19"/>
    <mergeCell ref="D20:D21"/>
    <mergeCell ref="D22:D2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6:O6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6:C27"/>
    <mergeCell ref="A28:C29"/>
    <mergeCell ref="D26:D27"/>
    <mergeCell ref="D28:D29"/>
    <mergeCell ref="F26:F27"/>
    <mergeCell ref="F28:F29"/>
    <mergeCell ref="L26:L27"/>
    <mergeCell ref="M26:M27"/>
    <mergeCell ref="E26:E27"/>
    <mergeCell ref="A32:C33"/>
    <mergeCell ref="A34:C35"/>
    <mergeCell ref="F32:F33"/>
    <mergeCell ref="F34:F35"/>
    <mergeCell ref="D30:D31"/>
    <mergeCell ref="D32:D33"/>
    <mergeCell ref="D34:D35"/>
    <mergeCell ref="E34:E35"/>
    <mergeCell ref="J32:J33"/>
    <mergeCell ref="G34:G35"/>
    <mergeCell ref="H34:H35"/>
    <mergeCell ref="I34:I35"/>
    <mergeCell ref="J34:J35"/>
    <mergeCell ref="N28:N29"/>
    <mergeCell ref="K34:K35"/>
    <mergeCell ref="G26:G27"/>
    <mergeCell ref="H26:H27"/>
    <mergeCell ref="I26:I27"/>
    <mergeCell ref="J26:J27"/>
    <mergeCell ref="K26:K27"/>
    <mergeCell ref="G32:G33"/>
    <mergeCell ref="H32:H33"/>
    <mergeCell ref="I32:I33"/>
    <mergeCell ref="O30:O31"/>
    <mergeCell ref="N26:N27"/>
    <mergeCell ref="O26:O27"/>
    <mergeCell ref="G28:G29"/>
    <mergeCell ref="H28:H29"/>
    <mergeCell ref="I28:I29"/>
    <mergeCell ref="J28:J29"/>
    <mergeCell ref="K28:K29"/>
    <mergeCell ref="L28:L29"/>
    <mergeCell ref="M28:M29"/>
    <mergeCell ref="N32:N33"/>
    <mergeCell ref="O28:O29"/>
    <mergeCell ref="G30:G31"/>
    <mergeCell ref="H30:H31"/>
    <mergeCell ref="I30:I31"/>
    <mergeCell ref="J30:J31"/>
    <mergeCell ref="K30:K31"/>
    <mergeCell ref="L30:L31"/>
    <mergeCell ref="M30:M31"/>
    <mergeCell ref="N30:N31"/>
    <mergeCell ref="A2:O2"/>
    <mergeCell ref="A3:O3"/>
    <mergeCell ref="O32:O33"/>
    <mergeCell ref="L34:L35"/>
    <mergeCell ref="M34:M35"/>
    <mergeCell ref="N34:N35"/>
    <mergeCell ref="O34:O35"/>
    <mergeCell ref="K32:K33"/>
    <mergeCell ref="L32:L33"/>
    <mergeCell ref="M32:M33"/>
    <mergeCell ref="F38:F39"/>
    <mergeCell ref="F22:F23"/>
    <mergeCell ref="F20:F21"/>
    <mergeCell ref="F18:F19"/>
    <mergeCell ref="F24:F25"/>
    <mergeCell ref="F30:F31"/>
    <mergeCell ref="F16:F17"/>
    <mergeCell ref="F14:F15"/>
    <mergeCell ref="F12:F13"/>
    <mergeCell ref="F10:F11"/>
    <mergeCell ref="G24:G25"/>
    <mergeCell ref="H24:H25"/>
    <mergeCell ref="I24:I25"/>
    <mergeCell ref="J24:J25"/>
    <mergeCell ref="K24:K25"/>
    <mergeCell ref="L24:L25"/>
    <mergeCell ref="M24:M25"/>
    <mergeCell ref="N24:N25"/>
  </mergeCells>
  <printOptions/>
  <pageMargins left="0.5905511811023623" right="0.5905511811023623" top="0.3937007874015748" bottom="0.3937007874015748" header="0.5118110236220472" footer="0.5118110236220472"/>
  <pageSetup firstPageNumber="77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">
      <selection activeCell="E20" sqref="E20"/>
    </sheetView>
  </sheetViews>
  <sheetFormatPr defaultColWidth="9.00390625" defaultRowHeight="12.75"/>
  <cols>
    <col min="1" max="1" width="57.75390625" style="0" customWidth="1"/>
    <col min="2" max="2" width="12.25390625" style="0" customWidth="1"/>
  </cols>
  <sheetData>
    <row r="2" spans="1:2" ht="12.75">
      <c r="A2" s="1257" t="s">
        <v>502</v>
      </c>
      <c r="B2" s="1257"/>
    </row>
    <row r="4" spans="1:2" ht="12.75">
      <c r="A4" s="1506" t="s">
        <v>785</v>
      </c>
      <c r="B4" s="1506"/>
    </row>
    <row r="5" spans="1:2" ht="12.75">
      <c r="A5" s="1506"/>
      <c r="B5" s="1506"/>
    </row>
    <row r="7" spans="1:2" ht="12.75">
      <c r="A7" s="1045"/>
      <c r="B7" s="207" t="s">
        <v>165</v>
      </c>
    </row>
    <row r="8" spans="1:2" ht="18" customHeight="1">
      <c r="A8" s="1037" t="s">
        <v>4</v>
      </c>
      <c r="B8" s="182"/>
    </row>
    <row r="9" spans="1:2" ht="18" customHeight="1">
      <c r="A9" s="1038" t="s">
        <v>5</v>
      </c>
      <c r="B9" s="1042">
        <v>583009</v>
      </c>
    </row>
    <row r="10" spans="1:2" ht="18" customHeight="1">
      <c r="A10" s="1038" t="s">
        <v>6</v>
      </c>
      <c r="B10" s="1042">
        <v>3024</v>
      </c>
    </row>
    <row r="11" spans="1:2" ht="18" customHeight="1" thickBot="1">
      <c r="A11" s="1039" t="s">
        <v>7</v>
      </c>
      <c r="B11" s="1043">
        <v>3606</v>
      </c>
    </row>
    <row r="12" spans="1:2" ht="18" customHeight="1" thickBot="1" thickTop="1">
      <c r="A12" s="1040" t="s">
        <v>8</v>
      </c>
      <c r="B12" s="1044">
        <f>SUM(B9:B11)</f>
        <v>589639</v>
      </c>
    </row>
    <row r="13" spans="1:2" ht="18" customHeight="1" thickBot="1" thickTop="1">
      <c r="A13" s="1048"/>
      <c r="B13" s="1047"/>
    </row>
    <row r="14" spans="1:2" ht="18" customHeight="1" thickBot="1" thickTop="1">
      <c r="A14" s="1040" t="s">
        <v>1048</v>
      </c>
      <c r="B14" s="1043">
        <v>24039597</v>
      </c>
    </row>
    <row r="15" spans="1:2" ht="18" customHeight="1" thickBot="1" thickTop="1">
      <c r="A15" s="1046" t="s">
        <v>1144</v>
      </c>
      <c r="B15" s="1047">
        <v>23283587</v>
      </c>
    </row>
    <row r="16" spans="1:2" ht="18" customHeight="1" thickTop="1">
      <c r="A16" s="182"/>
      <c r="B16" s="1042"/>
    </row>
    <row r="17" spans="1:2" ht="18" customHeight="1">
      <c r="A17" s="1041" t="s">
        <v>9</v>
      </c>
      <c r="B17" s="1042"/>
    </row>
    <row r="18" spans="1:2" ht="18" customHeight="1">
      <c r="A18" s="1038" t="s">
        <v>5</v>
      </c>
      <c r="B18" s="1042">
        <v>1343495</v>
      </c>
    </row>
    <row r="19" spans="1:2" ht="18" customHeight="1">
      <c r="A19" s="1038" t="s">
        <v>6</v>
      </c>
      <c r="B19" s="1042"/>
    </row>
    <row r="20" spans="1:2" ht="18" customHeight="1" thickBot="1">
      <c r="A20" s="1039" t="s">
        <v>7</v>
      </c>
      <c r="B20" s="1043">
        <v>2154</v>
      </c>
    </row>
    <row r="21" spans="1:2" ht="18" customHeight="1" thickBot="1" thickTop="1">
      <c r="A21" s="1040" t="s">
        <v>8</v>
      </c>
      <c r="B21" s="1044">
        <f>SUM(B18:B20)</f>
        <v>1345649</v>
      </c>
    </row>
    <row r="22" ht="13.5" thickTop="1"/>
  </sheetData>
  <mergeCells count="2">
    <mergeCell ref="A4:B5"/>
    <mergeCell ref="A2:B2"/>
  </mergeCells>
  <printOptions/>
  <pageMargins left="0.75" right="0.75" top="1" bottom="1" header="0.5" footer="0.5"/>
  <pageSetup firstPageNumber="78" useFirstPageNumber="1" horizontalDpi="600" verticalDpi="600" orientation="portrait" paperSize="9" r:id="rId1"/>
  <headerFooter alignWithMargins="0">
    <oddFooter>&amp;C&amp;P. oldal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O4" sqref="O4"/>
    </sheetView>
  </sheetViews>
  <sheetFormatPr defaultColWidth="9.00390625" defaultRowHeight="12.75"/>
  <cols>
    <col min="1" max="1" width="5.00390625" style="927" customWidth="1"/>
    <col min="2" max="2" width="13.375" style="927" customWidth="1"/>
    <col min="3" max="3" width="12.00390625" style="927" customWidth="1"/>
    <col min="4" max="15" width="6.75390625" style="927" customWidth="1"/>
    <col min="16" max="16384" width="9.125" style="927" customWidth="1"/>
  </cols>
  <sheetData>
    <row r="1" spans="1:15" ht="12.75">
      <c r="A1" s="1525" t="s">
        <v>503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</row>
    <row r="3" spans="1:15" ht="12.75">
      <c r="A3" s="1525" t="s">
        <v>786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  <c r="N3" s="1525"/>
      <c r="O3" s="1525"/>
    </row>
    <row r="4" ht="13.5" thickBot="1">
      <c r="O4" s="1055" t="s">
        <v>38</v>
      </c>
    </row>
    <row r="5" spans="1:15" ht="12.75">
      <c r="A5" s="1526" t="s">
        <v>305</v>
      </c>
      <c r="B5" s="1528" t="s">
        <v>1015</v>
      </c>
      <c r="C5" s="1528"/>
      <c r="D5" s="1515" t="s">
        <v>823</v>
      </c>
      <c r="E5" s="1515"/>
      <c r="F5" s="1515" t="s">
        <v>824</v>
      </c>
      <c r="G5" s="1515"/>
      <c r="H5" s="1515" t="s">
        <v>825</v>
      </c>
      <c r="I5" s="1515"/>
      <c r="J5" s="1515" t="s">
        <v>826</v>
      </c>
      <c r="K5" s="1515"/>
      <c r="L5" s="1515" t="s">
        <v>824</v>
      </c>
      <c r="M5" s="1515"/>
      <c r="N5" s="1515" t="s">
        <v>827</v>
      </c>
      <c r="O5" s="1530"/>
    </row>
    <row r="6" spans="1:15" ht="57.75" customHeight="1" thickBot="1">
      <c r="A6" s="1527"/>
      <c r="B6" s="1529"/>
      <c r="C6" s="1529"/>
      <c r="D6" s="1516"/>
      <c r="E6" s="1516"/>
      <c r="F6" s="1516"/>
      <c r="G6" s="1516"/>
      <c r="H6" s="1516"/>
      <c r="I6" s="1516"/>
      <c r="J6" s="1516"/>
      <c r="K6" s="1516"/>
      <c r="L6" s="1516"/>
      <c r="M6" s="1516"/>
      <c r="N6" s="1516"/>
      <c r="O6" s="1531"/>
    </row>
    <row r="7" spans="1:15" ht="24.75" customHeight="1">
      <c r="A7" s="928" t="s">
        <v>1016</v>
      </c>
      <c r="B7" s="1507" t="s">
        <v>828</v>
      </c>
      <c r="C7" s="1507"/>
      <c r="D7" s="1513">
        <v>0</v>
      </c>
      <c r="E7" s="1513"/>
      <c r="F7" s="1513">
        <v>0</v>
      </c>
      <c r="G7" s="1513"/>
      <c r="H7" s="1513">
        <v>0</v>
      </c>
      <c r="I7" s="1513"/>
      <c r="J7" s="1513">
        <v>0</v>
      </c>
      <c r="K7" s="1513"/>
      <c r="L7" s="1513">
        <v>0</v>
      </c>
      <c r="M7" s="1513"/>
      <c r="N7" s="1513">
        <v>0</v>
      </c>
      <c r="O7" s="1514"/>
    </row>
    <row r="8" spans="1:15" ht="24.75" customHeight="1">
      <c r="A8" s="929" t="s">
        <v>1017</v>
      </c>
      <c r="B8" s="1508" t="s">
        <v>829</v>
      </c>
      <c r="C8" s="1508"/>
      <c r="D8" s="1517">
        <v>0</v>
      </c>
      <c r="E8" s="1517"/>
      <c r="F8" s="1517">
        <v>0</v>
      </c>
      <c r="G8" s="1517"/>
      <c r="H8" s="1517">
        <v>0</v>
      </c>
      <c r="I8" s="1517"/>
      <c r="J8" s="1517">
        <v>0</v>
      </c>
      <c r="K8" s="1517"/>
      <c r="L8" s="1517">
        <v>0</v>
      </c>
      <c r="M8" s="1517"/>
      <c r="N8" s="1517">
        <v>0</v>
      </c>
      <c r="O8" s="1519"/>
    </row>
    <row r="9" spans="1:15" ht="24.75" customHeight="1">
      <c r="A9" s="929" t="s">
        <v>1018</v>
      </c>
      <c r="B9" s="1508" t="s">
        <v>830</v>
      </c>
      <c r="C9" s="1508"/>
      <c r="D9" s="1517">
        <v>0</v>
      </c>
      <c r="E9" s="1517"/>
      <c r="F9" s="1517">
        <v>0</v>
      </c>
      <c r="G9" s="1517"/>
      <c r="H9" s="1517">
        <v>0</v>
      </c>
      <c r="I9" s="1517"/>
      <c r="J9" s="1517">
        <v>0</v>
      </c>
      <c r="K9" s="1517"/>
      <c r="L9" s="1517">
        <v>0</v>
      </c>
      <c r="M9" s="1517"/>
      <c r="N9" s="1517">
        <v>0</v>
      </c>
      <c r="O9" s="1519"/>
    </row>
    <row r="10" spans="1:15" ht="24.75" customHeight="1">
      <c r="A10" s="930" t="s">
        <v>831</v>
      </c>
      <c r="B10" s="1509" t="s">
        <v>832</v>
      </c>
      <c r="C10" s="1509"/>
      <c r="D10" s="1518">
        <v>0</v>
      </c>
      <c r="E10" s="1518"/>
      <c r="F10" s="1518">
        <v>0</v>
      </c>
      <c r="G10" s="1518"/>
      <c r="H10" s="1518">
        <v>0</v>
      </c>
      <c r="I10" s="1518"/>
      <c r="J10" s="1518">
        <v>0</v>
      </c>
      <c r="K10" s="1518"/>
      <c r="L10" s="1518">
        <v>0</v>
      </c>
      <c r="M10" s="1518"/>
      <c r="N10" s="1518">
        <v>0</v>
      </c>
      <c r="O10" s="1520"/>
    </row>
    <row r="11" spans="1:15" ht="24.75" customHeight="1">
      <c r="A11" s="929" t="s">
        <v>1019</v>
      </c>
      <c r="B11" s="1508" t="s">
        <v>833</v>
      </c>
      <c r="C11" s="1508"/>
      <c r="D11" s="1517">
        <v>0</v>
      </c>
      <c r="E11" s="1517"/>
      <c r="F11" s="1517">
        <v>0</v>
      </c>
      <c r="G11" s="1517"/>
      <c r="H11" s="1517">
        <v>0</v>
      </c>
      <c r="I11" s="1517"/>
      <c r="J11" s="1517">
        <v>0</v>
      </c>
      <c r="K11" s="1517"/>
      <c r="L11" s="1517">
        <v>0</v>
      </c>
      <c r="M11" s="1517"/>
      <c r="N11" s="1517">
        <v>0</v>
      </c>
      <c r="O11" s="1519"/>
    </row>
    <row r="12" spans="1:15" ht="24.75" customHeight="1">
      <c r="A12" s="929" t="s">
        <v>1020</v>
      </c>
      <c r="B12" s="1508" t="s">
        <v>834</v>
      </c>
      <c r="C12" s="1508"/>
      <c r="D12" s="1517">
        <v>0</v>
      </c>
      <c r="E12" s="1517"/>
      <c r="F12" s="1517">
        <v>0</v>
      </c>
      <c r="G12" s="1517"/>
      <c r="H12" s="1517">
        <v>0</v>
      </c>
      <c r="I12" s="1517"/>
      <c r="J12" s="1517">
        <v>0</v>
      </c>
      <c r="K12" s="1517"/>
      <c r="L12" s="1517">
        <v>0</v>
      </c>
      <c r="M12" s="1517"/>
      <c r="N12" s="1517">
        <v>0</v>
      </c>
      <c r="O12" s="1519"/>
    </row>
    <row r="13" spans="1:15" ht="24.75" customHeight="1">
      <c r="A13" s="929" t="s">
        <v>1148</v>
      </c>
      <c r="B13" s="1508" t="s">
        <v>835</v>
      </c>
      <c r="C13" s="1508"/>
      <c r="D13" s="1517">
        <v>0</v>
      </c>
      <c r="E13" s="1517"/>
      <c r="F13" s="1517">
        <v>0</v>
      </c>
      <c r="G13" s="1517"/>
      <c r="H13" s="1517">
        <v>0</v>
      </c>
      <c r="I13" s="1517"/>
      <c r="J13" s="1517">
        <v>0</v>
      </c>
      <c r="K13" s="1517"/>
      <c r="L13" s="1517">
        <v>0</v>
      </c>
      <c r="M13" s="1517"/>
      <c r="N13" s="1517">
        <v>0</v>
      </c>
      <c r="O13" s="1519"/>
    </row>
    <row r="14" spans="1:15" ht="24.75" customHeight="1" thickBot="1">
      <c r="A14" s="931" t="s">
        <v>836</v>
      </c>
      <c r="B14" s="1510" t="s">
        <v>837</v>
      </c>
      <c r="C14" s="1510"/>
      <c r="D14" s="1521">
        <v>0</v>
      </c>
      <c r="E14" s="1521"/>
      <c r="F14" s="1521">
        <v>0</v>
      </c>
      <c r="G14" s="1521"/>
      <c r="H14" s="1521">
        <v>0</v>
      </c>
      <c r="I14" s="1521"/>
      <c r="J14" s="1521">
        <v>0</v>
      </c>
      <c r="K14" s="1521"/>
      <c r="L14" s="1521">
        <v>0</v>
      </c>
      <c r="M14" s="1521"/>
      <c r="N14" s="1521">
        <v>0</v>
      </c>
      <c r="O14" s="1523"/>
    </row>
    <row r="15" spans="1:15" ht="24.75" customHeight="1">
      <c r="A15" s="932" t="s">
        <v>838</v>
      </c>
      <c r="B15" s="1511" t="s">
        <v>839</v>
      </c>
      <c r="C15" s="1511"/>
      <c r="D15" s="1522">
        <v>0</v>
      </c>
      <c r="E15" s="1522"/>
      <c r="F15" s="1522">
        <v>0</v>
      </c>
      <c r="G15" s="1522"/>
      <c r="H15" s="1522">
        <v>0</v>
      </c>
      <c r="I15" s="1522"/>
      <c r="J15" s="1522">
        <v>0</v>
      </c>
      <c r="K15" s="1522"/>
      <c r="L15" s="1522">
        <v>0</v>
      </c>
      <c r="M15" s="1522"/>
      <c r="N15" s="1522">
        <v>0</v>
      </c>
      <c r="O15" s="1524"/>
    </row>
    <row r="16" spans="1:15" ht="24.75" customHeight="1">
      <c r="A16" s="929" t="s">
        <v>229</v>
      </c>
      <c r="B16" s="1508" t="s">
        <v>840</v>
      </c>
      <c r="C16" s="1508"/>
      <c r="D16" s="1517">
        <v>0</v>
      </c>
      <c r="E16" s="1517"/>
      <c r="F16" s="1517">
        <v>0</v>
      </c>
      <c r="G16" s="1517"/>
      <c r="H16" s="1517">
        <v>0</v>
      </c>
      <c r="I16" s="1517"/>
      <c r="J16" s="1517">
        <v>0</v>
      </c>
      <c r="K16" s="1517"/>
      <c r="L16" s="1517">
        <v>0</v>
      </c>
      <c r="M16" s="1517"/>
      <c r="N16" s="1517">
        <v>0</v>
      </c>
      <c r="O16" s="1519"/>
    </row>
    <row r="17" spans="1:15" ht="24.75" customHeight="1">
      <c r="A17" s="929" t="s">
        <v>324</v>
      </c>
      <c r="B17" s="1508" t="s">
        <v>841</v>
      </c>
      <c r="C17" s="1508"/>
      <c r="D17" s="1517">
        <v>0</v>
      </c>
      <c r="E17" s="1517"/>
      <c r="F17" s="1517">
        <v>0</v>
      </c>
      <c r="G17" s="1517"/>
      <c r="H17" s="1517">
        <v>0</v>
      </c>
      <c r="I17" s="1517"/>
      <c r="J17" s="1517">
        <v>0</v>
      </c>
      <c r="K17" s="1517"/>
      <c r="L17" s="1517">
        <v>0</v>
      </c>
      <c r="M17" s="1517"/>
      <c r="N17" s="1517">
        <v>0</v>
      </c>
      <c r="O17" s="1519"/>
    </row>
    <row r="18" spans="1:15" ht="24.75" customHeight="1">
      <c r="A18" s="929" t="s">
        <v>326</v>
      </c>
      <c r="B18" s="1508" t="s">
        <v>842</v>
      </c>
      <c r="C18" s="1508"/>
      <c r="D18" s="1517">
        <v>0</v>
      </c>
      <c r="E18" s="1517"/>
      <c r="F18" s="1517">
        <v>0</v>
      </c>
      <c r="G18" s="1517"/>
      <c r="H18" s="1517">
        <v>0</v>
      </c>
      <c r="I18" s="1517"/>
      <c r="J18" s="1517">
        <v>0</v>
      </c>
      <c r="K18" s="1517"/>
      <c r="L18" s="1517">
        <v>0</v>
      </c>
      <c r="M18" s="1517"/>
      <c r="N18" s="1517">
        <v>0</v>
      </c>
      <c r="O18" s="1519"/>
    </row>
    <row r="19" spans="1:15" ht="24.75" customHeight="1">
      <c r="A19" s="930" t="s">
        <v>843</v>
      </c>
      <c r="B19" s="1509" t="s">
        <v>844</v>
      </c>
      <c r="C19" s="1509"/>
      <c r="D19" s="1518">
        <v>0</v>
      </c>
      <c r="E19" s="1518"/>
      <c r="F19" s="1518">
        <v>0</v>
      </c>
      <c r="G19" s="1518"/>
      <c r="H19" s="1518">
        <v>0</v>
      </c>
      <c r="I19" s="1518"/>
      <c r="J19" s="1518">
        <v>0</v>
      </c>
      <c r="K19" s="1518"/>
      <c r="L19" s="1518">
        <v>0</v>
      </c>
      <c r="M19" s="1518"/>
      <c r="N19" s="1518">
        <v>0</v>
      </c>
      <c r="O19" s="1520"/>
    </row>
    <row r="20" spans="1:15" ht="24.75" customHeight="1">
      <c r="A20" s="930" t="s">
        <v>845</v>
      </c>
      <c r="B20" s="1509" t="s">
        <v>846</v>
      </c>
      <c r="C20" s="1509"/>
      <c r="D20" s="1518">
        <v>0</v>
      </c>
      <c r="E20" s="1518"/>
      <c r="F20" s="1518">
        <v>0</v>
      </c>
      <c r="G20" s="1518"/>
      <c r="H20" s="1518">
        <v>0</v>
      </c>
      <c r="I20" s="1518"/>
      <c r="J20" s="1518">
        <v>0</v>
      </c>
      <c r="K20" s="1518"/>
      <c r="L20" s="1518">
        <v>0</v>
      </c>
      <c r="M20" s="1518"/>
      <c r="N20" s="1518">
        <v>0</v>
      </c>
      <c r="O20" s="1520"/>
    </row>
    <row r="21" spans="1:15" ht="24.75" customHeight="1" thickBot="1">
      <c r="A21" s="931" t="s">
        <v>847</v>
      </c>
      <c r="B21" s="1510" t="s">
        <v>848</v>
      </c>
      <c r="C21" s="1510"/>
      <c r="D21" s="1521">
        <v>0</v>
      </c>
      <c r="E21" s="1521"/>
      <c r="F21" s="1521">
        <v>0</v>
      </c>
      <c r="G21" s="1521"/>
      <c r="H21" s="1521">
        <v>0</v>
      </c>
      <c r="I21" s="1521"/>
      <c r="J21" s="1521">
        <v>0</v>
      </c>
      <c r="K21" s="1521"/>
      <c r="L21" s="1521">
        <v>0</v>
      </c>
      <c r="M21" s="1521"/>
      <c r="N21" s="1521">
        <v>0</v>
      </c>
      <c r="O21" s="1523"/>
    </row>
    <row r="22" spans="2:3" ht="30" customHeight="1">
      <c r="B22" s="1512"/>
      <c r="C22" s="1512"/>
    </row>
    <row r="23" spans="2:3" ht="30" customHeight="1">
      <c r="B23" s="1512"/>
      <c r="C23" s="1512"/>
    </row>
  </sheetData>
  <mergeCells count="117">
    <mergeCell ref="A1:O1"/>
    <mergeCell ref="A3:O3"/>
    <mergeCell ref="A5:A6"/>
    <mergeCell ref="B5:C6"/>
    <mergeCell ref="J5:K6"/>
    <mergeCell ref="L5:M6"/>
    <mergeCell ref="N5:O6"/>
    <mergeCell ref="L21:M21"/>
    <mergeCell ref="N21:O21"/>
    <mergeCell ref="D20:E20"/>
    <mergeCell ref="F20:G20"/>
    <mergeCell ref="D21:E21"/>
    <mergeCell ref="F21:G21"/>
    <mergeCell ref="H21:I21"/>
    <mergeCell ref="J21:K21"/>
    <mergeCell ref="H20:I20"/>
    <mergeCell ref="J20:K20"/>
    <mergeCell ref="L18:M18"/>
    <mergeCell ref="N18:O18"/>
    <mergeCell ref="L19:M19"/>
    <mergeCell ref="N19:O19"/>
    <mergeCell ref="L20:M20"/>
    <mergeCell ref="N20:O20"/>
    <mergeCell ref="D19:E19"/>
    <mergeCell ref="F19:G19"/>
    <mergeCell ref="H19:I19"/>
    <mergeCell ref="J19:K19"/>
    <mergeCell ref="D18:E18"/>
    <mergeCell ref="F18:G18"/>
    <mergeCell ref="H18:I18"/>
    <mergeCell ref="J18:K18"/>
    <mergeCell ref="L17:M17"/>
    <mergeCell ref="N17:O17"/>
    <mergeCell ref="D16:E16"/>
    <mergeCell ref="F16:G16"/>
    <mergeCell ref="D17:E17"/>
    <mergeCell ref="F17:G17"/>
    <mergeCell ref="H17:I17"/>
    <mergeCell ref="J17:K17"/>
    <mergeCell ref="H16:I16"/>
    <mergeCell ref="J16:K16"/>
    <mergeCell ref="L14:M14"/>
    <mergeCell ref="N14:O14"/>
    <mergeCell ref="L15:M15"/>
    <mergeCell ref="N15:O15"/>
    <mergeCell ref="L16:M16"/>
    <mergeCell ref="N16:O16"/>
    <mergeCell ref="D15:E15"/>
    <mergeCell ref="F15:G15"/>
    <mergeCell ref="H15:I15"/>
    <mergeCell ref="J15:K15"/>
    <mergeCell ref="D14:E14"/>
    <mergeCell ref="F14:G14"/>
    <mergeCell ref="H14:I14"/>
    <mergeCell ref="J14:K14"/>
    <mergeCell ref="N12:O12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J10:K10"/>
    <mergeCell ref="L10:M10"/>
    <mergeCell ref="L12:M12"/>
    <mergeCell ref="N10:O10"/>
    <mergeCell ref="D11:E11"/>
    <mergeCell ref="F11:G11"/>
    <mergeCell ref="H11:I11"/>
    <mergeCell ref="J11:K11"/>
    <mergeCell ref="L11:M11"/>
    <mergeCell ref="N11:O11"/>
    <mergeCell ref="F10:G10"/>
    <mergeCell ref="H10:I10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7:E7"/>
    <mergeCell ref="F7:G7"/>
    <mergeCell ref="H7:I7"/>
    <mergeCell ref="J7:K7"/>
    <mergeCell ref="L7:M7"/>
    <mergeCell ref="N7:O7"/>
    <mergeCell ref="B23:C23"/>
    <mergeCell ref="D5:E6"/>
    <mergeCell ref="F5:G6"/>
    <mergeCell ref="H5:I6"/>
    <mergeCell ref="D8:E8"/>
    <mergeCell ref="F8:G8"/>
    <mergeCell ref="H8:I8"/>
    <mergeCell ref="D10:E10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</mergeCells>
  <printOptions/>
  <pageMargins left="1.1811023622047245" right="0.7874015748031497" top="0.3937007874015748" bottom="0.3937007874015748" header="0.5118110236220472" footer="0.5118110236220472"/>
  <pageSetup firstPageNumber="79" useFirstPageNumber="1" horizontalDpi="600" verticalDpi="60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6"/>
  <sheetViews>
    <sheetView showZeros="0" zoomScalePageLayoutView="0" workbookViewId="0" topLeftCell="A12">
      <selection activeCell="D134" sqref="D134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4" width="12.125" style="27" customWidth="1"/>
    <col min="5" max="5" width="12.875" style="27" customWidth="1"/>
    <col min="6" max="16384" width="9.125" style="27" customWidth="1"/>
  </cols>
  <sheetData>
    <row r="1" spans="1:6" ht="12.75">
      <c r="A1" s="1276" t="s">
        <v>1091</v>
      </c>
      <c r="B1" s="1276"/>
      <c r="C1" s="1277"/>
      <c r="D1" s="1271"/>
      <c r="E1" s="1271"/>
      <c r="F1" s="1271"/>
    </row>
    <row r="2" spans="1:6" ht="12.75">
      <c r="A2" s="1276" t="s">
        <v>881</v>
      </c>
      <c r="B2" s="1276"/>
      <c r="C2" s="1277"/>
      <c r="D2" s="1271"/>
      <c r="E2" s="1271"/>
      <c r="F2" s="1271"/>
    </row>
    <row r="3" spans="1:3" ht="9" customHeight="1">
      <c r="A3" s="268"/>
      <c r="B3" s="268"/>
      <c r="C3" s="141"/>
    </row>
    <row r="4" spans="1:6" ht="12" customHeight="1">
      <c r="A4" s="209"/>
      <c r="B4" s="208"/>
      <c r="C4" s="178"/>
      <c r="F4" s="178" t="s">
        <v>1060</v>
      </c>
    </row>
    <row r="5" spans="1:6" s="29" customFormat="1" ht="12" customHeight="1">
      <c r="A5" s="226"/>
      <c r="B5" s="28"/>
      <c r="C5" s="205" t="s">
        <v>930</v>
      </c>
      <c r="D5" s="1263" t="s">
        <v>302</v>
      </c>
      <c r="E5" s="1263" t="s">
        <v>850</v>
      </c>
      <c r="F5" s="1263" t="s">
        <v>231</v>
      </c>
    </row>
    <row r="6" spans="1:6" s="29" customFormat="1" ht="12" customHeight="1">
      <c r="A6" s="3" t="s">
        <v>1080</v>
      </c>
      <c r="B6" s="3" t="s">
        <v>1015</v>
      </c>
      <c r="C6" s="15" t="s">
        <v>194</v>
      </c>
      <c r="D6" s="1278"/>
      <c r="E6" s="1278"/>
      <c r="F6" s="1278"/>
    </row>
    <row r="7" spans="1:6" s="29" customFormat="1" ht="12.75" customHeight="1" thickBot="1">
      <c r="A7" s="30"/>
      <c r="B7" s="30"/>
      <c r="C7" s="15" t="s">
        <v>195</v>
      </c>
      <c r="D7" s="1279"/>
      <c r="E7" s="1279"/>
      <c r="F7" s="1279"/>
    </row>
    <row r="8" spans="1:6" ht="12" customHeight="1">
      <c r="A8" s="4" t="s">
        <v>1016</v>
      </c>
      <c r="B8" s="5" t="s">
        <v>1017</v>
      </c>
      <c r="C8" s="95" t="s">
        <v>1018</v>
      </c>
      <c r="D8" s="95" t="s">
        <v>1019</v>
      </c>
      <c r="E8" s="95" t="s">
        <v>1020</v>
      </c>
      <c r="F8" s="95" t="s">
        <v>1148</v>
      </c>
    </row>
    <row r="9" spans="1:6" ht="15" customHeight="1">
      <c r="A9" s="4"/>
      <c r="B9" s="332" t="s">
        <v>1092</v>
      </c>
      <c r="C9" s="10"/>
      <c r="D9" s="10"/>
      <c r="E9" s="10"/>
      <c r="F9" s="7"/>
    </row>
    <row r="10" spans="1:6" ht="8.25" customHeight="1">
      <c r="A10" s="4"/>
      <c r="B10" s="245"/>
      <c r="C10" s="10"/>
      <c r="D10" s="10"/>
      <c r="E10" s="10"/>
      <c r="F10" s="10"/>
    </row>
    <row r="11" spans="1:6" ht="12">
      <c r="A11" s="6">
        <v>1710</v>
      </c>
      <c r="B11" s="6" t="s">
        <v>1199</v>
      </c>
      <c r="C11" s="6">
        <f>SUM(C12+C13+C14+C15+C16+C17+C19)</f>
        <v>2003094</v>
      </c>
      <c r="D11" s="6">
        <f>SUM(D12+D13+D14+D15+D16+D17+D19+D18)</f>
        <v>2092510</v>
      </c>
      <c r="E11" s="6">
        <f>SUM(E12+E13+E14+E15+E16+E17+E19+E18)</f>
        <v>1879603</v>
      </c>
      <c r="F11" s="571">
        <f>SUM(E11/D11)</f>
        <v>0.8982528159961004</v>
      </c>
    </row>
    <row r="12" spans="1:6" ht="12">
      <c r="A12" s="10">
        <v>1711</v>
      </c>
      <c r="B12" s="10" t="s">
        <v>1093</v>
      </c>
      <c r="C12" s="10">
        <f>SUM('3a.m.'!C82)</f>
        <v>1129374</v>
      </c>
      <c r="D12" s="10">
        <f>SUM('3a.m.'!D82)</f>
        <v>1178559</v>
      </c>
      <c r="E12" s="10">
        <f>SUM('3a.m.'!E82)</f>
        <v>1138103</v>
      </c>
      <c r="F12" s="933">
        <f aca="true" t="shared" si="0" ref="F12:F75">SUM(E12/D12)</f>
        <v>0.9656733349794113</v>
      </c>
    </row>
    <row r="13" spans="1:6" ht="12">
      <c r="A13" s="10">
        <v>1712</v>
      </c>
      <c r="B13" s="10" t="s">
        <v>865</v>
      </c>
      <c r="C13" s="10">
        <f>SUM('3a.m.'!C83)</f>
        <v>281357</v>
      </c>
      <c r="D13" s="10">
        <f>SUM('3a.m.'!D83)</f>
        <v>334022</v>
      </c>
      <c r="E13" s="10">
        <f>SUM('3a.m.'!E83)</f>
        <v>307920</v>
      </c>
      <c r="F13" s="933">
        <f t="shared" si="0"/>
        <v>0.9218554466472269</v>
      </c>
    </row>
    <row r="14" spans="1:6" ht="12">
      <c r="A14" s="10">
        <v>1713</v>
      </c>
      <c r="B14" s="10" t="s">
        <v>866</v>
      </c>
      <c r="C14" s="10">
        <f>SUM('3a.m.'!C84)</f>
        <v>482121</v>
      </c>
      <c r="D14" s="10">
        <f>SUM('3a.m.'!D84)</f>
        <v>473474</v>
      </c>
      <c r="E14" s="10">
        <f>SUM('3a.m.'!E84)</f>
        <v>369165</v>
      </c>
      <c r="F14" s="933">
        <f t="shared" si="0"/>
        <v>0.779694344356818</v>
      </c>
    </row>
    <row r="15" spans="1:6" ht="12">
      <c r="A15" s="10">
        <v>1714</v>
      </c>
      <c r="B15" s="10" t="s">
        <v>1115</v>
      </c>
      <c r="C15" s="10">
        <f>SUM('3a.m.'!C85)</f>
        <v>0</v>
      </c>
      <c r="D15" s="10">
        <f>SUM('3a.m.'!D85)</f>
        <v>0</v>
      </c>
      <c r="E15" s="10">
        <f>SUM('3a.m.'!E85)</f>
        <v>0</v>
      </c>
      <c r="F15" s="933"/>
    </row>
    <row r="16" spans="1:6" ht="12">
      <c r="A16" s="10">
        <v>1715</v>
      </c>
      <c r="B16" s="10" t="s">
        <v>912</v>
      </c>
      <c r="C16" s="10">
        <f>SUM('3a.m.'!C86)</f>
        <v>0</v>
      </c>
      <c r="D16" s="10">
        <f>SUM('3a.m.'!D86)</f>
        <v>268</v>
      </c>
      <c r="E16" s="10">
        <f>SUM('3a.m.'!E86)</f>
        <v>268</v>
      </c>
      <c r="F16" s="933">
        <f t="shared" si="0"/>
        <v>1</v>
      </c>
    </row>
    <row r="17" spans="1:6" ht="12">
      <c r="A17" s="10">
        <v>1716</v>
      </c>
      <c r="B17" s="10" t="s">
        <v>871</v>
      </c>
      <c r="C17" s="10">
        <f>SUM('3a.m.'!C90)</f>
        <v>85242</v>
      </c>
      <c r="D17" s="10">
        <f>SUM('3a.m.'!D90)</f>
        <v>100871</v>
      </c>
      <c r="E17" s="10">
        <f>SUM('3a.m.'!E90)</f>
        <v>58831</v>
      </c>
      <c r="F17" s="933">
        <f t="shared" si="0"/>
        <v>0.5832300661240595</v>
      </c>
    </row>
    <row r="18" spans="1:6" ht="12">
      <c r="A18" s="10">
        <v>1717</v>
      </c>
      <c r="B18" s="10" t="s">
        <v>870</v>
      </c>
      <c r="C18" s="10"/>
      <c r="D18" s="10">
        <f>SUM('3a.m.'!D89)</f>
        <v>5316</v>
      </c>
      <c r="E18" s="10">
        <f>SUM('3a.m.'!E89)</f>
        <v>5316</v>
      </c>
      <c r="F18" s="933">
        <f t="shared" si="0"/>
        <v>1</v>
      </c>
    </row>
    <row r="19" spans="1:6" ht="12">
      <c r="A19" s="10">
        <v>1718</v>
      </c>
      <c r="B19" s="7" t="s">
        <v>1094</v>
      </c>
      <c r="C19" s="10">
        <f>SUM('3a.m.'!C93)</f>
        <v>25000</v>
      </c>
      <c r="D19" s="10">
        <f>SUM('3a.m.'!D93)</f>
        <v>0</v>
      </c>
      <c r="E19" s="10">
        <f>SUM('3a.m.'!E93)</f>
        <v>0</v>
      </c>
      <c r="F19" s="571"/>
    </row>
    <row r="20" spans="1:6" ht="9.75" customHeight="1">
      <c r="A20" s="10"/>
      <c r="B20" s="10"/>
      <c r="C20" s="10"/>
      <c r="D20" s="10"/>
      <c r="E20" s="10"/>
      <c r="F20" s="571"/>
    </row>
    <row r="21" spans="1:6" ht="12">
      <c r="A21" s="171">
        <v>1720</v>
      </c>
      <c r="B21" s="171" t="s">
        <v>1200</v>
      </c>
      <c r="C21" s="171">
        <f>SUM(C22)</f>
        <v>135000</v>
      </c>
      <c r="D21" s="171">
        <f>SUM(D22)</f>
        <v>152000</v>
      </c>
      <c r="E21" s="171">
        <f>SUM(E22)</f>
        <v>114324</v>
      </c>
      <c r="F21" s="571">
        <f t="shared" si="0"/>
        <v>0.7521315789473684</v>
      </c>
    </row>
    <row r="22" spans="1:6" ht="12">
      <c r="A22" s="10">
        <v>1721</v>
      </c>
      <c r="B22" s="7" t="s">
        <v>870</v>
      </c>
      <c r="C22" s="10">
        <f>SUM('4.mell.'!C122)</f>
        <v>135000</v>
      </c>
      <c r="D22" s="10">
        <f>SUM('4.mell.'!D124)</f>
        <v>152000</v>
      </c>
      <c r="E22" s="10">
        <f>SUM('4.mell.'!E124)</f>
        <v>114324</v>
      </c>
      <c r="F22" s="933">
        <f t="shared" si="0"/>
        <v>0.7521315789473684</v>
      </c>
    </row>
    <row r="23" spans="1:6" ht="9.75" customHeight="1">
      <c r="A23" s="10"/>
      <c r="B23" s="10"/>
      <c r="C23" s="10"/>
      <c r="D23" s="10"/>
      <c r="E23" s="10"/>
      <c r="F23" s="571"/>
    </row>
    <row r="24" spans="1:6" ht="12">
      <c r="A24" s="171">
        <v>1730</v>
      </c>
      <c r="B24" s="171" t="s">
        <v>1201</v>
      </c>
      <c r="C24" s="171">
        <f>SUM(C26)</f>
        <v>45000</v>
      </c>
      <c r="D24" s="171">
        <f>SUM(D25:D26)</f>
        <v>45000</v>
      </c>
      <c r="E24" s="171">
        <f>SUM(E25:E26)</f>
        <v>8006</v>
      </c>
      <c r="F24" s="571">
        <f t="shared" si="0"/>
        <v>0.1779111111111111</v>
      </c>
    </row>
    <row r="25" spans="1:6" ht="12">
      <c r="A25" s="169">
        <v>1731</v>
      </c>
      <c r="B25" s="169" t="s">
        <v>866</v>
      </c>
      <c r="C25" s="171"/>
      <c r="D25" s="169">
        <f>SUM('5.mell. '!D42)</f>
        <v>559</v>
      </c>
      <c r="E25" s="169">
        <f>SUM('5.mell. '!E42)</f>
        <v>559</v>
      </c>
      <c r="F25" s="933">
        <f t="shared" si="0"/>
        <v>1</v>
      </c>
    </row>
    <row r="26" spans="1:6" ht="12">
      <c r="A26" s="10">
        <v>1732</v>
      </c>
      <c r="B26" s="7" t="s">
        <v>871</v>
      </c>
      <c r="C26" s="10">
        <f>SUM('5.mell. '!C43)</f>
        <v>45000</v>
      </c>
      <c r="D26" s="10">
        <f>SUM('5.mell. '!D43)-'5.mell. '!D42</f>
        <v>44441</v>
      </c>
      <c r="E26" s="10">
        <f>SUM('5.mell. '!E43)-'5.mell. '!E42</f>
        <v>7447</v>
      </c>
      <c r="F26" s="933">
        <f t="shared" si="0"/>
        <v>0.16757048671272023</v>
      </c>
    </row>
    <row r="27" spans="1:6" ht="8.25" customHeight="1">
      <c r="A27" s="10"/>
      <c r="B27" s="10"/>
      <c r="C27" s="10"/>
      <c r="D27" s="10"/>
      <c r="E27" s="10"/>
      <c r="F27" s="571"/>
    </row>
    <row r="28" spans="1:6" ht="12.75">
      <c r="A28" s="10"/>
      <c r="B28" s="333" t="s">
        <v>1177</v>
      </c>
      <c r="C28" s="10"/>
      <c r="D28" s="10"/>
      <c r="E28" s="10"/>
      <c r="F28" s="571"/>
    </row>
    <row r="29" spans="1:6" ht="6.75" customHeight="1">
      <c r="A29" s="10"/>
      <c r="B29" s="10"/>
      <c r="C29" s="10"/>
      <c r="D29" s="10"/>
      <c r="E29" s="10"/>
      <c r="F29" s="571"/>
    </row>
    <row r="30" spans="1:6" ht="12">
      <c r="A30" s="171">
        <v>1740</v>
      </c>
      <c r="B30" s="171" t="s">
        <v>879</v>
      </c>
      <c r="C30" s="171">
        <f>SUM(C31:C38)</f>
        <v>226527</v>
      </c>
      <c r="D30" s="171">
        <f>SUM(D31:D38)</f>
        <v>225393</v>
      </c>
      <c r="E30" s="171">
        <f>SUM(E31:E38)</f>
        <v>220803</v>
      </c>
      <c r="F30" s="571">
        <f t="shared" si="0"/>
        <v>0.9796355698712915</v>
      </c>
    </row>
    <row r="31" spans="1:6" ht="12">
      <c r="A31" s="10">
        <v>1741</v>
      </c>
      <c r="B31" s="10" t="s">
        <v>1093</v>
      </c>
      <c r="C31" s="10">
        <f>SUM('3b.m.'!C23)</f>
        <v>142952</v>
      </c>
      <c r="D31" s="10">
        <f>SUM('3b.m.'!D23)</f>
        <v>130834</v>
      </c>
      <c r="E31" s="10">
        <f>SUM('3b.m.'!E23)</f>
        <v>130473</v>
      </c>
      <c r="F31" s="933">
        <f t="shared" si="0"/>
        <v>0.9972407783909382</v>
      </c>
    </row>
    <row r="32" spans="1:6" ht="12">
      <c r="A32" s="10">
        <v>1742</v>
      </c>
      <c r="B32" s="10" t="s">
        <v>865</v>
      </c>
      <c r="C32" s="10">
        <f>SUM('3b.m.'!C24)</f>
        <v>39849</v>
      </c>
      <c r="D32" s="10">
        <f>SUM('3b.m.'!D24)</f>
        <v>35285</v>
      </c>
      <c r="E32" s="10">
        <f>SUM('3b.m.'!E24)</f>
        <v>34609</v>
      </c>
      <c r="F32" s="933">
        <f t="shared" si="0"/>
        <v>0.980841717443673</v>
      </c>
    </row>
    <row r="33" spans="1:6" ht="12">
      <c r="A33" s="10">
        <v>1743</v>
      </c>
      <c r="B33" s="10" t="s">
        <v>866</v>
      </c>
      <c r="C33" s="10">
        <f>SUM('3b.m.'!C25)</f>
        <v>28726</v>
      </c>
      <c r="D33" s="10">
        <f>SUM('3b.m.'!D25)</f>
        <v>38224</v>
      </c>
      <c r="E33" s="10">
        <f>SUM('3b.m.'!E25)</f>
        <v>34672</v>
      </c>
      <c r="F33" s="933">
        <f t="shared" si="0"/>
        <v>0.907074089577229</v>
      </c>
    </row>
    <row r="34" spans="1:6" ht="12">
      <c r="A34" s="10">
        <v>1744</v>
      </c>
      <c r="B34" s="10" t="s">
        <v>1115</v>
      </c>
      <c r="C34" s="10">
        <f>SUM('3b.m.'!C26)</f>
        <v>0</v>
      </c>
      <c r="D34" s="10">
        <f>SUM('3b.m.'!D26)</f>
        <v>0</v>
      </c>
      <c r="E34" s="10">
        <f>SUM('3b.m.'!E26)</f>
        <v>0</v>
      </c>
      <c r="F34" s="571"/>
    </row>
    <row r="35" spans="1:6" ht="12">
      <c r="A35" s="10">
        <v>1745</v>
      </c>
      <c r="B35" s="10" t="s">
        <v>912</v>
      </c>
      <c r="C35" s="10">
        <f>SUM('3b.m.'!C27)</f>
        <v>0</v>
      </c>
      <c r="D35" s="10">
        <f>SUM('3b.m.'!D27)</f>
        <v>0</v>
      </c>
      <c r="E35" s="10">
        <f>SUM('3b.m.'!E27)</f>
        <v>0</v>
      </c>
      <c r="F35" s="571"/>
    </row>
    <row r="36" spans="1:6" ht="12">
      <c r="A36" s="10">
        <v>1746</v>
      </c>
      <c r="B36" s="10" t="s">
        <v>871</v>
      </c>
      <c r="C36" s="10">
        <f>SUM('3b.m.'!C32)</f>
        <v>15000</v>
      </c>
      <c r="D36" s="10">
        <f>SUM('3b.m.'!D32)</f>
        <v>16383</v>
      </c>
      <c r="E36" s="10">
        <f>SUM('3b.m.'!E32)</f>
        <v>16382</v>
      </c>
      <c r="F36" s="933">
        <f t="shared" si="0"/>
        <v>0.9999389611182323</v>
      </c>
    </row>
    <row r="37" spans="1:6" ht="12">
      <c r="A37" s="10">
        <v>1747</v>
      </c>
      <c r="B37" s="10" t="s">
        <v>870</v>
      </c>
      <c r="C37" s="10"/>
      <c r="D37" s="10">
        <f>SUM('3b.m.'!D31)</f>
        <v>4667</v>
      </c>
      <c r="E37" s="10">
        <f>SUM('3b.m.'!E31)</f>
        <v>4667</v>
      </c>
      <c r="F37" s="933">
        <f t="shared" si="0"/>
        <v>1</v>
      </c>
    </row>
    <row r="38" spans="1:6" ht="12">
      <c r="A38" s="10">
        <v>1748</v>
      </c>
      <c r="B38" s="7" t="s">
        <v>1094</v>
      </c>
      <c r="C38" s="10"/>
      <c r="D38" s="10"/>
      <c r="E38" s="10"/>
      <c r="F38" s="571"/>
    </row>
    <row r="39" spans="1:6" ht="7.5" customHeight="1">
      <c r="A39" s="10"/>
      <c r="B39" s="10"/>
      <c r="C39" s="10"/>
      <c r="D39" s="10"/>
      <c r="E39" s="10"/>
      <c r="F39" s="571"/>
    </row>
    <row r="40" spans="1:6" ht="12.75">
      <c r="A40" s="10"/>
      <c r="B40" s="333" t="s">
        <v>1178</v>
      </c>
      <c r="C40" s="10"/>
      <c r="D40" s="10"/>
      <c r="E40" s="10"/>
      <c r="F40" s="571"/>
    </row>
    <row r="41" spans="1:6" ht="7.5" customHeight="1">
      <c r="A41" s="4"/>
      <c r="B41" s="245"/>
      <c r="C41" s="10"/>
      <c r="D41" s="10"/>
      <c r="E41" s="10"/>
      <c r="F41" s="571"/>
    </row>
    <row r="42" spans="1:6" ht="12">
      <c r="A42" s="11">
        <v>1750</v>
      </c>
      <c r="B42" s="11" t="s">
        <v>1182</v>
      </c>
      <c r="C42" s="11">
        <f>SUM(C43:C51)</f>
        <v>4122259</v>
      </c>
      <c r="D42" s="11">
        <f>SUM(D43:D51)</f>
        <v>4503784</v>
      </c>
      <c r="E42" s="11">
        <f>SUM(E43:E51)</f>
        <v>3813225</v>
      </c>
      <c r="F42" s="571">
        <f t="shared" si="0"/>
        <v>0.8466713767800588</v>
      </c>
    </row>
    <row r="43" spans="1:6" ht="12">
      <c r="A43" s="10">
        <v>1751</v>
      </c>
      <c r="B43" s="10" t="s">
        <v>1093</v>
      </c>
      <c r="C43" s="10">
        <f>SUM('3c.m. '!C737)</f>
        <v>35172</v>
      </c>
      <c r="D43" s="10">
        <f>SUM('3c.m. '!D737)</f>
        <v>84164</v>
      </c>
      <c r="E43" s="10">
        <f>SUM('3c.m. '!E737)</f>
        <v>40917</v>
      </c>
      <c r="F43" s="933">
        <f t="shared" si="0"/>
        <v>0.48615797728244853</v>
      </c>
    </row>
    <row r="44" spans="1:6" ht="12">
      <c r="A44" s="10">
        <v>1752</v>
      </c>
      <c r="B44" s="10" t="s">
        <v>865</v>
      </c>
      <c r="C44" s="10">
        <f>SUM('3c.m. '!C738)</f>
        <v>14220</v>
      </c>
      <c r="D44" s="10">
        <f>SUM('3c.m. '!D738)</f>
        <v>18451</v>
      </c>
      <c r="E44" s="10">
        <f>SUM('3c.m. '!E738)</f>
        <v>12432</v>
      </c>
      <c r="F44" s="933">
        <f t="shared" si="0"/>
        <v>0.6737846187198526</v>
      </c>
    </row>
    <row r="45" spans="1:6" ht="12">
      <c r="A45" s="10">
        <v>1753</v>
      </c>
      <c r="B45" s="10" t="s">
        <v>866</v>
      </c>
      <c r="C45" s="10">
        <f>SUM('3c.m. '!C739)</f>
        <v>3226145</v>
      </c>
      <c r="D45" s="10">
        <f>SUM('3c.m. '!D739)</f>
        <v>3252566</v>
      </c>
      <c r="E45" s="10">
        <f>SUM('3c.m. '!E739)</f>
        <v>2771337</v>
      </c>
      <c r="F45" s="933">
        <f t="shared" si="0"/>
        <v>0.852046353555931</v>
      </c>
    </row>
    <row r="46" spans="1:6" ht="12">
      <c r="A46" s="10">
        <v>1754</v>
      </c>
      <c r="B46" s="10" t="s">
        <v>1115</v>
      </c>
      <c r="C46" s="10">
        <f>SUM('3c.m. '!C740)</f>
        <v>170362</v>
      </c>
      <c r="D46" s="10">
        <f>SUM('3c.m. '!D740)</f>
        <v>75789</v>
      </c>
      <c r="E46" s="10">
        <f>SUM('3c.m. '!E740)</f>
        <v>69865</v>
      </c>
      <c r="F46" s="933">
        <f t="shared" si="0"/>
        <v>0.9218356225837523</v>
      </c>
    </row>
    <row r="47" spans="1:6" ht="12">
      <c r="A47" s="10">
        <v>1755</v>
      </c>
      <c r="B47" s="10" t="s">
        <v>912</v>
      </c>
      <c r="C47" s="10">
        <f>SUM('3c.m. '!C741)</f>
        <v>3500</v>
      </c>
      <c r="D47" s="10">
        <f>SUM('3c.m. '!D741)</f>
        <v>3666</v>
      </c>
      <c r="E47" s="10">
        <f>SUM('3c.m. '!E741)</f>
        <v>1331</v>
      </c>
      <c r="F47" s="933">
        <f t="shared" si="0"/>
        <v>0.3630660120021822</v>
      </c>
    </row>
    <row r="48" spans="1:6" ht="12">
      <c r="A48" s="10">
        <v>1756</v>
      </c>
      <c r="B48" s="10" t="s">
        <v>1383</v>
      </c>
      <c r="C48" s="10">
        <f>SUM('3c.m. '!C742)</f>
        <v>172860</v>
      </c>
      <c r="D48" s="10">
        <f>SUM('3c.m. '!D742)</f>
        <v>482197</v>
      </c>
      <c r="E48" s="10">
        <f>SUM('3c.m. '!E742)</f>
        <v>475493</v>
      </c>
      <c r="F48" s="933">
        <f t="shared" si="0"/>
        <v>0.9860969686663335</v>
      </c>
    </row>
    <row r="49" spans="1:6" ht="12">
      <c r="A49" s="7">
        <v>1757</v>
      </c>
      <c r="B49" s="7" t="s">
        <v>870</v>
      </c>
      <c r="C49" s="10">
        <f>SUM('3c.m. '!C745)</f>
        <v>0</v>
      </c>
      <c r="D49" s="10">
        <f>SUM('3c.m. '!D745)</f>
        <v>2356</v>
      </c>
      <c r="E49" s="10">
        <f>SUM('3c.m. '!E745)</f>
        <v>2605</v>
      </c>
      <c r="F49" s="933">
        <f t="shared" si="0"/>
        <v>1.1056876061120544</v>
      </c>
    </row>
    <row r="50" spans="1:6" ht="12">
      <c r="A50" s="10">
        <v>1758</v>
      </c>
      <c r="B50" s="10" t="s">
        <v>871</v>
      </c>
      <c r="C50" s="10">
        <f>SUM('3c.m. '!C746)</f>
        <v>0</v>
      </c>
      <c r="D50" s="10">
        <f>SUM('3c.m. '!D746)</f>
        <v>85202</v>
      </c>
      <c r="E50" s="10">
        <f>SUM('3c.m. '!E746)</f>
        <v>88891</v>
      </c>
      <c r="F50" s="933">
        <f t="shared" si="0"/>
        <v>1.0432971057017442</v>
      </c>
    </row>
    <row r="51" spans="1:6" ht="12">
      <c r="A51" s="10">
        <v>1759</v>
      </c>
      <c r="B51" s="10" t="s">
        <v>1390</v>
      </c>
      <c r="C51" s="10">
        <f>SUM('3c.m. '!C747)</f>
        <v>500000</v>
      </c>
      <c r="D51" s="10">
        <f>SUM('3c.m. '!D747)</f>
        <v>499393</v>
      </c>
      <c r="E51" s="10">
        <f>SUM('3c.m. '!E747)</f>
        <v>350354</v>
      </c>
      <c r="F51" s="933">
        <f t="shared" si="0"/>
        <v>0.70155969346787</v>
      </c>
    </row>
    <row r="52" spans="1:6" ht="12">
      <c r="A52" s="6">
        <v>1760</v>
      </c>
      <c r="B52" s="6" t="s">
        <v>1208</v>
      </c>
      <c r="C52" s="6">
        <f>SUM(C53:C59)</f>
        <v>880182</v>
      </c>
      <c r="D52" s="6">
        <f>SUM(D53:D59)</f>
        <v>917807</v>
      </c>
      <c r="E52" s="6">
        <f>SUM(E53:E59)</f>
        <v>904433</v>
      </c>
      <c r="F52" s="571">
        <f t="shared" si="0"/>
        <v>0.9854283090017836</v>
      </c>
    </row>
    <row r="53" spans="1:6" ht="12">
      <c r="A53" s="10">
        <v>1761</v>
      </c>
      <c r="B53" s="10" t="s">
        <v>1093</v>
      </c>
      <c r="C53" s="7">
        <f>SUM('3d.m. '!C58)</f>
        <v>0</v>
      </c>
      <c r="D53" s="7">
        <f>SUM('3d.m. '!D58)</f>
        <v>0</v>
      </c>
      <c r="E53" s="7">
        <f>SUM('3d.m. '!E58)</f>
        <v>0</v>
      </c>
      <c r="F53" s="571"/>
    </row>
    <row r="54" spans="1:6" ht="12">
      <c r="A54" s="7">
        <v>1762</v>
      </c>
      <c r="B54" s="7" t="s">
        <v>865</v>
      </c>
      <c r="C54" s="7">
        <f>SUM('3d.m. '!C59)</f>
        <v>0</v>
      </c>
      <c r="D54" s="7">
        <f>SUM('3d.m. '!D59)</f>
        <v>0</v>
      </c>
      <c r="E54" s="7">
        <f>SUM('3d.m. '!E59)</f>
        <v>0</v>
      </c>
      <c r="F54" s="571"/>
    </row>
    <row r="55" spans="1:6" ht="12">
      <c r="A55" s="10">
        <v>1763</v>
      </c>
      <c r="B55" s="10" t="s">
        <v>866</v>
      </c>
      <c r="C55" s="7">
        <f>SUM('3d.m. '!C60)</f>
        <v>0</v>
      </c>
      <c r="D55" s="7">
        <f>SUM('3d.m. '!D60)</f>
        <v>0</v>
      </c>
      <c r="E55" s="7">
        <f>SUM('3d.m. '!E60)</f>
        <v>0</v>
      </c>
      <c r="F55" s="571"/>
    </row>
    <row r="56" spans="1:6" ht="12">
      <c r="A56" s="10">
        <v>1764</v>
      </c>
      <c r="B56" s="10" t="s">
        <v>1115</v>
      </c>
      <c r="C56" s="7">
        <f>SUM('3d.m. '!C61)</f>
        <v>880182</v>
      </c>
      <c r="D56" s="7">
        <f>SUM('3d.m. '!D61)</f>
        <v>898769</v>
      </c>
      <c r="E56" s="7">
        <f>SUM('3d.m. '!E61)</f>
        <v>883345</v>
      </c>
      <c r="F56" s="933">
        <f t="shared" si="0"/>
        <v>0.9828387494450743</v>
      </c>
    </row>
    <row r="57" spans="1:6" ht="12">
      <c r="A57" s="10">
        <v>1765</v>
      </c>
      <c r="B57" s="10" t="s">
        <v>1390</v>
      </c>
      <c r="C57" s="7"/>
      <c r="D57" s="7">
        <f>SUM('3d.m. '!D62)</f>
        <v>19038</v>
      </c>
      <c r="E57" s="7">
        <f>SUM('3d.m. '!E62)</f>
        <v>21088</v>
      </c>
      <c r="F57" s="933">
        <f t="shared" si="0"/>
        <v>1.1076793780859333</v>
      </c>
    </row>
    <row r="58" spans="1:6" ht="12">
      <c r="A58" s="10">
        <v>1766</v>
      </c>
      <c r="B58" s="10" t="s">
        <v>912</v>
      </c>
      <c r="C58" s="7">
        <f>SUM('3d.m. '!C63)</f>
        <v>0</v>
      </c>
      <c r="D58" s="7">
        <f>SUM('3d.m. '!D63)</f>
        <v>0</v>
      </c>
      <c r="E58" s="7">
        <f>SUM('3d.m. '!E63)</f>
        <v>0</v>
      </c>
      <c r="F58" s="571"/>
    </row>
    <row r="59" spans="1:6" ht="12">
      <c r="A59" s="10">
        <v>1767</v>
      </c>
      <c r="B59" s="10" t="s">
        <v>1094</v>
      </c>
      <c r="C59" s="7"/>
      <c r="D59" s="7"/>
      <c r="E59" s="7"/>
      <c r="F59" s="571"/>
    </row>
    <row r="60" spans="1:6" ht="9" customHeight="1">
      <c r="A60" s="4"/>
      <c r="B60" s="245"/>
      <c r="C60" s="10"/>
      <c r="D60" s="10"/>
      <c r="E60" s="10"/>
      <c r="F60" s="571"/>
    </row>
    <row r="61" spans="1:6" ht="12">
      <c r="A61" s="6">
        <v>1770</v>
      </c>
      <c r="B61" s="32" t="s">
        <v>1183</v>
      </c>
      <c r="C61" s="170">
        <f>SUM(C64:C70)-C68</f>
        <v>2355284</v>
      </c>
      <c r="D61" s="170">
        <f>SUM(D62:D70)-D68</f>
        <v>2567290</v>
      </c>
      <c r="E61" s="170">
        <f>SUM(E62:E70)-E68</f>
        <v>1819801</v>
      </c>
      <c r="F61" s="571">
        <f t="shared" si="0"/>
        <v>0.7088412294676487</v>
      </c>
    </row>
    <row r="62" spans="1:6" ht="12">
      <c r="A62" s="169">
        <v>1771</v>
      </c>
      <c r="B62" s="10" t="s">
        <v>1093</v>
      </c>
      <c r="C62" s="6"/>
      <c r="D62" s="177">
        <f>SUM('4.mell.'!D126)</f>
        <v>789</v>
      </c>
      <c r="E62" s="177">
        <f>SUM('4.mell.'!E126)</f>
        <v>789</v>
      </c>
      <c r="F62" s="933">
        <f t="shared" si="0"/>
        <v>1</v>
      </c>
    </row>
    <row r="63" spans="1:6" ht="12">
      <c r="A63" s="169">
        <v>1772</v>
      </c>
      <c r="B63" s="10" t="s">
        <v>865</v>
      </c>
      <c r="C63" s="6"/>
      <c r="D63" s="177">
        <f>SUM('4.mell.'!D127)</f>
        <v>205</v>
      </c>
      <c r="E63" s="177">
        <f>SUM('4.mell.'!E127)</f>
        <v>205</v>
      </c>
      <c r="F63" s="933">
        <f t="shared" si="0"/>
        <v>1</v>
      </c>
    </row>
    <row r="64" spans="1:6" ht="12">
      <c r="A64" s="10">
        <v>1773</v>
      </c>
      <c r="B64" s="10" t="s">
        <v>866</v>
      </c>
      <c r="C64" s="7">
        <f>SUM('4.mell.'!C128)</f>
        <v>95000</v>
      </c>
      <c r="D64" s="7">
        <f>SUM('4.mell.'!D128)</f>
        <v>191338</v>
      </c>
      <c r="E64" s="7">
        <f>SUM('4.mell.'!E128)</f>
        <v>116398</v>
      </c>
      <c r="F64" s="933">
        <f t="shared" si="0"/>
        <v>0.6083370788865777</v>
      </c>
    </row>
    <row r="65" spans="1:6" ht="12">
      <c r="A65" s="10">
        <v>1774</v>
      </c>
      <c r="B65" s="10" t="s">
        <v>1115</v>
      </c>
      <c r="C65" s="7"/>
      <c r="D65" s="7">
        <f>SUM('4.mell.'!D129)</f>
        <v>1953</v>
      </c>
      <c r="E65" s="7">
        <f>SUM('4.mell.'!E129)</f>
        <v>1953</v>
      </c>
      <c r="F65" s="933">
        <f t="shared" si="0"/>
        <v>1</v>
      </c>
    </row>
    <row r="66" spans="1:6" ht="12">
      <c r="A66" s="10">
        <v>1775</v>
      </c>
      <c r="B66" s="10" t="s">
        <v>872</v>
      </c>
      <c r="C66" s="7">
        <f>SUM('4.mell.'!C135)</f>
        <v>155000</v>
      </c>
      <c r="D66" s="7">
        <f>SUM('4.mell.'!D135)</f>
        <v>176756</v>
      </c>
      <c r="E66" s="7">
        <f>SUM('4.mell.'!E135)</f>
        <v>166370</v>
      </c>
      <c r="F66" s="933">
        <f t="shared" si="0"/>
        <v>0.9412410328362262</v>
      </c>
    </row>
    <row r="67" spans="1:6" ht="12">
      <c r="A67" s="10">
        <v>1776</v>
      </c>
      <c r="B67" s="10" t="s">
        <v>870</v>
      </c>
      <c r="C67" s="7">
        <f>SUM('4.mell.'!C132)-'4.mell.'!C124</f>
        <v>2075284</v>
      </c>
      <c r="D67" s="7">
        <f>SUM('4.mell.'!D132)-'4.mell.'!D124</f>
        <v>2164996</v>
      </c>
      <c r="E67" s="7">
        <f>SUM('4.mell.'!E132)-'4.mell.'!E124</f>
        <v>1512422</v>
      </c>
      <c r="F67" s="933">
        <f t="shared" si="0"/>
        <v>0.6985795816712825</v>
      </c>
    </row>
    <row r="68" spans="1:6" ht="12">
      <c r="A68" s="10"/>
      <c r="B68" s="162" t="s">
        <v>919</v>
      </c>
      <c r="C68" s="168">
        <v>333350</v>
      </c>
      <c r="D68" s="168">
        <v>333350</v>
      </c>
      <c r="E68" s="168"/>
      <c r="F68" s="571">
        <f t="shared" si="0"/>
        <v>0</v>
      </c>
    </row>
    <row r="69" spans="1:6" ht="12">
      <c r="A69" s="10">
        <v>1777</v>
      </c>
      <c r="B69" s="10" t="s">
        <v>871</v>
      </c>
      <c r="C69" s="7"/>
      <c r="D69" s="7">
        <f>SUM('4.mell.'!D134)</f>
        <v>77</v>
      </c>
      <c r="E69" s="7">
        <f>SUM('4.mell.'!E134)</f>
        <v>77</v>
      </c>
      <c r="F69" s="933">
        <f t="shared" si="0"/>
        <v>1</v>
      </c>
    </row>
    <row r="70" spans="1:6" ht="12">
      <c r="A70" s="7">
        <v>1778</v>
      </c>
      <c r="B70" s="7" t="s">
        <v>1094</v>
      </c>
      <c r="C70" s="7">
        <f>SUM('4.mell.'!C137)</f>
        <v>30000</v>
      </c>
      <c r="D70" s="7">
        <f>SUM('4.mell.'!D137)</f>
        <v>31176</v>
      </c>
      <c r="E70" s="7">
        <f>SUM('4.mell.'!E137)</f>
        <v>21587</v>
      </c>
      <c r="F70" s="933">
        <f t="shared" si="0"/>
        <v>0.6924236592250449</v>
      </c>
    </row>
    <row r="71" spans="1:6" ht="9" customHeight="1">
      <c r="A71" s="10"/>
      <c r="B71" s="10"/>
      <c r="C71" s="10"/>
      <c r="D71" s="10"/>
      <c r="E71" s="10"/>
      <c r="F71" s="571"/>
    </row>
    <row r="72" spans="1:6" ht="12">
      <c r="A72" s="6">
        <v>1780</v>
      </c>
      <c r="B72" s="6" t="s">
        <v>1184</v>
      </c>
      <c r="C72" s="6">
        <f>SUM(C75:C77)</f>
        <v>548663</v>
      </c>
      <c r="D72" s="6">
        <f>SUM(D73:D77)</f>
        <v>695987</v>
      </c>
      <c r="E72" s="6">
        <f>SUM(E73:E78)</f>
        <v>216219</v>
      </c>
      <c r="F72" s="571">
        <f t="shared" si="0"/>
        <v>0.3106652854148138</v>
      </c>
    </row>
    <row r="73" spans="1:6" ht="12">
      <c r="A73" s="169">
        <v>1781</v>
      </c>
      <c r="B73" s="10" t="s">
        <v>1093</v>
      </c>
      <c r="C73" s="6"/>
      <c r="D73" s="6"/>
      <c r="E73" s="6"/>
      <c r="F73" s="571"/>
    </row>
    <row r="74" spans="1:6" ht="12">
      <c r="A74" s="169">
        <v>1782</v>
      </c>
      <c r="B74" s="10" t="s">
        <v>865</v>
      </c>
      <c r="C74" s="6"/>
      <c r="D74" s="6"/>
      <c r="E74" s="6"/>
      <c r="F74" s="571"/>
    </row>
    <row r="75" spans="1:6" ht="12">
      <c r="A75" s="10">
        <v>1783</v>
      </c>
      <c r="B75" s="10" t="s">
        <v>866</v>
      </c>
      <c r="C75" s="7">
        <f>SUM('5.mell. '!C47)</f>
        <v>0</v>
      </c>
      <c r="D75" s="7">
        <f>SUM('5.mell. '!D47)-'5.mell. '!D42</f>
        <v>6325</v>
      </c>
      <c r="E75" s="7">
        <f>SUM('5.mell. '!E47)-'5.mell. '!E42</f>
        <v>6325</v>
      </c>
      <c r="F75" s="933">
        <f t="shared" si="0"/>
        <v>1</v>
      </c>
    </row>
    <row r="76" spans="1:6" ht="12">
      <c r="A76" s="10">
        <v>1784</v>
      </c>
      <c r="B76" s="10" t="s">
        <v>870</v>
      </c>
      <c r="C76" s="7">
        <f>SUM('5.mell. '!C48)</f>
        <v>0</v>
      </c>
      <c r="D76" s="7">
        <f>SUM('5.mell. '!D51)</f>
        <v>28849</v>
      </c>
      <c r="E76" s="7">
        <f>SUM('5.mell. '!E51)</f>
        <v>28849</v>
      </c>
      <c r="F76" s="933">
        <f aca="true" t="shared" si="1" ref="F76:F143">SUM(E76/D76)</f>
        <v>1</v>
      </c>
    </row>
    <row r="77" spans="1:6" ht="12">
      <c r="A77" s="7">
        <v>1785</v>
      </c>
      <c r="B77" s="10" t="s">
        <v>871</v>
      </c>
      <c r="C77" s="7">
        <f>SUM('5.mell. '!C54)-'5.mell. '!C43</f>
        <v>548663</v>
      </c>
      <c r="D77" s="7">
        <f>SUM('5.mell. '!D52)-'5.mell. '!D43+'5.mell. '!D42</f>
        <v>660813</v>
      </c>
      <c r="E77" s="7">
        <f>SUM('5.mell. '!E52)-'5.mell. '!E43+'5.mell. '!E42</f>
        <v>156045</v>
      </c>
      <c r="F77" s="933">
        <f t="shared" si="1"/>
        <v>0.2361409354840174</v>
      </c>
    </row>
    <row r="78" spans="1:6" ht="12">
      <c r="A78" s="7">
        <v>1786</v>
      </c>
      <c r="B78" s="10" t="s">
        <v>1236</v>
      </c>
      <c r="C78" s="10"/>
      <c r="D78" s="10"/>
      <c r="E78" s="10">
        <f>SUM('5.mell. '!E55)</f>
        <v>25000</v>
      </c>
      <c r="F78" s="933"/>
    </row>
    <row r="79" spans="1:6" s="29" customFormat="1" ht="9" customHeight="1">
      <c r="A79" s="7"/>
      <c r="B79" s="162"/>
      <c r="C79" s="10"/>
      <c r="D79" s="10"/>
      <c r="E79" s="10"/>
      <c r="F79" s="571"/>
    </row>
    <row r="80" spans="1:6" s="34" customFormat="1" ht="13.5" customHeight="1">
      <c r="A80" s="6">
        <v>1801</v>
      </c>
      <c r="B80" s="11" t="s">
        <v>884</v>
      </c>
      <c r="C80" s="6">
        <v>171340</v>
      </c>
      <c r="D80" s="6">
        <v>133856</v>
      </c>
      <c r="E80" s="6">
        <v>133856</v>
      </c>
      <c r="F80" s="571">
        <f t="shared" si="1"/>
        <v>1</v>
      </c>
    </row>
    <row r="81" spans="1:6" ht="9" customHeight="1">
      <c r="A81" s="170"/>
      <c r="B81" s="171"/>
      <c r="C81" s="170"/>
      <c r="D81" s="170"/>
      <c r="E81" s="170"/>
      <c r="F81" s="571"/>
    </row>
    <row r="82" spans="1:6" ht="14.25" customHeight="1">
      <c r="A82" s="170">
        <v>1803</v>
      </c>
      <c r="B82" s="171" t="s">
        <v>255</v>
      </c>
      <c r="C82" s="170"/>
      <c r="D82" s="170">
        <v>25000</v>
      </c>
      <c r="E82" s="170">
        <v>9733</v>
      </c>
      <c r="F82" s="571">
        <f t="shared" si="1"/>
        <v>0.38932</v>
      </c>
    </row>
    <row r="83" spans="1:6" ht="9" customHeight="1">
      <c r="A83" s="170"/>
      <c r="B83" s="171"/>
      <c r="C83" s="170"/>
      <c r="D83" s="170"/>
      <c r="E83" s="170"/>
      <c r="F83" s="571"/>
    </row>
    <row r="84" spans="1:6" s="34" customFormat="1" ht="12">
      <c r="A84" s="6">
        <v>1804</v>
      </c>
      <c r="B84" s="11" t="s">
        <v>885</v>
      </c>
      <c r="C84" s="6">
        <v>256808</v>
      </c>
      <c r="D84" s="6">
        <v>248147</v>
      </c>
      <c r="E84" s="6">
        <v>248147</v>
      </c>
      <c r="F84" s="571">
        <f t="shared" si="1"/>
        <v>1</v>
      </c>
    </row>
    <row r="85" spans="1:6" s="34" customFormat="1" ht="9" customHeight="1">
      <c r="A85" s="6"/>
      <c r="B85" s="11"/>
      <c r="C85" s="170"/>
      <c r="D85" s="170"/>
      <c r="E85" s="170"/>
      <c r="F85" s="571"/>
    </row>
    <row r="86" spans="1:6" s="34" customFormat="1" ht="12">
      <c r="A86" s="6">
        <v>1805</v>
      </c>
      <c r="B86" s="11" t="s">
        <v>886</v>
      </c>
      <c r="C86" s="28">
        <v>65000</v>
      </c>
      <c r="D86" s="28"/>
      <c r="E86" s="28"/>
      <c r="F86" s="571"/>
    </row>
    <row r="87" spans="1:6" s="34" customFormat="1" ht="9" customHeight="1">
      <c r="A87" s="6"/>
      <c r="B87" s="11"/>
      <c r="C87" s="170"/>
      <c r="D87" s="170"/>
      <c r="E87" s="170"/>
      <c r="F87" s="571"/>
    </row>
    <row r="88" spans="1:6" s="34" customFormat="1" ht="12">
      <c r="A88" s="6">
        <v>1806</v>
      </c>
      <c r="B88" s="11" t="s">
        <v>887</v>
      </c>
      <c r="C88" s="28"/>
      <c r="D88" s="28">
        <v>41329</v>
      </c>
      <c r="E88" s="28">
        <v>41329</v>
      </c>
      <c r="F88" s="571">
        <f t="shared" si="1"/>
        <v>1</v>
      </c>
    </row>
    <row r="89" spans="1:6" s="34" customFormat="1" ht="12">
      <c r="A89" s="6"/>
      <c r="B89" s="11"/>
      <c r="C89" s="28"/>
      <c r="D89" s="28"/>
      <c r="E89" s="28"/>
      <c r="F89" s="571"/>
    </row>
    <row r="90" spans="1:6" s="34" customFormat="1" ht="12">
      <c r="A90" s="6">
        <v>1807</v>
      </c>
      <c r="B90" s="11" t="s">
        <v>273</v>
      </c>
      <c r="C90" s="28"/>
      <c r="D90" s="28">
        <v>8868</v>
      </c>
      <c r="E90" s="28">
        <v>119</v>
      </c>
      <c r="F90" s="571">
        <f t="shared" si="1"/>
        <v>0.013419034731619305</v>
      </c>
    </row>
    <row r="91" spans="1:6" s="34" customFormat="1" ht="9" customHeight="1">
      <c r="A91" s="6"/>
      <c r="B91" s="11"/>
      <c r="C91" s="28"/>
      <c r="D91" s="28"/>
      <c r="E91" s="28"/>
      <c r="F91" s="571"/>
    </row>
    <row r="92" spans="1:6" s="34" customFormat="1" ht="13.5" customHeight="1">
      <c r="A92" s="6">
        <v>1810</v>
      </c>
      <c r="B92" s="6" t="s">
        <v>254</v>
      </c>
      <c r="C92" s="6">
        <f>SUM(C84+C86+C88+C80)</f>
        <v>493148</v>
      </c>
      <c r="D92" s="6">
        <f>SUM(D84+D86+D88+D80+D82+D90)</f>
        <v>457200</v>
      </c>
      <c r="E92" s="6">
        <f>SUM(E84+E86+E88+E80+E82+E90)</f>
        <v>433184</v>
      </c>
      <c r="F92" s="571">
        <f t="shared" si="1"/>
        <v>0.9474715660542432</v>
      </c>
    </row>
    <row r="93" spans="1:6" s="34" customFormat="1" ht="9" customHeight="1">
      <c r="A93" s="6"/>
      <c r="B93" s="11"/>
      <c r="C93" s="170"/>
      <c r="D93" s="170"/>
      <c r="E93" s="170"/>
      <c r="F93" s="571"/>
    </row>
    <row r="94" spans="1:6" s="34" customFormat="1" ht="12">
      <c r="A94" s="177">
        <v>1820</v>
      </c>
      <c r="B94" s="169" t="s">
        <v>1107</v>
      </c>
      <c r="C94" s="177">
        <f>SUM('2.mell'!C1035)</f>
        <v>4515830</v>
      </c>
      <c r="D94" s="177">
        <f>SUM('2.mell'!D1035)</f>
        <v>4779719</v>
      </c>
      <c r="E94" s="177">
        <f>SUM('2.mell'!E1035)</f>
        <v>4645196</v>
      </c>
      <c r="F94" s="933">
        <f t="shared" si="1"/>
        <v>0.9718554584484987</v>
      </c>
    </row>
    <row r="95" spans="1:6" ht="12">
      <c r="A95" s="177">
        <v>1821</v>
      </c>
      <c r="B95" s="169" t="s">
        <v>1108</v>
      </c>
      <c r="C95" s="177">
        <f>SUM('2.mell'!C1036)</f>
        <v>229992</v>
      </c>
      <c r="D95" s="177">
        <f>SUM('2.mell'!D1036)</f>
        <v>229992</v>
      </c>
      <c r="E95" s="177">
        <f>SUM('2.mell'!E1036)</f>
        <v>251758</v>
      </c>
      <c r="F95" s="933">
        <f t="shared" si="1"/>
        <v>1.0946380743678041</v>
      </c>
    </row>
    <row r="96" spans="1:6" ht="12">
      <c r="A96" s="177">
        <v>1822</v>
      </c>
      <c r="B96" s="169" t="s">
        <v>1073</v>
      </c>
      <c r="C96" s="177">
        <f>SUM('2.mell'!C1037)</f>
        <v>47100</v>
      </c>
      <c r="D96" s="177">
        <f>SUM('2.mell'!D1037)</f>
        <v>47100</v>
      </c>
      <c r="E96" s="177">
        <f>SUM('2.mell'!E1037)</f>
        <v>47100</v>
      </c>
      <c r="F96" s="933">
        <f t="shared" si="1"/>
        <v>1</v>
      </c>
    </row>
    <row r="97" spans="1:6" ht="12">
      <c r="A97" s="177">
        <v>1823</v>
      </c>
      <c r="B97" s="169" t="s">
        <v>1166</v>
      </c>
      <c r="C97" s="177">
        <f>SUM('3b.m.'!C14)</f>
        <v>226527</v>
      </c>
      <c r="D97" s="177">
        <f>SUM('3b.m.'!D14)</f>
        <v>222257</v>
      </c>
      <c r="E97" s="177">
        <f>SUM('3b.m.'!E14)</f>
        <v>220932</v>
      </c>
      <c r="F97" s="933">
        <f t="shared" si="1"/>
        <v>0.9940384329852379</v>
      </c>
    </row>
    <row r="98" spans="1:6" ht="12">
      <c r="A98" s="177">
        <v>1824</v>
      </c>
      <c r="B98" s="169" t="s">
        <v>1393</v>
      </c>
      <c r="C98" s="177">
        <f>SUM('1b.mell '!C136)</f>
        <v>2142894</v>
      </c>
      <c r="D98" s="177">
        <f>SUM('1b.mell '!D136)</f>
        <v>2184236</v>
      </c>
      <c r="E98" s="177">
        <f>SUM('1b.mell '!E136)</f>
        <v>2130817</v>
      </c>
      <c r="F98" s="933">
        <f t="shared" si="1"/>
        <v>0.9755433936625896</v>
      </c>
    </row>
    <row r="99" spans="1:6" ht="12">
      <c r="A99" s="170">
        <v>1825</v>
      </c>
      <c r="B99" s="558" t="s">
        <v>880</v>
      </c>
      <c r="C99" s="170">
        <f>SUM(C94:C98)</f>
        <v>7162343</v>
      </c>
      <c r="D99" s="170">
        <f>SUM(D94:D98)</f>
        <v>7463304</v>
      </c>
      <c r="E99" s="170">
        <f>SUM(E94:E98)</f>
        <v>7295803</v>
      </c>
      <c r="F99" s="571">
        <f t="shared" si="1"/>
        <v>0.9775567228669769</v>
      </c>
    </row>
    <row r="100" spans="1:6" ht="12">
      <c r="A100" s="170"/>
      <c r="B100" s="558"/>
      <c r="C100" s="170"/>
      <c r="D100" s="170"/>
      <c r="E100" s="170"/>
      <c r="F100" s="571"/>
    </row>
    <row r="101" spans="1:6" s="34" customFormat="1" ht="12">
      <c r="A101" s="6">
        <v>1830</v>
      </c>
      <c r="B101" s="559" t="s">
        <v>270</v>
      </c>
      <c r="C101" s="6"/>
      <c r="D101" s="6">
        <v>51373</v>
      </c>
      <c r="E101" s="6">
        <v>51373</v>
      </c>
      <c r="F101" s="571">
        <f t="shared" si="1"/>
        <v>1</v>
      </c>
    </row>
    <row r="102" spans="1:6" s="38" customFormat="1" ht="13.5" customHeight="1">
      <c r="A102" s="37"/>
      <c r="B102" s="560" t="s">
        <v>867</v>
      </c>
      <c r="C102" s="37"/>
      <c r="D102" s="37"/>
      <c r="E102" s="37"/>
      <c r="F102" s="571"/>
    </row>
    <row r="103" spans="1:6" s="29" customFormat="1" ht="12" customHeight="1">
      <c r="A103" s="7">
        <v>1841</v>
      </c>
      <c r="B103" s="558" t="s">
        <v>1093</v>
      </c>
      <c r="C103" s="8">
        <f>SUM(C12+C31+C43+C53)</f>
        <v>1307498</v>
      </c>
      <c r="D103" s="8">
        <f>SUM(D12+D31+D43+D53+D62)</f>
        <v>1394346</v>
      </c>
      <c r="E103" s="8">
        <f>SUM(E12+E31+E43+E53+E62)</f>
        <v>1310282</v>
      </c>
      <c r="F103" s="933">
        <f t="shared" si="1"/>
        <v>0.9397108034878</v>
      </c>
    </row>
    <row r="104" spans="1:6" s="29" customFormat="1" ht="12" customHeight="1">
      <c r="A104" s="7">
        <v>1842</v>
      </c>
      <c r="B104" s="183" t="s">
        <v>865</v>
      </c>
      <c r="C104" s="7">
        <f>SUM(C13+C32+C44+C54)</f>
        <v>335426</v>
      </c>
      <c r="D104" s="7">
        <f>SUM(D13+D32+D44+D54+D63)</f>
        <v>387963</v>
      </c>
      <c r="E104" s="7">
        <f>SUM(E13+E32+E44+E54+E63)</f>
        <v>355166</v>
      </c>
      <c r="F104" s="933">
        <f t="shared" si="1"/>
        <v>0.9154635880225691</v>
      </c>
    </row>
    <row r="105" spans="1:6" s="29" customFormat="1" ht="12">
      <c r="A105" s="7">
        <v>1843</v>
      </c>
      <c r="B105" s="183" t="s">
        <v>866</v>
      </c>
      <c r="C105" s="7">
        <f>SUM(C14+C33+C45+C55+C64+C75+C80+C84+C88+C101)</f>
        <v>4260140</v>
      </c>
      <c r="D105" s="7">
        <f>SUM(D14+D33+D45+D55+D64+D75+D80+D84+D88+D101+D90+D25)</f>
        <v>4446059</v>
      </c>
      <c r="E105" s="7">
        <f>SUM(E14+E33+E45+E55+E64+E75+E80+E84+E88+E101+E90+E25)</f>
        <v>3773280</v>
      </c>
      <c r="F105" s="933">
        <f t="shared" si="1"/>
        <v>0.8486796958834779</v>
      </c>
    </row>
    <row r="106" spans="1:6" s="29" customFormat="1" ht="12">
      <c r="A106" s="7">
        <v>1844</v>
      </c>
      <c r="B106" s="10" t="s">
        <v>1115</v>
      </c>
      <c r="C106" s="212">
        <f>SUM(C15+C34+C46+C56+C99)</f>
        <v>8212887</v>
      </c>
      <c r="D106" s="212">
        <f>SUM(D15+D34+D46+D56+D99+D65)</f>
        <v>8439815</v>
      </c>
      <c r="E106" s="212">
        <f>SUM(E15+E34+E46+E56+E99+E65)</f>
        <v>8250966</v>
      </c>
      <c r="F106" s="933">
        <f t="shared" si="1"/>
        <v>0.9776240355979366</v>
      </c>
    </row>
    <row r="107" spans="1:6" s="29" customFormat="1" ht="12">
      <c r="A107" s="7">
        <v>1845</v>
      </c>
      <c r="B107" s="10" t="s">
        <v>912</v>
      </c>
      <c r="C107" s="8">
        <f>SUM(C16+C35+C47+C58)</f>
        <v>3500</v>
      </c>
      <c r="D107" s="8">
        <f>SUM(D16+D35+D47+D58)</f>
        <v>3934</v>
      </c>
      <c r="E107" s="8">
        <f>SUM(E16+E35+E47+E58)</f>
        <v>1599</v>
      </c>
      <c r="F107" s="933">
        <f t="shared" si="1"/>
        <v>0.40645653279105237</v>
      </c>
    </row>
    <row r="108" spans="1:6" s="29" customFormat="1" ht="12">
      <c r="A108" s="7">
        <v>1846</v>
      </c>
      <c r="B108" s="10" t="s">
        <v>226</v>
      </c>
      <c r="C108" s="8">
        <f>SUM(C48)</f>
        <v>172860</v>
      </c>
      <c r="D108" s="8">
        <f>SUM(D48)</f>
        <v>482197</v>
      </c>
      <c r="E108" s="8">
        <f>SUM(E48)</f>
        <v>475493</v>
      </c>
      <c r="F108" s="933">
        <f t="shared" si="1"/>
        <v>0.9860969686663335</v>
      </c>
    </row>
    <row r="109" spans="1:6" s="29" customFormat="1" ht="12">
      <c r="A109" s="170">
        <v>1840</v>
      </c>
      <c r="B109" s="170" t="s">
        <v>868</v>
      </c>
      <c r="C109" s="170">
        <f>SUM(C103:C107)</f>
        <v>14119451</v>
      </c>
      <c r="D109" s="170">
        <f>SUM(D103:D108)</f>
        <v>15154314</v>
      </c>
      <c r="E109" s="170">
        <f>SUM(E103:E108)</f>
        <v>14166786</v>
      </c>
      <c r="F109" s="571">
        <f t="shared" si="1"/>
        <v>0.934835189504454</v>
      </c>
    </row>
    <row r="110" spans="1:6" s="29" customFormat="1" ht="9" customHeight="1">
      <c r="A110" s="170"/>
      <c r="B110" s="170"/>
      <c r="C110" s="170"/>
      <c r="D110" s="170"/>
      <c r="E110" s="170"/>
      <c r="F110" s="571"/>
    </row>
    <row r="111" spans="1:6" s="29" customFormat="1" ht="12">
      <c r="A111" s="7"/>
      <c r="B111" s="281" t="s">
        <v>869</v>
      </c>
      <c r="C111" s="170"/>
      <c r="D111" s="170"/>
      <c r="E111" s="170"/>
      <c r="F111" s="571"/>
    </row>
    <row r="112" spans="1:6" s="29" customFormat="1" ht="12">
      <c r="A112" s="7">
        <v>1851</v>
      </c>
      <c r="B112" s="10" t="s">
        <v>870</v>
      </c>
      <c r="C112" s="8">
        <f>SUM(C67+C21)</f>
        <v>2210284</v>
      </c>
      <c r="D112" s="8">
        <f>SUM(D67+D21+D49+D37+D18+D76)</f>
        <v>2358184</v>
      </c>
      <c r="E112" s="8">
        <f>SUM(E67+E21+E49+E37+E18+E76)</f>
        <v>1668183</v>
      </c>
      <c r="F112" s="933">
        <f t="shared" si="1"/>
        <v>0.70740154288215</v>
      </c>
    </row>
    <row r="113" spans="1:6" s="29" customFormat="1" ht="12">
      <c r="A113" s="7">
        <v>1852</v>
      </c>
      <c r="B113" s="10" t="s">
        <v>871</v>
      </c>
      <c r="C113" s="8">
        <f>SUM(C77+C36+C17+C24)</f>
        <v>693905</v>
      </c>
      <c r="D113" s="8">
        <f>SUM(D77+D36+D17+D26+D50+D69)</f>
        <v>907787</v>
      </c>
      <c r="E113" s="8">
        <f>SUM(E77+E36+E17+E26+E50+E69)</f>
        <v>327673</v>
      </c>
      <c r="F113" s="933">
        <f t="shared" si="1"/>
        <v>0.36095802209108524</v>
      </c>
    </row>
    <row r="114" spans="1:6" s="29" customFormat="1" ht="12">
      <c r="A114" s="7">
        <v>1853</v>
      </c>
      <c r="B114" s="10" t="s">
        <v>872</v>
      </c>
      <c r="C114" s="8">
        <f>SUM(C86+C51+C66)</f>
        <v>720000</v>
      </c>
      <c r="D114" s="8">
        <f>SUM(D86+D51+D66+D57)</f>
        <v>695187</v>
      </c>
      <c r="E114" s="8">
        <f>SUM(E86+E51+E66+E57)</f>
        <v>537812</v>
      </c>
      <c r="F114" s="933">
        <f t="shared" si="1"/>
        <v>0.7736220614021839</v>
      </c>
    </row>
    <row r="115" spans="1:6" s="29" customFormat="1" ht="12">
      <c r="A115" s="170">
        <v>1850</v>
      </c>
      <c r="B115" s="171" t="s">
        <v>874</v>
      </c>
      <c r="C115" s="172">
        <f>SUM(C112:C114)</f>
        <v>3624189</v>
      </c>
      <c r="D115" s="172">
        <f>SUM(D112:D114)</f>
        <v>3961158</v>
      </c>
      <c r="E115" s="172">
        <f>SUM(E112:E114)</f>
        <v>2533668</v>
      </c>
      <c r="F115" s="571">
        <f t="shared" si="1"/>
        <v>0.6396281087500171</v>
      </c>
    </row>
    <row r="116" spans="1:6" s="29" customFormat="1" ht="9" customHeight="1">
      <c r="A116" s="170"/>
      <c r="B116" s="169"/>
      <c r="C116" s="553"/>
      <c r="D116" s="553"/>
      <c r="E116" s="553"/>
      <c r="F116" s="571"/>
    </row>
    <row r="117" spans="1:6" s="29" customFormat="1" ht="12">
      <c r="A117" s="170">
        <v>1861</v>
      </c>
      <c r="B117" s="171" t="s">
        <v>31</v>
      </c>
      <c r="C117" s="553"/>
      <c r="D117" s="553"/>
      <c r="E117" s="553"/>
      <c r="F117" s="571"/>
    </row>
    <row r="118" spans="1:6" s="29" customFormat="1" ht="12">
      <c r="A118" s="170">
        <v>1862</v>
      </c>
      <c r="B118" s="171" t="s">
        <v>19</v>
      </c>
      <c r="C118" s="172">
        <f>SUM(C119:C122)</f>
        <v>27057</v>
      </c>
      <c r="D118" s="172">
        <f>SUM(D119:D123)</f>
        <v>28322</v>
      </c>
      <c r="E118" s="172">
        <f>SUM(E119:E123)</f>
        <v>14929</v>
      </c>
      <c r="F118" s="571">
        <f t="shared" si="1"/>
        <v>0.527116729044559</v>
      </c>
    </row>
    <row r="119" spans="1:6" s="29" customFormat="1" ht="12">
      <c r="A119" s="177">
        <v>1863</v>
      </c>
      <c r="B119" s="183" t="s">
        <v>878</v>
      </c>
      <c r="C119" s="177">
        <v>3520</v>
      </c>
      <c r="D119" s="177">
        <v>3520</v>
      </c>
      <c r="E119" s="177">
        <v>3520</v>
      </c>
      <c r="F119" s="933">
        <f t="shared" si="1"/>
        <v>1</v>
      </c>
    </row>
    <row r="120" spans="1:6" s="29" customFormat="1" ht="12">
      <c r="A120" s="177">
        <v>1864</v>
      </c>
      <c r="B120" s="183" t="s">
        <v>1173</v>
      </c>
      <c r="C120" s="177">
        <v>1479</v>
      </c>
      <c r="D120" s="177">
        <v>1479</v>
      </c>
      <c r="E120" s="177">
        <v>1478</v>
      </c>
      <c r="F120" s="933">
        <f t="shared" si="1"/>
        <v>0.9993238674780257</v>
      </c>
    </row>
    <row r="121" spans="1:6" s="29" customFormat="1" ht="12">
      <c r="A121" s="177">
        <v>1865</v>
      </c>
      <c r="B121" s="183" t="s">
        <v>171</v>
      </c>
      <c r="C121" s="177">
        <v>12127</v>
      </c>
      <c r="D121" s="177">
        <v>6063</v>
      </c>
      <c r="E121" s="177"/>
      <c r="F121" s="933">
        <f t="shared" si="1"/>
        <v>0</v>
      </c>
    </row>
    <row r="122" spans="1:6" s="29" customFormat="1" ht="12">
      <c r="A122" s="177">
        <v>1866</v>
      </c>
      <c r="B122" s="10" t="s">
        <v>877</v>
      </c>
      <c r="C122" s="177">
        <v>9931</v>
      </c>
      <c r="D122" s="177">
        <v>9931</v>
      </c>
      <c r="E122" s="177">
        <v>9931</v>
      </c>
      <c r="F122" s="933">
        <f t="shared" si="1"/>
        <v>1</v>
      </c>
    </row>
    <row r="123" spans="1:6" s="29" customFormat="1" ht="12">
      <c r="A123" s="177">
        <v>1867</v>
      </c>
      <c r="B123" s="10" t="s">
        <v>852</v>
      </c>
      <c r="C123" s="553"/>
      <c r="D123" s="553">
        <v>7329</v>
      </c>
      <c r="E123" s="553"/>
      <c r="F123" s="571">
        <f t="shared" si="1"/>
        <v>0</v>
      </c>
    </row>
    <row r="124" spans="1:6" s="29" customFormat="1" ht="12">
      <c r="A124" s="170">
        <v>1868</v>
      </c>
      <c r="B124" s="171" t="s">
        <v>30</v>
      </c>
      <c r="C124" s="172">
        <f>SUM(C70+C19)</f>
        <v>55000</v>
      </c>
      <c r="D124" s="172">
        <f>SUM(D70+D19+D82)</f>
        <v>56176</v>
      </c>
      <c r="E124" s="172">
        <f>SUM(E70+E19+E82)</f>
        <v>31320</v>
      </c>
      <c r="F124" s="571">
        <f t="shared" si="1"/>
        <v>0.557533466248932</v>
      </c>
    </row>
    <row r="125" spans="1:6" s="29" customFormat="1" ht="12">
      <c r="A125" s="170">
        <v>1869</v>
      </c>
      <c r="B125" s="171" t="s">
        <v>1237</v>
      </c>
      <c r="C125" s="172"/>
      <c r="D125" s="172"/>
      <c r="E125" s="172">
        <f>SUM(E78)</f>
        <v>25000</v>
      </c>
      <c r="F125" s="571"/>
    </row>
    <row r="126" spans="1:6" s="29" customFormat="1" ht="12">
      <c r="A126" s="170">
        <v>1860</v>
      </c>
      <c r="B126" s="171" t="s">
        <v>873</v>
      </c>
      <c r="C126" s="170">
        <f>SUM(C118+C124)</f>
        <v>82057</v>
      </c>
      <c r="D126" s="170">
        <f>SUM(D118+D124)</f>
        <v>84498</v>
      </c>
      <c r="E126" s="170">
        <f>SUM(E118+E124+E125)</f>
        <v>71249</v>
      </c>
      <c r="F126" s="571">
        <f t="shared" si="1"/>
        <v>0.8432033894293356</v>
      </c>
    </row>
    <row r="127" spans="1:6" s="29" customFormat="1" ht="9" customHeight="1">
      <c r="A127" s="170"/>
      <c r="B127" s="171"/>
      <c r="C127" s="171"/>
      <c r="D127" s="171"/>
      <c r="E127" s="171"/>
      <c r="F127" s="571"/>
    </row>
    <row r="128" spans="1:6" s="29" customFormat="1" ht="12">
      <c r="A128" s="170">
        <v>1871</v>
      </c>
      <c r="B128" s="171" t="s">
        <v>1050</v>
      </c>
      <c r="C128" s="171">
        <f>SUM('6.mell. '!C12)</f>
        <v>40591</v>
      </c>
      <c r="D128" s="171">
        <f>SUM('6.mell. '!D12)</f>
        <v>1624</v>
      </c>
      <c r="E128" s="171">
        <f>SUM('6.mell. '!E12)</f>
        <v>0</v>
      </c>
      <c r="F128" s="571">
        <f t="shared" si="1"/>
        <v>0</v>
      </c>
    </row>
    <row r="129" spans="1:6" s="29" customFormat="1" ht="12">
      <c r="A129" s="170">
        <v>1872</v>
      </c>
      <c r="B129" s="171" t="s">
        <v>1052</v>
      </c>
      <c r="C129" s="171">
        <f>SUM(C130:C131)</f>
        <v>167268</v>
      </c>
      <c r="D129" s="171">
        <f>SUM(D130:D131)</f>
        <v>6044</v>
      </c>
      <c r="E129" s="171">
        <f>SUM(E130:E131)</f>
        <v>0</v>
      </c>
      <c r="F129" s="571">
        <f t="shared" si="1"/>
        <v>0</v>
      </c>
    </row>
    <row r="130" spans="1:6" s="29" customFormat="1" ht="12">
      <c r="A130" s="170">
        <v>1873</v>
      </c>
      <c r="B130" s="169" t="s">
        <v>17</v>
      </c>
      <c r="C130" s="169">
        <f>SUM('6.mell. '!C15+'6.mell. '!C16)</f>
        <v>10500</v>
      </c>
      <c r="D130" s="169">
        <f>SUM('6.mell. '!D15+'6.mell. '!D16)</f>
        <v>0</v>
      </c>
      <c r="E130" s="169">
        <f>SUM('6.mell. '!E15+'6.mell. '!E16)</f>
        <v>0</v>
      </c>
      <c r="F130" s="571"/>
    </row>
    <row r="131" spans="1:6" s="29" customFormat="1" ht="12">
      <c r="A131" s="7">
        <v>1874</v>
      </c>
      <c r="B131" s="169" t="s">
        <v>18</v>
      </c>
      <c r="C131" s="169">
        <f>SUM('6.mell. '!C19+'6.mell. '!C17+'6.mell. '!C18)</f>
        <v>156768</v>
      </c>
      <c r="D131" s="169">
        <f>SUM('6.mell. '!D19+'6.mell. '!D17+'6.mell. '!D18+'6.mell. '!D21)</f>
        <v>6044</v>
      </c>
      <c r="E131" s="169">
        <f>SUM('6.mell. '!E19+'6.mell. '!E17+'6.mell. '!E18+'6.mell. '!E21)</f>
        <v>0</v>
      </c>
      <c r="F131" s="571">
        <f t="shared" si="1"/>
        <v>0</v>
      </c>
    </row>
    <row r="132" spans="1:6" s="29" customFormat="1" ht="12">
      <c r="A132" s="172">
        <v>1870</v>
      </c>
      <c r="B132" s="243" t="s">
        <v>29</v>
      </c>
      <c r="C132" s="243">
        <f>SUM(C128+C129)</f>
        <v>207859</v>
      </c>
      <c r="D132" s="243">
        <f>SUM(D128+D129)</f>
        <v>7668</v>
      </c>
      <c r="E132" s="243">
        <f>SUM(E128+E129)</f>
        <v>0</v>
      </c>
      <c r="F132" s="571">
        <f t="shared" si="1"/>
        <v>0</v>
      </c>
    </row>
    <row r="133" spans="1:6" s="29" customFormat="1" ht="9" customHeight="1" thickBot="1">
      <c r="A133" s="280"/>
      <c r="B133" s="555"/>
      <c r="C133" s="555"/>
      <c r="D133" s="555"/>
      <c r="E133" s="555"/>
      <c r="F133" s="958"/>
    </row>
    <row r="134" spans="1:6" s="29" customFormat="1" ht="13.5" thickBot="1">
      <c r="A134" s="556"/>
      <c r="B134" s="554" t="s">
        <v>22</v>
      </c>
      <c r="C134" s="277">
        <f>SUM(C109+C115+C126+C128+C129)</f>
        <v>18033556</v>
      </c>
      <c r="D134" s="277">
        <f>SUM(D109+D115+D126+D128+D129)</f>
        <v>19207638</v>
      </c>
      <c r="E134" s="277">
        <f>SUM(E109+E115+E126+E128+E129)</f>
        <v>16771703</v>
      </c>
      <c r="F134" s="959">
        <f t="shared" si="1"/>
        <v>0.8731788364607871</v>
      </c>
    </row>
    <row r="135" spans="1:6" s="29" customFormat="1" ht="9" customHeight="1">
      <c r="A135" s="7"/>
      <c r="B135" s="171"/>
      <c r="C135" s="171"/>
      <c r="D135" s="171"/>
      <c r="E135" s="171"/>
      <c r="F135" s="957"/>
    </row>
    <row r="136" spans="1:6" s="29" customFormat="1" ht="12">
      <c r="A136" s="7">
        <v>1881</v>
      </c>
      <c r="B136" s="171" t="s">
        <v>21</v>
      </c>
      <c r="C136" s="171"/>
      <c r="D136" s="171"/>
      <c r="E136" s="171"/>
      <c r="F136" s="571"/>
    </row>
    <row r="137" spans="1:6" s="29" customFormat="1" ht="12">
      <c r="A137" s="177">
        <v>1882</v>
      </c>
      <c r="B137" s="169" t="s">
        <v>167</v>
      </c>
      <c r="C137" s="169">
        <v>628666</v>
      </c>
      <c r="D137" s="169">
        <v>628666</v>
      </c>
      <c r="E137" s="169">
        <v>458999</v>
      </c>
      <c r="F137" s="933">
        <f t="shared" si="1"/>
        <v>0.7301158325724629</v>
      </c>
    </row>
    <row r="138" spans="1:6" s="29" customFormat="1" ht="12">
      <c r="A138" s="170">
        <v>1880</v>
      </c>
      <c r="B138" s="655" t="s">
        <v>20</v>
      </c>
      <c r="C138" s="170">
        <f>SUM(C137)</f>
        <v>628666</v>
      </c>
      <c r="D138" s="170">
        <f>SUM(D137)</f>
        <v>628666</v>
      </c>
      <c r="E138" s="170">
        <f>SUM(E137)</f>
        <v>458999</v>
      </c>
      <c r="F138" s="571">
        <f t="shared" si="1"/>
        <v>0.7301158325724629</v>
      </c>
    </row>
    <row r="139" spans="1:6" s="29" customFormat="1" ht="9" customHeight="1">
      <c r="A139" s="170"/>
      <c r="B139" s="966"/>
      <c r="C139" s="170"/>
      <c r="D139" s="170"/>
      <c r="E139" s="170"/>
      <c r="F139" s="571"/>
    </row>
    <row r="140" spans="1:6" s="29" customFormat="1" ht="12" customHeight="1">
      <c r="A140" s="171"/>
      <c r="B140" s="967" t="s">
        <v>776</v>
      </c>
      <c r="C140" s="162"/>
      <c r="D140" s="162"/>
      <c r="E140" s="162">
        <v>14640</v>
      </c>
      <c r="F140" s="957"/>
    </row>
    <row r="141" spans="1:6" s="29" customFormat="1" ht="12" customHeight="1">
      <c r="A141" s="171"/>
      <c r="B141" s="967" t="s">
        <v>777</v>
      </c>
      <c r="C141" s="171"/>
      <c r="D141" s="171"/>
      <c r="E141" s="162">
        <v>-1477</v>
      </c>
      <c r="F141" s="957"/>
    </row>
    <row r="142" spans="1:6" s="29" customFormat="1" ht="12" customHeight="1" thickBot="1">
      <c r="A142" s="165"/>
      <c r="B142" s="982" t="s">
        <v>778</v>
      </c>
      <c r="C142" s="243"/>
      <c r="D142" s="243"/>
      <c r="E142" s="157">
        <v>439430</v>
      </c>
      <c r="F142" s="965"/>
    </row>
    <row r="143" spans="1:6" s="41" customFormat="1" ht="13.5" thickBot="1">
      <c r="A143" s="276">
        <v>1890</v>
      </c>
      <c r="B143" s="656" t="s">
        <v>23</v>
      </c>
      <c r="C143" s="40">
        <f>SUM(C134+C138)</f>
        <v>18662222</v>
      </c>
      <c r="D143" s="40">
        <f>SUM(D134+D138)</f>
        <v>19836304</v>
      </c>
      <c r="E143" s="40">
        <f>SUM(E134+E138+E140+E141+E142)</f>
        <v>17683295</v>
      </c>
      <c r="F143" s="959">
        <f t="shared" si="1"/>
        <v>0.8914611814781624</v>
      </c>
    </row>
    <row r="144" spans="1:6" ht="9" customHeight="1">
      <c r="A144" s="180"/>
      <c r="B144" s="646"/>
      <c r="C144" s="657"/>
      <c r="D144" s="180"/>
      <c r="E144" s="180"/>
      <c r="F144" s="957"/>
    </row>
    <row r="145" spans="1:6" s="43" customFormat="1" ht="12" customHeight="1">
      <c r="A145" s="19"/>
      <c r="B145" s="652" t="s">
        <v>1179</v>
      </c>
      <c r="C145" s="19"/>
      <c r="D145" s="19"/>
      <c r="E145" s="19"/>
      <c r="F145" s="571"/>
    </row>
    <row r="146" spans="1:6" s="43" customFormat="1" ht="9" customHeight="1">
      <c r="A146" s="19"/>
      <c r="B146" s="653"/>
      <c r="C146" s="42"/>
      <c r="D146" s="42"/>
      <c r="E146" s="42"/>
      <c r="F146" s="571"/>
    </row>
    <row r="147" spans="1:6" s="43" customFormat="1" ht="12" customHeight="1">
      <c r="A147" s="19"/>
      <c r="B147" s="654" t="s">
        <v>867</v>
      </c>
      <c r="C147" s="42"/>
      <c r="D147" s="42"/>
      <c r="E147" s="42"/>
      <c r="F147" s="571"/>
    </row>
    <row r="148" spans="1:6" s="29" customFormat="1" ht="12">
      <c r="A148" s="7">
        <v>1911</v>
      </c>
      <c r="B148" s="10" t="s">
        <v>1093</v>
      </c>
      <c r="C148" s="7">
        <f>SUM('2.mell'!C1051)</f>
        <v>2960979</v>
      </c>
      <c r="D148" s="7">
        <f>SUM('2.mell'!D1051)</f>
        <v>3135121</v>
      </c>
      <c r="E148" s="7">
        <f>SUM('2.mell'!E1051)</f>
        <v>3047772</v>
      </c>
      <c r="F148" s="933">
        <f aca="true" t="shared" si="2" ref="F148:F189">SUM(E148/D148)</f>
        <v>0.9721385554177973</v>
      </c>
    </row>
    <row r="149" spans="1:6" s="29" customFormat="1" ht="12">
      <c r="A149" s="7">
        <v>1912</v>
      </c>
      <c r="B149" s="10" t="s">
        <v>865</v>
      </c>
      <c r="C149" s="7">
        <f>SUM('2.mell'!C1052)</f>
        <v>776566</v>
      </c>
      <c r="D149" s="7">
        <f>SUM('2.mell'!D1052)</f>
        <v>823710</v>
      </c>
      <c r="E149" s="7">
        <f>SUM('2.mell'!E1052)</f>
        <v>797813</v>
      </c>
      <c r="F149" s="933">
        <f t="shared" si="2"/>
        <v>0.9685605370822256</v>
      </c>
    </row>
    <row r="150" spans="1:6" s="29" customFormat="1" ht="12">
      <c r="A150" s="7">
        <v>1913</v>
      </c>
      <c r="B150" s="7" t="s">
        <v>866</v>
      </c>
      <c r="C150" s="7">
        <f>SUM('2.mell'!C1053)</f>
        <v>1526364</v>
      </c>
      <c r="D150" s="7">
        <f>SUM('2.mell'!D1053)</f>
        <v>1796523</v>
      </c>
      <c r="E150" s="7">
        <f>SUM('2.mell'!E1053)</f>
        <v>1739787</v>
      </c>
      <c r="F150" s="933">
        <f t="shared" si="2"/>
        <v>0.9684189960273262</v>
      </c>
    </row>
    <row r="151" spans="1:6" s="39" customFormat="1" ht="12">
      <c r="A151" s="273">
        <v>1914</v>
      </c>
      <c r="B151" s="33" t="s">
        <v>1023</v>
      </c>
      <c r="C151" s="7">
        <f>SUM('2.mell'!C1055)</f>
        <v>0</v>
      </c>
      <c r="D151" s="168">
        <v>81389</v>
      </c>
      <c r="E151" s="168">
        <v>81389</v>
      </c>
      <c r="F151" s="933">
        <f t="shared" si="2"/>
        <v>1</v>
      </c>
    </row>
    <row r="152" spans="1:6" s="39" customFormat="1" ht="12">
      <c r="A152" s="273">
        <v>1915</v>
      </c>
      <c r="B152" s="7" t="s">
        <v>1115</v>
      </c>
      <c r="C152" s="7">
        <f>SUM('2.mell'!C1055)</f>
        <v>0</v>
      </c>
      <c r="D152" s="7">
        <f>SUM('2.mell'!D1055)</f>
        <v>10</v>
      </c>
      <c r="E152" s="7">
        <f>SUM('2.mell'!E1055)</f>
        <v>5777</v>
      </c>
      <c r="F152" s="933">
        <f t="shared" si="2"/>
        <v>577.7</v>
      </c>
    </row>
    <row r="153" spans="1:6" s="29" customFormat="1" ht="12">
      <c r="A153" s="7">
        <v>1916</v>
      </c>
      <c r="B153" s="10" t="s">
        <v>912</v>
      </c>
      <c r="C153" s="7">
        <f>SUM('2.mell'!C1056)</f>
        <v>0</v>
      </c>
      <c r="D153" s="7">
        <f>SUM('2.mell'!D1056)</f>
        <v>20436</v>
      </c>
      <c r="E153" s="7">
        <f>SUM('2.mell'!E1056)</f>
        <v>23047</v>
      </c>
      <c r="F153" s="933">
        <f t="shared" si="2"/>
        <v>1.127764728909767</v>
      </c>
    </row>
    <row r="154" spans="1:6" s="29" customFormat="1" ht="12">
      <c r="A154" s="170">
        <v>1910</v>
      </c>
      <c r="B154" s="171" t="s">
        <v>868</v>
      </c>
      <c r="C154" s="170">
        <f>SUM(C148:C153)</f>
        <v>5263909</v>
      </c>
      <c r="D154" s="170">
        <f>SUM(D148:D153)-D151</f>
        <v>5775800</v>
      </c>
      <c r="E154" s="170">
        <f>SUM(E148:E153)-E151</f>
        <v>5614196</v>
      </c>
      <c r="F154" s="571">
        <f t="shared" si="2"/>
        <v>0.9720204993247689</v>
      </c>
    </row>
    <row r="155" spans="1:6" s="29" customFormat="1" ht="12">
      <c r="A155" s="7"/>
      <c r="B155" s="272" t="s">
        <v>869</v>
      </c>
      <c r="C155" s="170"/>
      <c r="D155" s="170"/>
      <c r="E155" s="170"/>
      <c r="F155" s="571"/>
    </row>
    <row r="156" spans="1:6" s="29" customFormat="1" ht="12">
      <c r="A156" s="7">
        <v>1921</v>
      </c>
      <c r="B156" s="10" t="s">
        <v>870</v>
      </c>
      <c r="C156" s="7">
        <f>SUM('2.mell'!C1058)</f>
        <v>508</v>
      </c>
      <c r="D156" s="7">
        <f>SUM('2.mell'!D1058)</f>
        <v>1118</v>
      </c>
      <c r="E156" s="7">
        <f>SUM('2.mell'!E1058)</f>
        <v>5331</v>
      </c>
      <c r="F156" s="933">
        <f t="shared" si="2"/>
        <v>4.768336314847943</v>
      </c>
    </row>
    <row r="157" spans="1:6" s="29" customFormat="1" ht="12">
      <c r="A157" s="7">
        <v>1922</v>
      </c>
      <c r="B157" s="10" t="s">
        <v>871</v>
      </c>
      <c r="C157" s="7">
        <f>SUM('2.mell'!C1059)</f>
        <v>1281</v>
      </c>
      <c r="D157" s="7">
        <f>SUM('2.mell'!D1059)</f>
        <v>20050</v>
      </c>
      <c r="E157" s="7">
        <f>SUM('2.mell'!E1059)</f>
        <v>14863</v>
      </c>
      <c r="F157" s="933">
        <f t="shared" si="2"/>
        <v>0.7412967581047382</v>
      </c>
    </row>
    <row r="158" spans="1:6" s="29" customFormat="1" ht="12">
      <c r="A158" s="7">
        <v>1923</v>
      </c>
      <c r="B158" s="10" t="s">
        <v>872</v>
      </c>
      <c r="C158" s="7"/>
      <c r="D158" s="7"/>
      <c r="E158" s="7"/>
      <c r="F158" s="571"/>
    </row>
    <row r="159" spans="1:6" s="29" customFormat="1" ht="12.75" thickBot="1">
      <c r="A159" s="275">
        <v>1920</v>
      </c>
      <c r="B159" s="275" t="s">
        <v>874</v>
      </c>
      <c r="C159" s="275">
        <f>SUM(C156:C158)</f>
        <v>1789</v>
      </c>
      <c r="D159" s="275">
        <f>SUM(D156:D158)</f>
        <v>21168</v>
      </c>
      <c r="E159" s="275">
        <f>SUM(E156:E158)</f>
        <v>20194</v>
      </c>
      <c r="F159" s="958">
        <f t="shared" si="2"/>
        <v>0.9539871504157218</v>
      </c>
    </row>
    <row r="160" spans="1:6" s="29" customFormat="1" ht="16.5" customHeight="1" thickBot="1">
      <c r="A160" s="277"/>
      <c r="B160" s="557" t="s">
        <v>24</v>
      </c>
      <c r="C160" s="277">
        <f>SUM(C159+C154)</f>
        <v>5265698</v>
      </c>
      <c r="D160" s="277">
        <f>SUM(D159+D154)</f>
        <v>5796968</v>
      </c>
      <c r="E160" s="277">
        <f>SUM(E159+E154)</f>
        <v>5634390</v>
      </c>
      <c r="F160" s="959">
        <f t="shared" si="2"/>
        <v>0.971954649396029</v>
      </c>
    </row>
    <row r="161" spans="1:6" s="29" customFormat="1" ht="12.75" thickBot="1">
      <c r="A161" s="968">
        <v>1930</v>
      </c>
      <c r="B161" s="968" t="s">
        <v>240</v>
      </c>
      <c r="C161" s="968"/>
      <c r="D161" s="968"/>
      <c r="E161" s="968">
        <f>SUM('2.mell'!E1062)</f>
        <v>-34098</v>
      </c>
      <c r="F161" s="939"/>
    </row>
    <row r="162" spans="1:6" s="45" customFormat="1" ht="13.5" thickBot="1">
      <c r="A162" s="44">
        <v>1940</v>
      </c>
      <c r="B162" s="279" t="s">
        <v>25</v>
      </c>
      <c r="C162" s="46">
        <f>SUM(C160)</f>
        <v>5265698</v>
      </c>
      <c r="D162" s="46">
        <f>SUM(D160)</f>
        <v>5796968</v>
      </c>
      <c r="E162" s="46">
        <f>SUM(E160+E161)</f>
        <v>5600292</v>
      </c>
      <c r="F162" s="959">
        <f t="shared" si="2"/>
        <v>0.966072608991459</v>
      </c>
    </row>
    <row r="163" spans="1:6" ht="14.25" customHeight="1">
      <c r="A163" s="19"/>
      <c r="B163" s="19" t="s">
        <v>26</v>
      </c>
      <c r="C163" s="19"/>
      <c r="D163" s="19"/>
      <c r="E163" s="19"/>
      <c r="F163" s="957"/>
    </row>
    <row r="164" spans="1:6" ht="14.25" customHeight="1">
      <c r="A164" s="19"/>
      <c r="B164" s="211" t="s">
        <v>867</v>
      </c>
      <c r="C164" s="42"/>
      <c r="D164" s="42"/>
      <c r="E164" s="42"/>
      <c r="F164" s="571"/>
    </row>
    <row r="165" spans="1:6" ht="12">
      <c r="A165" s="7">
        <v>1951</v>
      </c>
      <c r="B165" s="10" t="s">
        <v>1008</v>
      </c>
      <c r="C165" s="10">
        <f aca="true" t="shared" si="3" ref="C165:E167">SUM(C103+C148)</f>
        <v>4268477</v>
      </c>
      <c r="D165" s="10">
        <f t="shared" si="3"/>
        <v>4529467</v>
      </c>
      <c r="E165" s="10">
        <f t="shared" si="3"/>
        <v>4358054</v>
      </c>
      <c r="F165" s="933">
        <f t="shared" si="2"/>
        <v>0.9621560329283777</v>
      </c>
    </row>
    <row r="166" spans="1:6" ht="12">
      <c r="A166" s="7">
        <v>1952</v>
      </c>
      <c r="B166" s="10" t="s">
        <v>1162</v>
      </c>
      <c r="C166" s="10">
        <f t="shared" si="3"/>
        <v>1111992</v>
      </c>
      <c r="D166" s="10">
        <f t="shared" si="3"/>
        <v>1211673</v>
      </c>
      <c r="E166" s="10">
        <f t="shared" si="3"/>
        <v>1152979</v>
      </c>
      <c r="F166" s="933">
        <f t="shared" si="2"/>
        <v>0.9515595379281374</v>
      </c>
    </row>
    <row r="167" spans="1:6" ht="12">
      <c r="A167" s="7">
        <v>1953</v>
      </c>
      <c r="B167" s="10" t="s">
        <v>1163</v>
      </c>
      <c r="C167" s="10">
        <f t="shared" si="3"/>
        <v>5786504</v>
      </c>
      <c r="D167" s="10">
        <f t="shared" si="3"/>
        <v>6242582</v>
      </c>
      <c r="E167" s="10">
        <f t="shared" si="3"/>
        <v>5513067</v>
      </c>
      <c r="F167" s="933">
        <f t="shared" si="2"/>
        <v>0.8831388998975104</v>
      </c>
    </row>
    <row r="168" spans="1:6" ht="12">
      <c r="A168" s="7">
        <v>1954</v>
      </c>
      <c r="B168" s="10" t="s">
        <v>896</v>
      </c>
      <c r="C168" s="10">
        <f>SUM(C106+C152)-C99</f>
        <v>1050544</v>
      </c>
      <c r="D168" s="10">
        <f>SUM(D106+D152)-D99</f>
        <v>976521</v>
      </c>
      <c r="E168" s="10">
        <f>SUM(E106+E152)-E99</f>
        <v>960940</v>
      </c>
      <c r="F168" s="933">
        <f t="shared" si="2"/>
        <v>0.9840443779498853</v>
      </c>
    </row>
    <row r="169" spans="1:6" ht="12">
      <c r="A169" s="7">
        <v>1955</v>
      </c>
      <c r="B169" s="10" t="s">
        <v>1014</v>
      </c>
      <c r="C169" s="10">
        <f>SUM(C153+C107)</f>
        <v>3500</v>
      </c>
      <c r="D169" s="10">
        <f>SUM(D153+D107)</f>
        <v>24370</v>
      </c>
      <c r="E169" s="10">
        <f>SUM(E153+E107)</f>
        <v>24646</v>
      </c>
      <c r="F169" s="933">
        <f t="shared" si="2"/>
        <v>1.0113254000820682</v>
      </c>
    </row>
    <row r="170" spans="1:6" ht="12">
      <c r="A170" s="7">
        <v>1956</v>
      </c>
      <c r="B170" s="10" t="s">
        <v>1384</v>
      </c>
      <c r="C170" s="10">
        <f>SUM(C48)</f>
        <v>172860</v>
      </c>
      <c r="D170" s="10">
        <f>SUM(D48)</f>
        <v>482197</v>
      </c>
      <c r="E170" s="10">
        <f>SUM(E48)</f>
        <v>475493</v>
      </c>
      <c r="F170" s="933">
        <f t="shared" si="2"/>
        <v>0.9860969686663335</v>
      </c>
    </row>
    <row r="171" spans="1:6" ht="12">
      <c r="A171" s="170">
        <v>1950</v>
      </c>
      <c r="B171" s="171" t="s">
        <v>868</v>
      </c>
      <c r="C171" s="171">
        <f>SUM(C165:C170)</f>
        <v>12393877</v>
      </c>
      <c r="D171" s="171">
        <f>SUM(D165:D170)</f>
        <v>13466810</v>
      </c>
      <c r="E171" s="171">
        <f>SUM(E165:E170)</f>
        <v>12485179</v>
      </c>
      <c r="F171" s="571">
        <f t="shared" si="2"/>
        <v>0.9271073847481326</v>
      </c>
    </row>
    <row r="172" spans="1:6" ht="12">
      <c r="A172" s="7"/>
      <c r="B172" s="272" t="s">
        <v>869</v>
      </c>
      <c r="C172" s="10"/>
      <c r="D172" s="10"/>
      <c r="E172" s="10"/>
      <c r="F172" s="571"/>
    </row>
    <row r="173" spans="1:6" ht="12">
      <c r="A173" s="7">
        <v>1961</v>
      </c>
      <c r="B173" s="10" t="s">
        <v>870</v>
      </c>
      <c r="C173" s="10">
        <f aca="true" t="shared" si="4" ref="C173:E174">SUM(C112+C156)</f>
        <v>2210792</v>
      </c>
      <c r="D173" s="10">
        <f t="shared" si="4"/>
        <v>2359302</v>
      </c>
      <c r="E173" s="10">
        <f t="shared" si="4"/>
        <v>1673514</v>
      </c>
      <c r="F173" s="933">
        <f t="shared" si="2"/>
        <v>0.7093258938448744</v>
      </c>
    </row>
    <row r="174" spans="1:6" ht="12">
      <c r="A174" s="7">
        <v>1962</v>
      </c>
      <c r="B174" s="10" t="s">
        <v>871</v>
      </c>
      <c r="C174" s="10">
        <f t="shared" si="4"/>
        <v>695186</v>
      </c>
      <c r="D174" s="10">
        <f t="shared" si="4"/>
        <v>927837</v>
      </c>
      <c r="E174" s="10">
        <f t="shared" si="4"/>
        <v>342536</v>
      </c>
      <c r="F174" s="933">
        <f t="shared" si="2"/>
        <v>0.3691769136173703</v>
      </c>
    </row>
    <row r="175" spans="1:6" ht="12">
      <c r="A175" s="7">
        <v>1963</v>
      </c>
      <c r="B175" s="10" t="s">
        <v>872</v>
      </c>
      <c r="C175" s="10">
        <f>SUM(C158+C114)</f>
        <v>720000</v>
      </c>
      <c r="D175" s="10">
        <f>SUM(D158+D114)</f>
        <v>695187</v>
      </c>
      <c r="E175" s="10">
        <f>SUM(E158+E114)</f>
        <v>537812</v>
      </c>
      <c r="F175" s="933">
        <f t="shared" si="2"/>
        <v>0.7736220614021839</v>
      </c>
    </row>
    <row r="176" spans="1:6" ht="12">
      <c r="A176" s="170">
        <v>1960</v>
      </c>
      <c r="B176" s="171" t="s">
        <v>874</v>
      </c>
      <c r="C176" s="171">
        <f>SUM(C173:C175)</f>
        <v>3625978</v>
      </c>
      <c r="D176" s="171">
        <f>SUM(D173:D175)</f>
        <v>3982326</v>
      </c>
      <c r="E176" s="171">
        <f>SUM(E173:E175)</f>
        <v>2553862</v>
      </c>
      <c r="F176" s="571">
        <f t="shared" si="2"/>
        <v>0.6412990799849133</v>
      </c>
    </row>
    <row r="177" spans="1:6" ht="12">
      <c r="A177" s="7">
        <v>1971</v>
      </c>
      <c r="B177" s="169" t="s">
        <v>27</v>
      </c>
      <c r="C177" s="171"/>
      <c r="D177" s="171"/>
      <c r="E177" s="171"/>
      <c r="F177" s="571"/>
    </row>
    <row r="178" spans="1:6" ht="12">
      <c r="A178" s="7">
        <v>1972</v>
      </c>
      <c r="B178" s="169" t="s">
        <v>28</v>
      </c>
      <c r="C178" s="169">
        <f>SUM(C118)</f>
        <v>27057</v>
      </c>
      <c r="D178" s="169">
        <f>SUM(D118)</f>
        <v>28322</v>
      </c>
      <c r="E178" s="169">
        <f>SUM(E118)</f>
        <v>14929</v>
      </c>
      <c r="F178" s="933">
        <f t="shared" si="2"/>
        <v>0.527116729044559</v>
      </c>
    </row>
    <row r="179" spans="1:6" ht="12">
      <c r="A179" s="7">
        <v>1973</v>
      </c>
      <c r="B179" s="169" t="s">
        <v>1238</v>
      </c>
      <c r="C179" s="169">
        <f>SUM(C124)</f>
        <v>55000</v>
      </c>
      <c r="D179" s="169">
        <f>SUM(D124)</f>
        <v>56176</v>
      </c>
      <c r="E179" s="169">
        <f>SUM(E124+E125)</f>
        <v>56320</v>
      </c>
      <c r="F179" s="933">
        <f t="shared" si="2"/>
        <v>1.0025633722586158</v>
      </c>
    </row>
    <row r="180" spans="1:6" ht="12">
      <c r="A180" s="170">
        <v>1970</v>
      </c>
      <c r="B180" s="170" t="s">
        <v>32</v>
      </c>
      <c r="C180" s="170">
        <f>SUM(C177:C179)</f>
        <v>82057</v>
      </c>
      <c r="D180" s="170">
        <f>SUM(D177:D179)</f>
        <v>84498</v>
      </c>
      <c r="E180" s="170">
        <f>SUM(E177:E179)</f>
        <v>71249</v>
      </c>
      <c r="F180" s="571">
        <f t="shared" si="2"/>
        <v>0.8432033894293356</v>
      </c>
    </row>
    <row r="181" spans="1:6" ht="12">
      <c r="A181" s="8">
        <v>1981</v>
      </c>
      <c r="B181" s="169" t="s">
        <v>33</v>
      </c>
      <c r="C181" s="169">
        <f>SUM(C128)</f>
        <v>40591</v>
      </c>
      <c r="D181" s="169">
        <f>SUM(D128)</f>
        <v>1624</v>
      </c>
      <c r="E181" s="169">
        <f>SUM(E128)</f>
        <v>0</v>
      </c>
      <c r="F181" s="571">
        <f t="shared" si="2"/>
        <v>0</v>
      </c>
    </row>
    <row r="182" spans="1:6" ht="12">
      <c r="A182" s="8">
        <v>1982</v>
      </c>
      <c r="B182" s="169" t="s">
        <v>169</v>
      </c>
      <c r="C182" s="169">
        <f>SUM(C183:C184)</f>
        <v>167268</v>
      </c>
      <c r="D182" s="169">
        <f>SUM(D183:D184)</f>
        <v>6044</v>
      </c>
      <c r="E182" s="169">
        <f>SUM(E183:E184)</f>
        <v>0</v>
      </c>
      <c r="F182" s="571">
        <f t="shared" si="2"/>
        <v>0</v>
      </c>
    </row>
    <row r="183" spans="1:6" ht="12">
      <c r="A183" s="8">
        <v>1983</v>
      </c>
      <c r="B183" s="162" t="s">
        <v>34</v>
      </c>
      <c r="C183" s="162">
        <f aca="true" t="shared" si="5" ref="C183:E184">SUM(C130)</f>
        <v>10500</v>
      </c>
      <c r="D183" s="162">
        <f t="shared" si="5"/>
        <v>0</v>
      </c>
      <c r="E183" s="162">
        <f t="shared" si="5"/>
        <v>0</v>
      </c>
      <c r="F183" s="571"/>
    </row>
    <row r="184" spans="1:6" ht="12">
      <c r="A184" s="8">
        <v>1984</v>
      </c>
      <c r="B184" s="162" t="s">
        <v>18</v>
      </c>
      <c r="C184" s="162">
        <f t="shared" si="5"/>
        <v>156768</v>
      </c>
      <c r="D184" s="162">
        <f t="shared" si="5"/>
        <v>6044</v>
      </c>
      <c r="E184" s="162">
        <f t="shared" si="5"/>
        <v>0</v>
      </c>
      <c r="F184" s="571">
        <f t="shared" si="2"/>
        <v>0</v>
      </c>
    </row>
    <row r="185" spans="1:6" ht="12.75" thickBot="1">
      <c r="A185" s="275">
        <v>1980</v>
      </c>
      <c r="B185" s="275" t="s">
        <v>29</v>
      </c>
      <c r="C185" s="275">
        <f>SUM(C181+C182)</f>
        <v>207859</v>
      </c>
      <c r="D185" s="275">
        <f>SUM(D181+D182)</f>
        <v>7668</v>
      </c>
      <c r="E185" s="275">
        <f>SUM(E181+E182)</f>
        <v>0</v>
      </c>
      <c r="F185" s="958">
        <f t="shared" si="2"/>
        <v>0</v>
      </c>
    </row>
    <row r="186" spans="1:6" ht="12.75" thickBot="1">
      <c r="A186" s="556"/>
      <c r="B186" s="277" t="s">
        <v>35</v>
      </c>
      <c r="C186" s="277">
        <f>SUM(C185+C180+C176+C171)</f>
        <v>16309771</v>
      </c>
      <c r="D186" s="277">
        <f>SUM(D185+D180+D176+D171)</f>
        <v>17541302</v>
      </c>
      <c r="E186" s="277">
        <f>SUM(E185+E180+E176+E171)</f>
        <v>15110290</v>
      </c>
      <c r="F186" s="959">
        <f t="shared" si="2"/>
        <v>0.8614121118261346</v>
      </c>
    </row>
    <row r="187" spans="1:6" ht="12.75" thickBot="1">
      <c r="A187" s="165">
        <v>1985</v>
      </c>
      <c r="B187" s="277" t="s">
        <v>20</v>
      </c>
      <c r="C187" s="277">
        <f>SUM(C161+C138)</f>
        <v>628666</v>
      </c>
      <c r="D187" s="277">
        <f>SUM(D161+D138)</f>
        <v>628666</v>
      </c>
      <c r="E187" s="277">
        <f>SUM(E138)</f>
        <v>458999</v>
      </c>
      <c r="F187" s="959">
        <f t="shared" si="2"/>
        <v>0.7301158325724629</v>
      </c>
    </row>
    <row r="188" spans="1:6" ht="12.75" thickBot="1">
      <c r="A188" s="165"/>
      <c r="B188" s="968" t="s">
        <v>238</v>
      </c>
      <c r="C188" s="968"/>
      <c r="D188" s="968"/>
      <c r="E188" s="968">
        <f>SUM(E140+E161+E141+E142)</f>
        <v>418495</v>
      </c>
      <c r="F188" s="936"/>
    </row>
    <row r="189" spans="1:6" ht="13.5" thickBot="1">
      <c r="A189" s="46"/>
      <c r="B189" s="278" t="s">
        <v>166</v>
      </c>
      <c r="C189" s="165">
        <f>SUM(C186+C187)</f>
        <v>16938437</v>
      </c>
      <c r="D189" s="165">
        <f>SUM(D186+D187)</f>
        <v>18169968</v>
      </c>
      <c r="E189" s="165">
        <f>SUM(E186+E187+E188)</f>
        <v>15987784</v>
      </c>
      <c r="F189" s="959">
        <f t="shared" si="2"/>
        <v>0.8799016046698597</v>
      </c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</sheetData>
  <sheetProtection/>
  <mergeCells count="5">
    <mergeCell ref="A1:F1"/>
    <mergeCell ref="F5:F7"/>
    <mergeCell ref="A2:F2"/>
    <mergeCell ref="D5:D7"/>
    <mergeCell ref="E5:E7"/>
  </mergeCells>
  <printOptions horizontalCentered="1"/>
  <pageMargins left="0" right="0" top="0.3937007874015748" bottom="0.1968503937007874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  <rowBreaks count="4" manualBreakCount="4">
    <brk id="48" max="255" man="1"/>
    <brk id="92" max="255" man="1"/>
    <brk id="134" max="255" man="1"/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3"/>
  <sheetViews>
    <sheetView zoomScaleSheetLayoutView="100" zoomScalePageLayoutView="0" workbookViewId="0" topLeftCell="A724">
      <selection activeCell="E1054" sqref="E1054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5" width="12.625" style="0" customWidth="1"/>
    <col min="6" max="6" width="10.00390625" style="0" customWidth="1"/>
  </cols>
  <sheetData>
    <row r="1" spans="1:6" ht="12.75">
      <c r="A1" s="1280" t="s">
        <v>1096</v>
      </c>
      <c r="B1" s="1271"/>
      <c r="C1" s="1271"/>
      <c r="D1" s="1271"/>
      <c r="E1" s="1271"/>
      <c r="F1" s="1271"/>
    </row>
    <row r="2" spans="1:6" ht="12.75">
      <c r="A2" s="1281" t="s">
        <v>882</v>
      </c>
      <c r="B2" s="1282"/>
      <c r="C2" s="1271"/>
      <c r="D2" s="1271"/>
      <c r="E2" s="1271"/>
      <c r="F2" s="1271"/>
    </row>
    <row r="3" spans="1:2" ht="12.75">
      <c r="A3" s="20"/>
      <c r="B3" s="20"/>
    </row>
    <row r="4" spans="1:6" ht="12.75">
      <c r="A4" s="569"/>
      <c r="B4" s="570"/>
      <c r="C4" s="207"/>
      <c r="F4" s="207" t="s">
        <v>883</v>
      </c>
    </row>
    <row r="5" spans="1:6" ht="12" customHeight="1">
      <c r="A5" s="51" t="s">
        <v>1097</v>
      </c>
      <c r="B5" s="14" t="s">
        <v>1015</v>
      </c>
      <c r="C5" s="205" t="s">
        <v>930</v>
      </c>
      <c r="D5" s="1263" t="s">
        <v>302</v>
      </c>
      <c r="E5" s="1263" t="s">
        <v>850</v>
      </c>
      <c r="F5" s="1263" t="s">
        <v>231</v>
      </c>
    </row>
    <row r="6" spans="1:6" ht="12.75">
      <c r="A6" s="15"/>
      <c r="B6" s="86" t="s">
        <v>1098</v>
      </c>
      <c r="C6" s="15" t="s">
        <v>194</v>
      </c>
      <c r="D6" s="1278"/>
      <c r="E6" s="1278"/>
      <c r="F6" s="1278"/>
    </row>
    <row r="7" spans="1:6" ht="13.5" thickBot="1">
      <c r="A7" s="52"/>
      <c r="B7" s="80"/>
      <c r="C7" s="52" t="s">
        <v>195</v>
      </c>
      <c r="D7" s="1279"/>
      <c r="E7" s="1279"/>
      <c r="F7" s="1279"/>
    </row>
    <row r="8" spans="1:6" ht="13.5" thickBot="1">
      <c r="A8" s="52" t="s">
        <v>1099</v>
      </c>
      <c r="B8" s="80" t="s">
        <v>1100</v>
      </c>
      <c r="C8" s="52" t="s">
        <v>1018</v>
      </c>
      <c r="D8" s="52" t="s">
        <v>1019</v>
      </c>
      <c r="E8" s="52" t="s">
        <v>1020</v>
      </c>
      <c r="F8" s="52" t="s">
        <v>1148</v>
      </c>
    </row>
    <row r="9" spans="1:6" ht="15">
      <c r="A9" s="350">
        <v>2305</v>
      </c>
      <c r="B9" s="351" t="s">
        <v>1244</v>
      </c>
      <c r="C9" s="15"/>
      <c r="D9" s="15"/>
      <c r="E9" s="15"/>
      <c r="F9" s="69"/>
    </row>
    <row r="10" spans="1:6" ht="12.75">
      <c r="A10" s="54"/>
      <c r="B10" s="55" t="s">
        <v>1256</v>
      </c>
      <c r="C10" s="295">
        <v>700</v>
      </c>
      <c r="D10" s="295">
        <v>700</v>
      </c>
      <c r="E10" s="295">
        <v>746</v>
      </c>
      <c r="F10" s="574">
        <f>SUM(E10/D10)</f>
        <v>1.0657142857142856</v>
      </c>
    </row>
    <row r="11" spans="1:6" ht="12.75">
      <c r="A11" s="54"/>
      <c r="B11" s="55" t="s">
        <v>1257</v>
      </c>
      <c r="C11" s="295"/>
      <c r="D11" s="295"/>
      <c r="E11" s="295"/>
      <c r="F11" s="574"/>
    </row>
    <row r="12" spans="1:6" ht="12.75">
      <c r="A12" s="54"/>
      <c r="B12" s="55" t="s">
        <v>1258</v>
      </c>
      <c r="C12" s="295">
        <v>1600</v>
      </c>
      <c r="D12" s="295">
        <v>1600</v>
      </c>
      <c r="E12" s="295">
        <v>1701</v>
      </c>
      <c r="F12" s="574">
        <f aca="true" t="shared" si="0" ref="F12:F73">SUM(E12/D12)</f>
        <v>1.063125</v>
      </c>
    </row>
    <row r="13" spans="1:6" ht="12.75">
      <c r="A13" s="54"/>
      <c r="B13" s="55" t="s">
        <v>1259</v>
      </c>
      <c r="C13" s="295">
        <v>7000</v>
      </c>
      <c r="D13" s="295">
        <v>7000</v>
      </c>
      <c r="E13" s="295">
        <v>7348</v>
      </c>
      <c r="F13" s="574">
        <f t="shared" si="0"/>
        <v>1.0497142857142858</v>
      </c>
    </row>
    <row r="14" spans="1:6" ht="12.75">
      <c r="A14" s="54"/>
      <c r="B14" s="55" t="s">
        <v>1260</v>
      </c>
      <c r="C14" s="295">
        <v>1900</v>
      </c>
      <c r="D14" s="295">
        <v>1900</v>
      </c>
      <c r="E14" s="295">
        <v>2056</v>
      </c>
      <c r="F14" s="574">
        <f t="shared" si="0"/>
        <v>1.0821052631578947</v>
      </c>
    </row>
    <row r="15" spans="1:6" ht="13.5" thickBot="1">
      <c r="A15" s="54"/>
      <c r="B15" s="60" t="s">
        <v>1261</v>
      </c>
      <c r="C15" s="382"/>
      <c r="D15" s="382"/>
      <c r="E15" s="382"/>
      <c r="F15" s="576"/>
    </row>
    <row r="16" spans="1:6" ht="13.5" thickBot="1">
      <c r="A16" s="54"/>
      <c r="B16" s="233" t="s">
        <v>1249</v>
      </c>
      <c r="C16" s="386">
        <f>SUM(C10:C15)</f>
        <v>11200</v>
      </c>
      <c r="D16" s="386">
        <f>SUM(D10:D15)</f>
        <v>11200</v>
      </c>
      <c r="E16" s="386">
        <f>SUM(E10:E15)</f>
        <v>11851</v>
      </c>
      <c r="F16" s="941">
        <f t="shared" si="0"/>
        <v>1.058125</v>
      </c>
    </row>
    <row r="17" spans="1:6" ht="12.75">
      <c r="A17" s="54"/>
      <c r="B17" s="55" t="s">
        <v>1262</v>
      </c>
      <c r="C17" s="295">
        <v>96932</v>
      </c>
      <c r="D17" s="295">
        <v>104910</v>
      </c>
      <c r="E17" s="295">
        <v>103919</v>
      </c>
      <c r="F17" s="574">
        <f t="shared" si="0"/>
        <v>0.990553808025927</v>
      </c>
    </row>
    <row r="18" spans="1:6" ht="12.75">
      <c r="A18" s="54"/>
      <c r="B18" s="55" t="s">
        <v>1263</v>
      </c>
      <c r="C18" s="295">
        <v>10000</v>
      </c>
      <c r="D18" s="295">
        <v>10000</v>
      </c>
      <c r="E18" s="295">
        <v>9905</v>
      </c>
      <c r="F18" s="574">
        <f t="shared" si="0"/>
        <v>0.9905</v>
      </c>
    </row>
    <row r="19" spans="1:6" ht="13.5" thickBot="1">
      <c r="A19" s="54"/>
      <c r="B19" s="55" t="s">
        <v>1264</v>
      </c>
      <c r="C19" s="382"/>
      <c r="D19" s="382"/>
      <c r="E19" s="382"/>
      <c r="F19" s="576"/>
    </row>
    <row r="20" spans="1:6" ht="13.5" thickBot="1">
      <c r="A20" s="56"/>
      <c r="B20" s="57" t="s">
        <v>1252</v>
      </c>
      <c r="C20" s="298">
        <f>SUM(C17:C19)</f>
        <v>106932</v>
      </c>
      <c r="D20" s="298">
        <f>SUM(D17:D19)</f>
        <v>114910</v>
      </c>
      <c r="E20" s="298">
        <f>SUM(E17:E19)</f>
        <v>113824</v>
      </c>
      <c r="F20" s="941">
        <f t="shared" si="0"/>
        <v>0.9905491254024889</v>
      </c>
    </row>
    <row r="21" spans="1:6" ht="13.5" thickBot="1">
      <c r="A21" s="3"/>
      <c r="B21" s="342" t="s">
        <v>1253</v>
      </c>
      <c r="C21" s="381"/>
      <c r="D21" s="381">
        <v>530</v>
      </c>
      <c r="E21" s="381">
        <v>530</v>
      </c>
      <c r="F21" s="942">
        <f t="shared" si="0"/>
        <v>1</v>
      </c>
    </row>
    <row r="22" spans="1:6" ht="13.5" thickBot="1">
      <c r="A22" s="3"/>
      <c r="B22" s="179" t="s">
        <v>1254</v>
      </c>
      <c r="C22" s="386">
        <f>SUM(C20+C16+C21)</f>
        <v>118132</v>
      </c>
      <c r="D22" s="386">
        <f>SUM(D20+D16+D21)</f>
        <v>126640</v>
      </c>
      <c r="E22" s="386">
        <f>SUM(E20+E16+E21)</f>
        <v>126205</v>
      </c>
      <c r="F22" s="938">
        <f t="shared" si="0"/>
        <v>0.9965650663297536</v>
      </c>
    </row>
    <row r="23" spans="1:6" ht="13.5" thickBot="1">
      <c r="A23" s="54"/>
      <c r="B23" s="387" t="s">
        <v>1267</v>
      </c>
      <c r="C23" s="381"/>
      <c r="D23" s="381"/>
      <c r="E23" s="381"/>
      <c r="F23" s="942"/>
    </row>
    <row r="24" spans="1:6" ht="12.75">
      <c r="A24" s="54"/>
      <c r="B24" s="55" t="s">
        <v>1265</v>
      </c>
      <c r="C24" s="295"/>
      <c r="D24" s="295">
        <v>1106</v>
      </c>
      <c r="E24" s="295">
        <v>1106</v>
      </c>
      <c r="F24" s="574">
        <f t="shared" si="0"/>
        <v>1</v>
      </c>
    </row>
    <row r="25" spans="1:6" ht="13.5" thickBot="1">
      <c r="A25" s="54"/>
      <c r="B25" s="341" t="s">
        <v>1266</v>
      </c>
      <c r="C25" s="382"/>
      <c r="D25" s="382"/>
      <c r="E25" s="382"/>
      <c r="F25" s="576"/>
    </row>
    <row r="26" spans="1:6" ht="13.5" thickBot="1">
      <c r="A26" s="59"/>
      <c r="B26" s="342" t="s">
        <v>1255</v>
      </c>
      <c r="C26" s="382"/>
      <c r="D26" s="298">
        <f>SUM(D24:D25)</f>
        <v>1106</v>
      </c>
      <c r="E26" s="298">
        <f>SUM(E24:E25)</f>
        <v>1106</v>
      </c>
      <c r="F26" s="941">
        <f t="shared" si="0"/>
        <v>1</v>
      </c>
    </row>
    <row r="27" spans="1:6" ht="15.75" thickBot="1">
      <c r="A27" s="59"/>
      <c r="B27" s="348" t="s">
        <v>1268</v>
      </c>
      <c r="C27" s="388">
        <f>SUM(C22+C23+C26)</f>
        <v>118132</v>
      </c>
      <c r="D27" s="388">
        <f>SUM(D22+D23+D26)</f>
        <v>127746</v>
      </c>
      <c r="E27" s="388">
        <f>SUM(E22+E23+E26)</f>
        <v>127311</v>
      </c>
      <c r="F27" s="938">
        <f t="shared" si="0"/>
        <v>0.9965948053168006</v>
      </c>
    </row>
    <row r="28" spans="1:6" ht="12.75">
      <c r="A28" s="15"/>
      <c r="B28" s="343" t="s">
        <v>1269</v>
      </c>
      <c r="C28" s="295">
        <v>61286</v>
      </c>
      <c r="D28" s="295">
        <v>65865</v>
      </c>
      <c r="E28" s="295">
        <v>62405</v>
      </c>
      <c r="F28" s="574">
        <f t="shared" si="0"/>
        <v>0.9474683063842708</v>
      </c>
    </row>
    <row r="29" spans="1:6" ht="12.75">
      <c r="A29" s="15"/>
      <c r="B29" s="343" t="s">
        <v>1270</v>
      </c>
      <c r="C29" s="295">
        <v>15922</v>
      </c>
      <c r="D29" s="295">
        <v>17130</v>
      </c>
      <c r="E29" s="295">
        <v>16287</v>
      </c>
      <c r="F29" s="574">
        <f t="shared" si="0"/>
        <v>0.9507880910683012</v>
      </c>
    </row>
    <row r="30" spans="1:6" ht="12.75">
      <c r="A30" s="15"/>
      <c r="B30" s="343" t="s">
        <v>1271</v>
      </c>
      <c r="C30" s="295">
        <v>40924</v>
      </c>
      <c r="D30" s="295">
        <v>44751</v>
      </c>
      <c r="E30" s="295">
        <v>45279</v>
      </c>
      <c r="F30" s="574">
        <f t="shared" si="0"/>
        <v>1.0117986190252732</v>
      </c>
    </row>
    <row r="31" spans="1:6" ht="12.75">
      <c r="A31" s="15"/>
      <c r="B31" s="343" t="s">
        <v>1274</v>
      </c>
      <c r="C31" s="295"/>
      <c r="D31" s="295"/>
      <c r="E31" s="295"/>
      <c r="F31" s="574"/>
    </row>
    <row r="32" spans="1:6" ht="13.5" thickBot="1">
      <c r="A32" s="15"/>
      <c r="B32" s="345" t="s">
        <v>1275</v>
      </c>
      <c r="C32" s="382"/>
      <c r="D32" s="382"/>
      <c r="E32" s="382"/>
      <c r="F32" s="576"/>
    </row>
    <row r="33" spans="1:6" ht="13.5" thickBot="1">
      <c r="A33" s="15"/>
      <c r="B33" s="344" t="s">
        <v>868</v>
      </c>
      <c r="C33" s="386">
        <f>SUM(C28:C32)</f>
        <v>118132</v>
      </c>
      <c r="D33" s="386">
        <f>SUM(D28:D32)</f>
        <v>127746</v>
      </c>
      <c r="E33" s="386">
        <f>SUM(E28:E32)</f>
        <v>123971</v>
      </c>
      <c r="F33" s="938">
        <f t="shared" si="0"/>
        <v>0.9704491725768322</v>
      </c>
    </row>
    <row r="34" spans="1:6" ht="12.75">
      <c r="A34" s="15"/>
      <c r="B34" s="343" t="s">
        <v>1276</v>
      </c>
      <c r="C34" s="295"/>
      <c r="D34" s="295"/>
      <c r="E34" s="295"/>
      <c r="F34" s="574"/>
    </row>
    <row r="35" spans="1:6" ht="12.75">
      <c r="A35" s="15"/>
      <c r="B35" s="343" t="s">
        <v>1277</v>
      </c>
      <c r="C35" s="295"/>
      <c r="D35" s="295"/>
      <c r="E35" s="295"/>
      <c r="F35" s="574"/>
    </row>
    <row r="36" spans="1:6" ht="13.5" thickBot="1">
      <c r="A36" s="15"/>
      <c r="B36" s="346" t="s">
        <v>1278</v>
      </c>
      <c r="C36" s="382"/>
      <c r="D36" s="382"/>
      <c r="E36" s="382"/>
      <c r="F36" s="576"/>
    </row>
    <row r="37" spans="1:6" ht="13.5" thickBot="1">
      <c r="A37" s="15"/>
      <c r="B37" s="347" t="s">
        <v>874</v>
      </c>
      <c r="C37" s="381"/>
      <c r="D37" s="381"/>
      <c r="E37" s="381"/>
      <c r="F37" s="576"/>
    </row>
    <row r="38" spans="1:6" ht="13.5" thickBot="1">
      <c r="A38" s="15"/>
      <c r="B38" s="613" t="s">
        <v>236</v>
      </c>
      <c r="C38" s="381"/>
      <c r="D38" s="381"/>
      <c r="E38" s="381">
        <v>-253</v>
      </c>
      <c r="F38" s="942"/>
    </row>
    <row r="39" spans="1:6" ht="15.75" thickBot="1">
      <c r="A39" s="52"/>
      <c r="B39" s="349" t="s">
        <v>890</v>
      </c>
      <c r="C39" s="388">
        <f>SUM(C33+C37)</f>
        <v>118132</v>
      </c>
      <c r="D39" s="388">
        <f>SUM(D33+D37)</f>
        <v>127746</v>
      </c>
      <c r="E39" s="388">
        <f>SUM(E33+E37+E38)</f>
        <v>123718</v>
      </c>
      <c r="F39" s="938">
        <f t="shared" si="0"/>
        <v>0.9684686800369483</v>
      </c>
    </row>
    <row r="40" spans="1:6" ht="15">
      <c r="A40" s="350">
        <v>2309</v>
      </c>
      <c r="B40" s="352" t="s">
        <v>1279</v>
      </c>
      <c r="C40" s="295"/>
      <c r="D40" s="295"/>
      <c r="E40" s="295"/>
      <c r="F40" s="574"/>
    </row>
    <row r="41" spans="1:6" ht="12.75">
      <c r="A41" s="54"/>
      <c r="B41" s="55" t="s">
        <v>1256</v>
      </c>
      <c r="C41" s="295">
        <v>900</v>
      </c>
      <c r="D41" s="295">
        <v>900</v>
      </c>
      <c r="E41" s="295"/>
      <c r="F41" s="574">
        <f t="shared" si="0"/>
        <v>0</v>
      </c>
    </row>
    <row r="42" spans="1:6" ht="12.75">
      <c r="A42" s="54"/>
      <c r="B42" s="55" t="s">
        <v>1257</v>
      </c>
      <c r="C42" s="295"/>
      <c r="D42" s="295"/>
      <c r="E42" s="295"/>
      <c r="F42" s="574"/>
    </row>
    <row r="43" spans="1:6" ht="12.75">
      <c r="A43" s="54"/>
      <c r="B43" s="55" t="s">
        <v>1258</v>
      </c>
      <c r="C43" s="295"/>
      <c r="D43" s="295"/>
      <c r="E43" s="295"/>
      <c r="F43" s="574"/>
    </row>
    <row r="44" spans="1:6" ht="12.75">
      <c r="A44" s="54"/>
      <c r="B44" s="55" t="s">
        <v>1259</v>
      </c>
      <c r="C44" s="295">
        <v>6350</v>
      </c>
      <c r="D44" s="295">
        <v>6350</v>
      </c>
      <c r="E44" s="295">
        <v>7196</v>
      </c>
      <c r="F44" s="574">
        <f t="shared" si="0"/>
        <v>1.133228346456693</v>
      </c>
    </row>
    <row r="45" spans="1:6" ht="12.75">
      <c r="A45" s="54"/>
      <c r="B45" s="55" t="s">
        <v>1260</v>
      </c>
      <c r="C45" s="295">
        <v>3400</v>
      </c>
      <c r="D45" s="295">
        <v>3400</v>
      </c>
      <c r="E45" s="295">
        <v>3102</v>
      </c>
      <c r="F45" s="574">
        <f t="shared" si="0"/>
        <v>0.9123529411764706</v>
      </c>
    </row>
    <row r="46" spans="1:6" ht="13.5" thickBot="1">
      <c r="A46" s="54"/>
      <c r="B46" s="60" t="s">
        <v>1261</v>
      </c>
      <c r="C46" s="382"/>
      <c r="D46" s="382"/>
      <c r="E46" s="382"/>
      <c r="F46" s="576"/>
    </row>
    <row r="47" spans="1:6" ht="13.5" thickBot="1">
      <c r="A47" s="54"/>
      <c r="B47" s="233" t="s">
        <v>1249</v>
      </c>
      <c r="C47" s="386">
        <f>SUM(C41:C46)</f>
        <v>10650</v>
      </c>
      <c r="D47" s="386">
        <f>SUM(D41:D46)</f>
        <v>10650</v>
      </c>
      <c r="E47" s="386">
        <f>SUM(E41:E46)</f>
        <v>10298</v>
      </c>
      <c r="F47" s="938">
        <f t="shared" si="0"/>
        <v>0.9669483568075118</v>
      </c>
    </row>
    <row r="48" spans="1:6" ht="12.75">
      <c r="A48" s="54"/>
      <c r="B48" s="55" t="s">
        <v>1262</v>
      </c>
      <c r="C48" s="295">
        <v>109771</v>
      </c>
      <c r="D48" s="295">
        <v>115493</v>
      </c>
      <c r="E48" s="295">
        <v>113462</v>
      </c>
      <c r="F48" s="574">
        <f t="shared" si="0"/>
        <v>0.9824145186288347</v>
      </c>
    </row>
    <row r="49" spans="1:6" ht="12.75">
      <c r="A49" s="54"/>
      <c r="B49" s="55" t="s">
        <v>1263</v>
      </c>
      <c r="C49" s="295">
        <v>12000</v>
      </c>
      <c r="D49" s="295">
        <v>12000</v>
      </c>
      <c r="E49" s="295">
        <v>12959</v>
      </c>
      <c r="F49" s="574">
        <f t="shared" si="0"/>
        <v>1.0799166666666666</v>
      </c>
    </row>
    <row r="50" spans="1:6" ht="13.5" thickBot="1">
      <c r="A50" s="54"/>
      <c r="B50" s="55" t="s">
        <v>1264</v>
      </c>
      <c r="C50" s="382"/>
      <c r="D50" s="382"/>
      <c r="E50" s="382"/>
      <c r="F50" s="576"/>
    </row>
    <row r="51" spans="1:6" ht="13.5" thickBot="1">
      <c r="A51" s="56"/>
      <c r="B51" s="57" t="s">
        <v>1252</v>
      </c>
      <c r="C51" s="298">
        <f>SUM(C48:C50)</f>
        <v>121771</v>
      </c>
      <c r="D51" s="298">
        <f>SUM(D48:D50)</f>
        <v>127493</v>
      </c>
      <c r="E51" s="298">
        <f>SUM(E48:E50)</f>
        <v>126421</v>
      </c>
      <c r="F51" s="941">
        <f t="shared" si="0"/>
        <v>0.9915916952303264</v>
      </c>
    </row>
    <row r="52" spans="1:6" ht="13.5" thickBot="1">
      <c r="A52" s="3"/>
      <c r="B52" s="342" t="s">
        <v>1253</v>
      </c>
      <c r="C52" s="381"/>
      <c r="D52" s="381">
        <v>400</v>
      </c>
      <c r="E52" s="381">
        <v>480</v>
      </c>
      <c r="F52" s="942">
        <f t="shared" si="0"/>
        <v>1.2</v>
      </c>
    </row>
    <row r="53" spans="1:6" ht="13.5" thickBot="1">
      <c r="A53" s="3"/>
      <c r="B53" s="362" t="s">
        <v>234</v>
      </c>
      <c r="C53" s="381"/>
      <c r="D53" s="381"/>
      <c r="E53" s="381">
        <v>4045</v>
      </c>
      <c r="F53" s="942"/>
    </row>
    <row r="54" spans="1:6" ht="13.5" thickBot="1">
      <c r="A54" s="3"/>
      <c r="B54" s="179" t="s">
        <v>1254</v>
      </c>
      <c r="C54" s="386">
        <f>SUM(C51+C47+C52)</f>
        <v>132421</v>
      </c>
      <c r="D54" s="386">
        <f>SUM(D51+D47+D52)</f>
        <v>138543</v>
      </c>
      <c r="E54" s="386">
        <f>SUM(E51+E47+E52+E53)</f>
        <v>141244</v>
      </c>
      <c r="F54" s="938">
        <f t="shared" si="0"/>
        <v>1.019495752221332</v>
      </c>
    </row>
    <row r="55" spans="1:6" ht="13.5" thickBot="1">
      <c r="A55" s="54"/>
      <c r="B55" s="387" t="s">
        <v>1267</v>
      </c>
      <c r="C55" s="381"/>
      <c r="D55" s="381"/>
      <c r="E55" s="381"/>
      <c r="F55" s="576"/>
    </row>
    <row r="56" spans="1:6" ht="12.75">
      <c r="A56" s="54"/>
      <c r="B56" s="55" t="s">
        <v>1265</v>
      </c>
      <c r="C56" s="295"/>
      <c r="D56" s="295">
        <v>4662</v>
      </c>
      <c r="E56" s="295">
        <v>4662</v>
      </c>
      <c r="F56" s="574">
        <f t="shared" si="0"/>
        <v>1</v>
      </c>
    </row>
    <row r="57" spans="1:6" ht="13.5" thickBot="1">
      <c r="A57" s="54"/>
      <c r="B57" s="341" t="s">
        <v>1266</v>
      </c>
      <c r="C57" s="382"/>
      <c r="D57" s="382"/>
      <c r="E57" s="382"/>
      <c r="F57" s="576"/>
    </row>
    <row r="58" spans="1:6" ht="13.5" thickBot="1">
      <c r="A58" s="59"/>
      <c r="B58" s="342" t="s">
        <v>1255</v>
      </c>
      <c r="C58" s="382"/>
      <c r="D58" s="298">
        <f>SUM(D56:D57)</f>
        <v>4662</v>
      </c>
      <c r="E58" s="298">
        <f>SUM(E56:E57)</f>
        <v>4662</v>
      </c>
      <c r="F58" s="938">
        <f t="shared" si="0"/>
        <v>1</v>
      </c>
    </row>
    <row r="59" spans="1:6" ht="15.75" thickBot="1">
      <c r="A59" s="59"/>
      <c r="B59" s="348" t="s">
        <v>1268</v>
      </c>
      <c r="C59" s="388">
        <f>SUM(C54+C55+C58)</f>
        <v>132421</v>
      </c>
      <c r="D59" s="388">
        <f>SUM(D54+D55+D58)</f>
        <v>143205</v>
      </c>
      <c r="E59" s="388">
        <f>SUM(E54+E55+E58)</f>
        <v>145906</v>
      </c>
      <c r="F59" s="938">
        <f t="shared" si="0"/>
        <v>1.0188610732865473</v>
      </c>
    </row>
    <row r="60" spans="1:6" ht="12.75">
      <c r="A60" s="15"/>
      <c r="B60" s="343" t="s">
        <v>1269</v>
      </c>
      <c r="C60" s="295">
        <v>72867</v>
      </c>
      <c r="D60" s="295">
        <v>81076</v>
      </c>
      <c r="E60" s="295">
        <v>77961</v>
      </c>
      <c r="F60" s="574">
        <f t="shared" si="0"/>
        <v>0.9615792589668952</v>
      </c>
    </row>
    <row r="61" spans="1:6" ht="12.75">
      <c r="A61" s="15"/>
      <c r="B61" s="343" t="s">
        <v>1270</v>
      </c>
      <c r="C61" s="295">
        <v>19118</v>
      </c>
      <c r="D61" s="295">
        <v>21293</v>
      </c>
      <c r="E61" s="295">
        <v>20251</v>
      </c>
      <c r="F61" s="574">
        <f t="shared" si="0"/>
        <v>0.9510637298642747</v>
      </c>
    </row>
    <row r="62" spans="1:6" ht="12.75" customHeight="1">
      <c r="A62" s="15"/>
      <c r="B62" s="343" t="s">
        <v>1271</v>
      </c>
      <c r="C62" s="295">
        <v>40436</v>
      </c>
      <c r="D62" s="295">
        <v>40536</v>
      </c>
      <c r="E62" s="295">
        <v>38530</v>
      </c>
      <c r="F62" s="574">
        <f t="shared" si="0"/>
        <v>0.95051312413657</v>
      </c>
    </row>
    <row r="63" spans="1:6" ht="12.75" customHeight="1">
      <c r="A63" s="15"/>
      <c r="B63" s="343" t="s">
        <v>1274</v>
      </c>
      <c r="C63" s="295"/>
      <c r="D63" s="295"/>
      <c r="E63" s="295"/>
      <c r="F63" s="574"/>
    </row>
    <row r="64" spans="1:6" ht="12.75" customHeight="1" thickBot="1">
      <c r="A64" s="15"/>
      <c r="B64" s="345" t="s">
        <v>1275</v>
      </c>
      <c r="C64" s="382"/>
      <c r="D64" s="382"/>
      <c r="E64" s="382"/>
      <c r="F64" s="576"/>
    </row>
    <row r="65" spans="1:6" ht="12.75" customHeight="1" thickBot="1">
      <c r="A65" s="15"/>
      <c r="B65" s="344" t="s">
        <v>868</v>
      </c>
      <c r="C65" s="386">
        <f>SUM(C60:C64)</f>
        <v>132421</v>
      </c>
      <c r="D65" s="386">
        <f>SUM(D60:D64)</f>
        <v>142905</v>
      </c>
      <c r="E65" s="386">
        <f>SUM(E60:E64)</f>
        <v>136742</v>
      </c>
      <c r="F65" s="938">
        <f t="shared" si="0"/>
        <v>0.9568734473951226</v>
      </c>
    </row>
    <row r="66" spans="1:6" ht="12.75" customHeight="1">
      <c r="A66" s="15"/>
      <c r="B66" s="343" t="s">
        <v>1276</v>
      </c>
      <c r="C66" s="295"/>
      <c r="D66" s="295"/>
      <c r="E66" s="295"/>
      <c r="F66" s="574"/>
    </row>
    <row r="67" spans="1:6" ht="12.75" customHeight="1">
      <c r="A67" s="15"/>
      <c r="B67" s="343" t="s">
        <v>1277</v>
      </c>
      <c r="C67" s="295"/>
      <c r="D67" s="295">
        <v>300</v>
      </c>
      <c r="E67" s="295">
        <v>300</v>
      </c>
      <c r="F67" s="574">
        <f t="shared" si="0"/>
        <v>1</v>
      </c>
    </row>
    <row r="68" spans="1:6" ht="12.75" customHeight="1" thickBot="1">
      <c r="A68" s="15"/>
      <c r="B68" s="346" t="s">
        <v>1278</v>
      </c>
      <c r="C68" s="382"/>
      <c r="D68" s="382"/>
      <c r="E68" s="382"/>
      <c r="F68" s="576"/>
    </row>
    <row r="69" spans="1:6" ht="12.75" customHeight="1" thickBot="1">
      <c r="A69" s="15"/>
      <c r="B69" s="347" t="s">
        <v>874</v>
      </c>
      <c r="C69" s="381"/>
      <c r="D69" s="386">
        <f>SUM(D67:D68)</f>
        <v>300</v>
      </c>
      <c r="E69" s="386">
        <f>SUM(E67:E68)</f>
        <v>300</v>
      </c>
      <c r="F69" s="938">
        <f t="shared" si="0"/>
        <v>1</v>
      </c>
    </row>
    <row r="70" spans="1:6" ht="12.75" customHeight="1" thickBot="1">
      <c r="A70" s="15"/>
      <c r="B70" s="613" t="s">
        <v>236</v>
      </c>
      <c r="C70" s="381"/>
      <c r="D70" s="381"/>
      <c r="E70" s="381">
        <v>516</v>
      </c>
      <c r="F70" s="942"/>
    </row>
    <row r="71" spans="1:6" ht="15.75" customHeight="1" thickBot="1">
      <c r="A71" s="52"/>
      <c r="B71" s="349" t="s">
        <v>890</v>
      </c>
      <c r="C71" s="388">
        <f>SUM(C65+C69)</f>
        <v>132421</v>
      </c>
      <c r="D71" s="388">
        <f>SUM(D65+D69)</f>
        <v>143205</v>
      </c>
      <c r="E71" s="388">
        <f>SUM(E65+E69+E70)</f>
        <v>137558</v>
      </c>
      <c r="F71" s="941">
        <f t="shared" si="0"/>
        <v>0.960567019307985</v>
      </c>
    </row>
    <row r="72" spans="1:6" ht="15" customHeight="1">
      <c r="A72" s="350">
        <v>2310</v>
      </c>
      <c r="B72" s="352" t="s">
        <v>1280</v>
      </c>
      <c r="C72" s="295"/>
      <c r="D72" s="295"/>
      <c r="E72" s="295"/>
      <c r="F72" s="574"/>
    </row>
    <row r="73" spans="1:6" ht="12.75" customHeight="1">
      <c r="A73" s="54"/>
      <c r="B73" s="55" t="s">
        <v>1256</v>
      </c>
      <c r="C73" s="295">
        <v>400</v>
      </c>
      <c r="D73" s="295">
        <v>400</v>
      </c>
      <c r="E73" s="295">
        <v>205</v>
      </c>
      <c r="F73" s="574">
        <f t="shared" si="0"/>
        <v>0.5125</v>
      </c>
    </row>
    <row r="74" spans="1:6" ht="12.75" customHeight="1">
      <c r="A74" s="54"/>
      <c r="B74" s="55" t="s">
        <v>1257</v>
      </c>
      <c r="C74" s="295"/>
      <c r="D74" s="295"/>
      <c r="E74" s="295"/>
      <c r="F74" s="574"/>
    </row>
    <row r="75" spans="1:6" ht="12.75" customHeight="1">
      <c r="A75" s="54"/>
      <c r="B75" s="55" t="s">
        <v>1258</v>
      </c>
      <c r="C75" s="295"/>
      <c r="D75" s="295"/>
      <c r="E75" s="295"/>
      <c r="F75" s="574"/>
    </row>
    <row r="76" spans="1:6" ht="12.75" customHeight="1">
      <c r="A76" s="54"/>
      <c r="B76" s="55" t="s">
        <v>1259</v>
      </c>
      <c r="C76" s="295">
        <v>6500</v>
      </c>
      <c r="D76" s="295">
        <v>5702</v>
      </c>
      <c r="E76" s="295">
        <v>4868</v>
      </c>
      <c r="F76" s="574">
        <f aca="true" t="shared" si="1" ref="F76:F138">SUM(E76/D76)</f>
        <v>0.8537355313924938</v>
      </c>
    </row>
    <row r="77" spans="1:6" ht="12.75" customHeight="1">
      <c r="A77" s="54"/>
      <c r="B77" s="55" t="s">
        <v>1260</v>
      </c>
      <c r="C77" s="295"/>
      <c r="D77" s="295">
        <v>993</v>
      </c>
      <c r="E77" s="295">
        <v>1326</v>
      </c>
      <c r="F77" s="574">
        <f t="shared" si="1"/>
        <v>1.3353474320241692</v>
      </c>
    </row>
    <row r="78" spans="1:6" ht="12.75" customHeight="1" thickBot="1">
      <c r="A78" s="54"/>
      <c r="B78" s="60" t="s">
        <v>1261</v>
      </c>
      <c r="C78" s="382"/>
      <c r="D78" s="382"/>
      <c r="E78" s="382"/>
      <c r="F78" s="576"/>
    </row>
    <row r="79" spans="1:6" ht="12.75" customHeight="1" thickBot="1">
      <c r="A79" s="54"/>
      <c r="B79" s="233" t="s">
        <v>1249</v>
      </c>
      <c r="C79" s="386">
        <f>SUM(C73:C78)</f>
        <v>6900</v>
      </c>
      <c r="D79" s="386">
        <f>SUM(D73:D78)</f>
        <v>7095</v>
      </c>
      <c r="E79" s="386">
        <f>SUM(E73:E78)</f>
        <v>6399</v>
      </c>
      <c r="F79" s="938">
        <f t="shared" si="1"/>
        <v>0.9019027484143763</v>
      </c>
    </row>
    <row r="80" spans="1:6" ht="12.75" customHeight="1">
      <c r="A80" s="54"/>
      <c r="B80" s="55" t="s">
        <v>1262</v>
      </c>
      <c r="C80" s="295">
        <v>61438</v>
      </c>
      <c r="D80" s="295">
        <v>63536</v>
      </c>
      <c r="E80" s="295">
        <v>61554</v>
      </c>
      <c r="F80" s="574">
        <f t="shared" si="1"/>
        <v>0.9688050868798791</v>
      </c>
    </row>
    <row r="81" spans="1:6" ht="12.75" customHeight="1">
      <c r="A81" s="54"/>
      <c r="B81" s="55" t="s">
        <v>1263</v>
      </c>
      <c r="C81" s="295">
        <v>5600</v>
      </c>
      <c r="D81" s="295">
        <v>5600</v>
      </c>
      <c r="E81" s="295">
        <v>5506</v>
      </c>
      <c r="F81" s="574">
        <f t="shared" si="1"/>
        <v>0.9832142857142857</v>
      </c>
    </row>
    <row r="82" spans="1:6" ht="12.75" customHeight="1" thickBot="1">
      <c r="A82" s="54"/>
      <c r="B82" s="55" t="s">
        <v>1264</v>
      </c>
      <c r="C82" s="382"/>
      <c r="D82" s="382"/>
      <c r="E82" s="382"/>
      <c r="F82" s="576"/>
    </row>
    <row r="83" spans="1:6" ht="12.75" customHeight="1" thickBot="1">
      <c r="A83" s="56"/>
      <c r="B83" s="57" t="s">
        <v>1252</v>
      </c>
      <c r="C83" s="298">
        <f>SUM(C80:C82)</f>
        <v>67038</v>
      </c>
      <c r="D83" s="298">
        <f>SUM(D80:D82)</f>
        <v>69136</v>
      </c>
      <c r="E83" s="298">
        <f>SUM(E80:E82)</f>
        <v>67060</v>
      </c>
      <c r="F83" s="938">
        <f t="shared" si="1"/>
        <v>0.9699722286507753</v>
      </c>
    </row>
    <row r="84" spans="1:6" ht="12.75" customHeight="1" thickBot="1">
      <c r="A84" s="3"/>
      <c r="B84" s="342" t="s">
        <v>1253</v>
      </c>
      <c r="C84" s="381"/>
      <c r="D84" s="381">
        <v>295</v>
      </c>
      <c r="E84" s="381">
        <v>295</v>
      </c>
      <c r="F84" s="942">
        <f t="shared" si="1"/>
        <v>1</v>
      </c>
    </row>
    <row r="85" spans="1:6" ht="12.75" customHeight="1" thickBot="1">
      <c r="A85" s="3"/>
      <c r="B85" s="179" t="s">
        <v>1254</v>
      </c>
      <c r="C85" s="386">
        <f>SUM(C83+C79+C84)</f>
        <v>73938</v>
      </c>
      <c r="D85" s="386">
        <f>SUM(D83+D79+D84)</f>
        <v>76526</v>
      </c>
      <c r="E85" s="386">
        <f>SUM(E83+E79+E84)</f>
        <v>73754</v>
      </c>
      <c r="F85" s="938">
        <f t="shared" si="1"/>
        <v>0.9637770169615556</v>
      </c>
    </row>
    <row r="86" spans="1:6" ht="12.75" customHeight="1" thickBot="1">
      <c r="A86" s="54"/>
      <c r="B86" s="233" t="s">
        <v>1267</v>
      </c>
      <c r="C86" s="381"/>
      <c r="D86" s="381"/>
      <c r="E86" s="381"/>
      <c r="F86" s="942"/>
    </row>
    <row r="87" spans="1:6" ht="12.75" customHeight="1">
      <c r="A87" s="54"/>
      <c r="B87" s="55" t="s">
        <v>1265</v>
      </c>
      <c r="C87" s="295"/>
      <c r="D87" s="295">
        <v>705</v>
      </c>
      <c r="E87" s="295">
        <v>705</v>
      </c>
      <c r="F87" s="574">
        <f t="shared" si="1"/>
        <v>1</v>
      </c>
    </row>
    <row r="88" spans="1:6" ht="12.75" customHeight="1" thickBot="1">
      <c r="A88" s="54"/>
      <c r="B88" s="341" t="s">
        <v>1266</v>
      </c>
      <c r="C88" s="382"/>
      <c r="D88" s="382"/>
      <c r="E88" s="382"/>
      <c r="F88" s="576"/>
    </row>
    <row r="89" spans="1:6" ht="12.75" customHeight="1" thickBot="1">
      <c r="A89" s="59"/>
      <c r="B89" s="342" t="s">
        <v>1255</v>
      </c>
      <c r="C89" s="382"/>
      <c r="D89" s="298">
        <f>SUM(D87:D88)</f>
        <v>705</v>
      </c>
      <c r="E89" s="298">
        <f>SUM(E87:E88)</f>
        <v>705</v>
      </c>
      <c r="F89" s="938">
        <f t="shared" si="1"/>
        <v>1</v>
      </c>
    </row>
    <row r="90" spans="1:6" ht="15.75" customHeight="1" thickBot="1">
      <c r="A90" s="59"/>
      <c r="B90" s="348" t="s">
        <v>1268</v>
      </c>
      <c r="C90" s="388">
        <f>SUM(C85+C86+C89)</f>
        <v>73938</v>
      </c>
      <c r="D90" s="388">
        <f>SUM(D85+D86+D89)</f>
        <v>77231</v>
      </c>
      <c r="E90" s="388">
        <f>SUM(E85+E86+E89)</f>
        <v>74459</v>
      </c>
      <c r="F90" s="938">
        <f t="shared" si="1"/>
        <v>0.9641076769690927</v>
      </c>
    </row>
    <row r="91" spans="1:6" ht="12.75" customHeight="1">
      <c r="A91" s="15"/>
      <c r="B91" s="343" t="s">
        <v>1269</v>
      </c>
      <c r="C91" s="295">
        <v>41523</v>
      </c>
      <c r="D91" s="295">
        <v>43743</v>
      </c>
      <c r="E91" s="295">
        <v>43069</v>
      </c>
      <c r="F91" s="574">
        <f t="shared" si="1"/>
        <v>0.9845918204055506</v>
      </c>
    </row>
    <row r="92" spans="1:6" ht="12.75" customHeight="1">
      <c r="A92" s="15"/>
      <c r="B92" s="343" t="s">
        <v>1270</v>
      </c>
      <c r="C92" s="295">
        <v>10915</v>
      </c>
      <c r="D92" s="295">
        <v>10859</v>
      </c>
      <c r="E92" s="295">
        <v>11070</v>
      </c>
      <c r="F92" s="574">
        <f t="shared" si="1"/>
        <v>1.019430886821991</v>
      </c>
    </row>
    <row r="93" spans="1:6" ht="12.75" customHeight="1">
      <c r="A93" s="15"/>
      <c r="B93" s="343" t="s">
        <v>1271</v>
      </c>
      <c r="C93" s="295">
        <v>21500</v>
      </c>
      <c r="D93" s="295">
        <v>21990</v>
      </c>
      <c r="E93" s="295">
        <v>18297</v>
      </c>
      <c r="F93" s="574">
        <f t="shared" si="1"/>
        <v>0.8320600272851296</v>
      </c>
    </row>
    <row r="94" spans="1:6" ht="12.75" customHeight="1">
      <c r="A94" s="15"/>
      <c r="B94" s="343" t="s">
        <v>1274</v>
      </c>
      <c r="C94" s="295"/>
      <c r="D94" s="295"/>
      <c r="E94" s="295"/>
      <c r="F94" s="574"/>
    </row>
    <row r="95" spans="1:6" ht="12.75" customHeight="1" thickBot="1">
      <c r="A95" s="15"/>
      <c r="B95" s="345" t="s">
        <v>1275</v>
      </c>
      <c r="C95" s="382"/>
      <c r="D95" s="382"/>
      <c r="E95" s="382"/>
      <c r="F95" s="576"/>
    </row>
    <row r="96" spans="1:6" ht="12.75" customHeight="1" thickBot="1">
      <c r="A96" s="15"/>
      <c r="B96" s="344" t="s">
        <v>868</v>
      </c>
      <c r="C96" s="386">
        <f>SUM(C91:C95)</f>
        <v>73938</v>
      </c>
      <c r="D96" s="386">
        <f>SUM(D91:D95)</f>
        <v>76592</v>
      </c>
      <c r="E96" s="386">
        <f>SUM(E91:E95)</f>
        <v>72436</v>
      </c>
      <c r="F96" s="938">
        <f t="shared" si="1"/>
        <v>0.9457384583246292</v>
      </c>
    </row>
    <row r="97" spans="1:6" ht="12.75" customHeight="1">
      <c r="A97" s="15"/>
      <c r="B97" s="343" t="s">
        <v>1276</v>
      </c>
      <c r="C97" s="295"/>
      <c r="D97" s="295"/>
      <c r="E97" s="295"/>
      <c r="F97" s="574"/>
    </row>
    <row r="98" spans="1:6" ht="12.75" customHeight="1">
      <c r="A98" s="15"/>
      <c r="B98" s="343" t="s">
        <v>1277</v>
      </c>
      <c r="C98" s="295"/>
      <c r="D98" s="295">
        <v>639</v>
      </c>
      <c r="E98" s="295">
        <v>639</v>
      </c>
      <c r="F98" s="574">
        <f t="shared" si="1"/>
        <v>1</v>
      </c>
    </row>
    <row r="99" spans="1:6" ht="12.75" customHeight="1" thickBot="1">
      <c r="A99" s="15"/>
      <c r="B99" s="346" t="s">
        <v>1278</v>
      </c>
      <c r="C99" s="382"/>
      <c r="D99" s="382"/>
      <c r="E99" s="382"/>
      <c r="F99" s="576"/>
    </row>
    <row r="100" spans="1:6" ht="12.75" customHeight="1" thickBot="1">
      <c r="A100" s="15"/>
      <c r="B100" s="347" t="s">
        <v>874</v>
      </c>
      <c r="C100" s="381"/>
      <c r="D100" s="386">
        <f>SUM(D98:D99)</f>
        <v>639</v>
      </c>
      <c r="E100" s="386">
        <f>SUM(E98:E99)</f>
        <v>639</v>
      </c>
      <c r="F100" s="938">
        <f t="shared" si="1"/>
        <v>1</v>
      </c>
    </row>
    <row r="101" spans="1:6" ht="12.75" customHeight="1" thickBot="1">
      <c r="A101" s="15"/>
      <c r="B101" s="613" t="s">
        <v>236</v>
      </c>
      <c r="C101" s="381"/>
      <c r="D101" s="381"/>
      <c r="E101" s="381">
        <v>-16</v>
      </c>
      <c r="F101" s="942"/>
    </row>
    <row r="102" spans="1:6" ht="15.75" thickBot="1">
      <c r="A102" s="371"/>
      <c r="B102" s="354" t="s">
        <v>890</v>
      </c>
      <c r="C102" s="388">
        <f>SUM(C96+C100)</f>
        <v>73938</v>
      </c>
      <c r="D102" s="388">
        <f>SUM(D96+D100)</f>
        <v>77231</v>
      </c>
      <c r="E102" s="388">
        <f>SUM(E96+E100+E101)</f>
        <v>73059</v>
      </c>
      <c r="F102" s="938">
        <f t="shared" si="1"/>
        <v>0.9459802410948971</v>
      </c>
    </row>
    <row r="103" spans="1:6" ht="15">
      <c r="A103" s="373">
        <v>2315</v>
      </c>
      <c r="B103" s="374" t="s">
        <v>1281</v>
      </c>
      <c r="C103" s="295"/>
      <c r="D103" s="295"/>
      <c r="E103" s="295"/>
      <c r="F103" s="574"/>
    </row>
    <row r="104" spans="1:6" ht="12.75">
      <c r="A104" s="355"/>
      <c r="B104" s="356" t="s">
        <v>1256</v>
      </c>
      <c r="C104" s="295">
        <v>1000</v>
      </c>
      <c r="D104" s="295"/>
      <c r="E104" s="295"/>
      <c r="F104" s="574"/>
    </row>
    <row r="105" spans="1:6" ht="12.75">
      <c r="A105" s="355"/>
      <c r="B105" s="356" t="s">
        <v>1257</v>
      </c>
      <c r="C105" s="295"/>
      <c r="D105" s="295"/>
      <c r="E105" s="295"/>
      <c r="F105" s="574"/>
    </row>
    <row r="106" spans="1:6" ht="12.75">
      <c r="A106" s="355"/>
      <c r="B106" s="356" t="s">
        <v>1258</v>
      </c>
      <c r="C106" s="295"/>
      <c r="D106" s="295"/>
      <c r="E106" s="295"/>
      <c r="F106" s="574"/>
    </row>
    <row r="107" spans="1:6" ht="12.75">
      <c r="A107" s="355"/>
      <c r="B107" s="356" t="s">
        <v>1259</v>
      </c>
      <c r="C107" s="295">
        <v>13757</v>
      </c>
      <c r="D107" s="295">
        <v>13757</v>
      </c>
      <c r="E107" s="295">
        <v>14021</v>
      </c>
      <c r="F107" s="574">
        <f t="shared" si="1"/>
        <v>1.0191902304281457</v>
      </c>
    </row>
    <row r="108" spans="1:6" ht="12.75">
      <c r="A108" s="355"/>
      <c r="B108" s="356" t="s">
        <v>1260</v>
      </c>
      <c r="C108" s="295">
        <v>5000</v>
      </c>
      <c r="D108" s="295">
        <v>6200</v>
      </c>
      <c r="E108" s="295">
        <v>6215</v>
      </c>
      <c r="F108" s="574">
        <f t="shared" si="1"/>
        <v>1.0024193548387097</v>
      </c>
    </row>
    <row r="109" spans="1:6" ht="13.5" thickBot="1">
      <c r="A109" s="355"/>
      <c r="B109" s="358" t="s">
        <v>1261</v>
      </c>
      <c r="C109" s="382"/>
      <c r="D109" s="382"/>
      <c r="E109" s="382"/>
      <c r="F109" s="576"/>
    </row>
    <row r="110" spans="1:6" ht="13.5" thickBot="1">
      <c r="A110" s="355"/>
      <c r="B110" s="359" t="s">
        <v>1249</v>
      </c>
      <c r="C110" s="386">
        <f>SUM(C104:C109)</f>
        <v>19757</v>
      </c>
      <c r="D110" s="386">
        <f>SUM(D104:D109)</f>
        <v>19957</v>
      </c>
      <c r="E110" s="386">
        <f>SUM(E104:E109)</f>
        <v>20236</v>
      </c>
      <c r="F110" s="938">
        <f t="shared" si="1"/>
        <v>1.0139800571228141</v>
      </c>
    </row>
    <row r="111" spans="1:6" ht="12.75">
      <c r="A111" s="355"/>
      <c r="B111" s="356" t="s">
        <v>1262</v>
      </c>
      <c r="C111" s="295">
        <v>197978</v>
      </c>
      <c r="D111" s="295">
        <v>207822</v>
      </c>
      <c r="E111" s="295">
        <v>204066</v>
      </c>
      <c r="F111" s="574">
        <f t="shared" si="1"/>
        <v>0.9819268412391373</v>
      </c>
    </row>
    <row r="112" spans="1:6" ht="12.75">
      <c r="A112" s="355"/>
      <c r="B112" s="356" t="s">
        <v>1263</v>
      </c>
      <c r="C112" s="295">
        <v>19000</v>
      </c>
      <c r="D112" s="295">
        <v>19000</v>
      </c>
      <c r="E112" s="295">
        <v>20819</v>
      </c>
      <c r="F112" s="574">
        <f t="shared" si="1"/>
        <v>1.0957368421052631</v>
      </c>
    </row>
    <row r="113" spans="1:6" ht="13.5" thickBot="1">
      <c r="A113" s="355"/>
      <c r="B113" s="356" t="s">
        <v>1264</v>
      </c>
      <c r="C113" s="382"/>
      <c r="D113" s="382"/>
      <c r="E113" s="382"/>
      <c r="F113" s="576"/>
    </row>
    <row r="114" spans="1:6" ht="13.5" thickBot="1">
      <c r="A114" s="360"/>
      <c r="B114" s="361" t="s">
        <v>1252</v>
      </c>
      <c r="C114" s="298">
        <f>SUM(C111:C113)</f>
        <v>216978</v>
      </c>
      <c r="D114" s="298">
        <f>SUM(D111:D113)</f>
        <v>226822</v>
      </c>
      <c r="E114" s="298">
        <f>SUM(E111:E113)</f>
        <v>224885</v>
      </c>
      <c r="F114" s="938">
        <f t="shared" si="1"/>
        <v>0.991460263995556</v>
      </c>
    </row>
    <row r="115" spans="1:6" ht="13.5" thickBot="1">
      <c r="A115" s="357"/>
      <c r="B115" s="362" t="s">
        <v>1253</v>
      </c>
      <c r="C115" s="381"/>
      <c r="D115" s="386">
        <v>330</v>
      </c>
      <c r="E115" s="386">
        <v>330</v>
      </c>
      <c r="F115" s="938">
        <f t="shared" si="1"/>
        <v>1</v>
      </c>
    </row>
    <row r="116" spans="1:6" ht="13.5" thickBot="1">
      <c r="A116" s="357"/>
      <c r="B116" s="362" t="s">
        <v>234</v>
      </c>
      <c r="C116" s="381"/>
      <c r="D116" s="381"/>
      <c r="E116" s="381">
        <v>2702</v>
      </c>
      <c r="F116" s="942"/>
    </row>
    <row r="117" spans="1:6" ht="13.5" thickBot="1">
      <c r="A117" s="357"/>
      <c r="B117" s="363" t="s">
        <v>1254</v>
      </c>
      <c r="C117" s="386">
        <f>SUM(C114+C110+C115)</f>
        <v>236735</v>
      </c>
      <c r="D117" s="386">
        <f>SUM(D114+D110+D115)</f>
        <v>247109</v>
      </c>
      <c r="E117" s="386">
        <f>SUM(E114+E110+E115+E116)</f>
        <v>248153</v>
      </c>
      <c r="F117" s="938">
        <f t="shared" si="1"/>
        <v>1.0042248562375309</v>
      </c>
    </row>
    <row r="118" spans="1:6" ht="13.5" thickBot="1">
      <c r="A118" s="355"/>
      <c r="B118" s="359" t="s">
        <v>1267</v>
      </c>
      <c r="C118" s="381"/>
      <c r="D118" s="381"/>
      <c r="E118" s="381"/>
      <c r="F118" s="942"/>
    </row>
    <row r="119" spans="1:6" ht="12.75">
      <c r="A119" s="355"/>
      <c r="B119" s="356" t="s">
        <v>1265</v>
      </c>
      <c r="C119" s="295"/>
      <c r="D119" s="295">
        <v>6900</v>
      </c>
      <c r="E119" s="295">
        <v>6900</v>
      </c>
      <c r="F119" s="574">
        <f t="shared" si="1"/>
        <v>1</v>
      </c>
    </row>
    <row r="120" spans="1:6" ht="13.5" thickBot="1">
      <c r="A120" s="355"/>
      <c r="B120" s="364" t="s">
        <v>1266</v>
      </c>
      <c r="C120" s="382"/>
      <c r="D120" s="382"/>
      <c r="E120" s="382"/>
      <c r="F120" s="576"/>
    </row>
    <row r="121" spans="1:6" ht="13.5" thickBot="1">
      <c r="A121" s="365"/>
      <c r="B121" s="362" t="s">
        <v>1255</v>
      </c>
      <c r="C121" s="382"/>
      <c r="D121" s="298">
        <f>SUM(D119:D120)</f>
        <v>6900</v>
      </c>
      <c r="E121" s="298">
        <f>SUM(E119:E120)</f>
        <v>6900</v>
      </c>
      <c r="F121" s="938">
        <f t="shared" si="1"/>
        <v>1</v>
      </c>
    </row>
    <row r="122" spans="1:6" ht="15.75" thickBot="1">
      <c r="A122" s="365"/>
      <c r="B122" s="366" t="s">
        <v>1268</v>
      </c>
      <c r="C122" s="388">
        <f>SUM(C117+C118+C121)</f>
        <v>236735</v>
      </c>
      <c r="D122" s="388">
        <f>SUM(D117+D118+D121)</f>
        <v>254009</v>
      </c>
      <c r="E122" s="388">
        <f>SUM(E117+E118+E121)</f>
        <v>255053</v>
      </c>
      <c r="F122" s="938">
        <f t="shared" si="1"/>
        <v>1.0041100905873415</v>
      </c>
    </row>
    <row r="123" spans="1:6" ht="12.75">
      <c r="A123" s="353"/>
      <c r="B123" s="367" t="s">
        <v>1269</v>
      </c>
      <c r="C123" s="295">
        <v>118822</v>
      </c>
      <c r="D123" s="295">
        <v>132046</v>
      </c>
      <c r="E123" s="295">
        <v>129427</v>
      </c>
      <c r="F123" s="574">
        <f t="shared" si="1"/>
        <v>0.9801660027566151</v>
      </c>
    </row>
    <row r="124" spans="1:6" ht="12.75">
      <c r="A124" s="353"/>
      <c r="B124" s="367" t="s">
        <v>1270</v>
      </c>
      <c r="C124" s="295">
        <v>31016</v>
      </c>
      <c r="D124" s="295">
        <v>34017</v>
      </c>
      <c r="E124" s="295">
        <v>32602</v>
      </c>
      <c r="F124" s="574">
        <f t="shared" si="1"/>
        <v>0.9584031513654937</v>
      </c>
    </row>
    <row r="125" spans="1:6" ht="12.75">
      <c r="A125" s="353"/>
      <c r="B125" s="367" t="s">
        <v>1271</v>
      </c>
      <c r="C125" s="295">
        <v>86897</v>
      </c>
      <c r="D125" s="295">
        <v>87946</v>
      </c>
      <c r="E125" s="295">
        <v>85196</v>
      </c>
      <c r="F125" s="574">
        <f t="shared" si="1"/>
        <v>0.9687308120892366</v>
      </c>
    </row>
    <row r="126" spans="1:6" ht="12.75">
      <c r="A126" s="353"/>
      <c r="B126" s="367" t="s">
        <v>1274</v>
      </c>
      <c r="C126" s="295"/>
      <c r="D126" s="295"/>
      <c r="E126" s="295"/>
      <c r="F126" s="574"/>
    </row>
    <row r="127" spans="1:6" ht="13.5" thickBot="1">
      <c r="A127" s="353"/>
      <c r="B127" s="368" t="s">
        <v>1275</v>
      </c>
      <c r="C127" s="382"/>
      <c r="D127" s="382"/>
      <c r="E127" s="382"/>
      <c r="F127" s="576"/>
    </row>
    <row r="128" spans="1:6" ht="13.5" thickBot="1">
      <c r="A128" s="353"/>
      <c r="B128" s="369" t="s">
        <v>868</v>
      </c>
      <c r="C128" s="386">
        <f>SUM(C123:C127)</f>
        <v>236735</v>
      </c>
      <c r="D128" s="386">
        <f>SUM(D123:D127)</f>
        <v>254009</v>
      </c>
      <c r="E128" s="386">
        <f>SUM(E123:E127)</f>
        <v>247225</v>
      </c>
      <c r="F128" s="938">
        <f t="shared" si="1"/>
        <v>0.9732922849190383</v>
      </c>
    </row>
    <row r="129" spans="1:6" ht="12.75">
      <c r="A129" s="353"/>
      <c r="B129" s="367" t="s">
        <v>1276</v>
      </c>
      <c r="C129" s="295"/>
      <c r="D129" s="295"/>
      <c r="E129" s="295"/>
      <c r="F129" s="574"/>
    </row>
    <row r="130" spans="1:6" ht="12.75">
      <c r="A130" s="353"/>
      <c r="B130" s="367" t="s">
        <v>1277</v>
      </c>
      <c r="C130" s="295"/>
      <c r="D130" s="295"/>
      <c r="E130" s="295"/>
      <c r="F130" s="574"/>
    </row>
    <row r="131" spans="1:6" ht="13.5" thickBot="1">
      <c r="A131" s="353"/>
      <c r="B131" s="370" t="s">
        <v>1278</v>
      </c>
      <c r="C131" s="382"/>
      <c r="D131" s="382"/>
      <c r="E131" s="382"/>
      <c r="F131" s="576"/>
    </row>
    <row r="132" spans="1:6" ht="13.5" thickBot="1">
      <c r="A132" s="353"/>
      <c r="B132" s="372" t="s">
        <v>874</v>
      </c>
      <c r="C132" s="381"/>
      <c r="D132" s="381"/>
      <c r="E132" s="381"/>
      <c r="F132" s="942"/>
    </row>
    <row r="133" spans="1:6" ht="13.5" thickBot="1">
      <c r="A133" s="353"/>
      <c r="B133" s="613" t="s">
        <v>236</v>
      </c>
      <c r="C133" s="381"/>
      <c r="D133" s="381"/>
      <c r="E133" s="381">
        <v>-482</v>
      </c>
      <c r="F133" s="942"/>
    </row>
    <row r="134" spans="1:6" ht="15.75" thickBot="1">
      <c r="A134" s="371"/>
      <c r="B134" s="354" t="s">
        <v>890</v>
      </c>
      <c r="C134" s="388">
        <f>SUM(C128+C132)</f>
        <v>236735</v>
      </c>
      <c r="D134" s="388">
        <f>SUM(D128+D132)</f>
        <v>254009</v>
      </c>
      <c r="E134" s="388">
        <f>SUM(E128+E132+E133)</f>
        <v>246743</v>
      </c>
      <c r="F134" s="938">
        <f t="shared" si="1"/>
        <v>0.9713947143605148</v>
      </c>
    </row>
    <row r="135" spans="1:6" ht="15" customHeight="1">
      <c r="A135" s="373">
        <v>2325</v>
      </c>
      <c r="B135" s="375" t="s">
        <v>1282</v>
      </c>
      <c r="C135" s="295"/>
      <c r="D135" s="295"/>
      <c r="E135" s="295"/>
      <c r="F135" s="574"/>
    </row>
    <row r="136" spans="1:6" ht="12.75">
      <c r="A136" s="355"/>
      <c r="B136" s="356" t="s">
        <v>1256</v>
      </c>
      <c r="C136" s="295">
        <v>600</v>
      </c>
      <c r="D136" s="295"/>
      <c r="E136" s="295">
        <v>293</v>
      </c>
      <c r="F136" s="574"/>
    </row>
    <row r="137" spans="1:6" ht="12.75">
      <c r="A137" s="355"/>
      <c r="B137" s="356" t="s">
        <v>1257</v>
      </c>
      <c r="C137" s="295"/>
      <c r="D137" s="295"/>
      <c r="E137" s="295"/>
      <c r="F137" s="574"/>
    </row>
    <row r="138" spans="1:6" ht="12.75">
      <c r="A138" s="355"/>
      <c r="B138" s="356" t="s">
        <v>1258</v>
      </c>
      <c r="C138" s="295"/>
      <c r="D138" s="295">
        <v>600</v>
      </c>
      <c r="E138" s="295"/>
      <c r="F138" s="574">
        <f t="shared" si="1"/>
        <v>0</v>
      </c>
    </row>
    <row r="139" spans="1:6" ht="12.75">
      <c r="A139" s="355"/>
      <c r="B139" s="356" t="s">
        <v>1259</v>
      </c>
      <c r="C139" s="295">
        <v>6800</v>
      </c>
      <c r="D139" s="295">
        <v>7150</v>
      </c>
      <c r="E139" s="295">
        <v>6180</v>
      </c>
      <c r="F139" s="574">
        <f aca="true" t="shared" si="2" ref="F139:F202">SUM(E139/D139)</f>
        <v>0.8643356643356643</v>
      </c>
    </row>
    <row r="140" spans="1:6" ht="12.75">
      <c r="A140" s="355"/>
      <c r="B140" s="356" t="s">
        <v>1260</v>
      </c>
      <c r="C140" s="295">
        <v>1800</v>
      </c>
      <c r="D140" s="295">
        <v>1800</v>
      </c>
      <c r="E140" s="295">
        <v>1675</v>
      </c>
      <c r="F140" s="574">
        <f t="shared" si="2"/>
        <v>0.9305555555555556</v>
      </c>
    </row>
    <row r="141" spans="1:6" ht="13.5" thickBot="1">
      <c r="A141" s="355"/>
      <c r="B141" s="358" t="s">
        <v>1261</v>
      </c>
      <c r="C141" s="382"/>
      <c r="D141" s="382"/>
      <c r="E141" s="382"/>
      <c r="F141" s="576"/>
    </row>
    <row r="142" spans="1:6" ht="13.5" thickBot="1">
      <c r="A142" s="355"/>
      <c r="B142" s="359" t="s">
        <v>1249</v>
      </c>
      <c r="C142" s="386">
        <f>SUM(C136:C141)</f>
        <v>9200</v>
      </c>
      <c r="D142" s="386">
        <f>SUM(D136:D141)</f>
        <v>9550</v>
      </c>
      <c r="E142" s="386">
        <f>SUM(E136:E141)</f>
        <v>8148</v>
      </c>
      <c r="F142" s="938">
        <f t="shared" si="2"/>
        <v>0.8531937172774869</v>
      </c>
    </row>
    <row r="143" spans="1:6" ht="12.75">
      <c r="A143" s="355"/>
      <c r="B143" s="356" t="s">
        <v>1262</v>
      </c>
      <c r="C143" s="295">
        <v>88381</v>
      </c>
      <c r="D143" s="295">
        <v>96343</v>
      </c>
      <c r="E143" s="295">
        <v>95797</v>
      </c>
      <c r="F143" s="574">
        <f t="shared" si="2"/>
        <v>0.9943327486169208</v>
      </c>
    </row>
    <row r="144" spans="1:6" ht="12.75">
      <c r="A144" s="355"/>
      <c r="B144" s="356" t="s">
        <v>1263</v>
      </c>
      <c r="C144" s="295">
        <v>7800</v>
      </c>
      <c r="D144" s="295">
        <v>7800</v>
      </c>
      <c r="E144" s="295">
        <v>8311</v>
      </c>
      <c r="F144" s="574">
        <f t="shared" si="2"/>
        <v>1.0655128205128206</v>
      </c>
    </row>
    <row r="145" spans="1:6" ht="13.5" thickBot="1">
      <c r="A145" s="355"/>
      <c r="B145" s="356" t="s">
        <v>1264</v>
      </c>
      <c r="C145" s="382"/>
      <c r="D145" s="382"/>
      <c r="E145" s="382"/>
      <c r="F145" s="576"/>
    </row>
    <row r="146" spans="1:6" ht="13.5" thickBot="1">
      <c r="A146" s="360"/>
      <c r="B146" s="361" t="s">
        <v>1252</v>
      </c>
      <c r="C146" s="298">
        <f>SUM(C143:C145)</f>
        <v>96181</v>
      </c>
      <c r="D146" s="298">
        <f>SUM(D143:D145)</f>
        <v>104143</v>
      </c>
      <c r="E146" s="298">
        <f>SUM(E143:E145)</f>
        <v>104108</v>
      </c>
      <c r="F146" s="938">
        <f t="shared" si="2"/>
        <v>0.9996639236434518</v>
      </c>
    </row>
    <row r="147" spans="1:6" ht="13.5" thickBot="1">
      <c r="A147" s="357"/>
      <c r="B147" s="362" t="s">
        <v>1253</v>
      </c>
      <c r="C147" s="381"/>
      <c r="D147" s="381">
        <v>310</v>
      </c>
      <c r="E147" s="381">
        <v>310</v>
      </c>
      <c r="F147" s="942">
        <f t="shared" si="2"/>
        <v>1</v>
      </c>
    </row>
    <row r="148" spans="1:6" ht="13.5" thickBot="1">
      <c r="A148" s="357"/>
      <c r="B148" s="363" t="s">
        <v>1254</v>
      </c>
      <c r="C148" s="386">
        <f>SUM(C146+C142+C147)</f>
        <v>105381</v>
      </c>
      <c r="D148" s="386">
        <f>SUM(D146+D142+D147)</f>
        <v>114003</v>
      </c>
      <c r="E148" s="386">
        <f>SUM(E146+E142+E147)</f>
        <v>112566</v>
      </c>
      <c r="F148" s="938">
        <f t="shared" si="2"/>
        <v>0.9873950685508276</v>
      </c>
    </row>
    <row r="149" spans="1:6" ht="13.5" thickBot="1">
      <c r="A149" s="355"/>
      <c r="B149" s="359" t="s">
        <v>1267</v>
      </c>
      <c r="C149" s="381"/>
      <c r="D149" s="381"/>
      <c r="E149" s="381"/>
      <c r="F149" s="942"/>
    </row>
    <row r="150" spans="1:6" ht="12.75">
      <c r="A150" s="355"/>
      <c r="B150" s="356" t="s">
        <v>1265</v>
      </c>
      <c r="C150" s="295"/>
      <c r="D150" s="295">
        <v>1085</v>
      </c>
      <c r="E150" s="295">
        <v>1085</v>
      </c>
      <c r="F150" s="574">
        <f t="shared" si="2"/>
        <v>1</v>
      </c>
    </row>
    <row r="151" spans="1:6" ht="13.5" thickBot="1">
      <c r="A151" s="355"/>
      <c r="B151" s="364" t="s">
        <v>1266</v>
      </c>
      <c r="C151" s="382"/>
      <c r="D151" s="382"/>
      <c r="E151" s="382"/>
      <c r="F151" s="576"/>
    </row>
    <row r="152" spans="1:6" ht="13.5" thickBot="1">
      <c r="A152" s="365"/>
      <c r="B152" s="362" t="s">
        <v>1255</v>
      </c>
      <c r="C152" s="382"/>
      <c r="D152" s="298">
        <f>SUM(D150:D151)</f>
        <v>1085</v>
      </c>
      <c r="E152" s="298">
        <f>SUM(E150:E151)</f>
        <v>1085</v>
      </c>
      <c r="F152" s="938">
        <f t="shared" si="2"/>
        <v>1</v>
      </c>
    </row>
    <row r="153" spans="1:6" ht="15.75" thickBot="1">
      <c r="A153" s="365"/>
      <c r="B153" s="366" t="s">
        <v>1268</v>
      </c>
      <c r="C153" s="388">
        <f>SUM(C148+C149+C152)</f>
        <v>105381</v>
      </c>
      <c r="D153" s="388">
        <f>SUM(D148+D149+D152)</f>
        <v>115088</v>
      </c>
      <c r="E153" s="388">
        <f>SUM(E148+E149+E152)</f>
        <v>113651</v>
      </c>
      <c r="F153" s="938">
        <f t="shared" si="2"/>
        <v>0.987513902405116</v>
      </c>
    </row>
    <row r="154" spans="1:6" ht="12.75">
      <c r="A154" s="353"/>
      <c r="B154" s="367" t="s">
        <v>1269</v>
      </c>
      <c r="C154" s="295">
        <v>58869</v>
      </c>
      <c r="D154" s="295">
        <v>64154</v>
      </c>
      <c r="E154" s="295">
        <v>62153</v>
      </c>
      <c r="F154" s="574">
        <f t="shared" si="2"/>
        <v>0.968809427315522</v>
      </c>
    </row>
    <row r="155" spans="1:6" ht="12.75">
      <c r="A155" s="353"/>
      <c r="B155" s="367" t="s">
        <v>1270</v>
      </c>
      <c r="C155" s="295">
        <v>15376</v>
      </c>
      <c r="D155" s="295">
        <v>16774</v>
      </c>
      <c r="E155" s="295">
        <v>16235</v>
      </c>
      <c r="F155" s="574">
        <f t="shared" si="2"/>
        <v>0.9678669369261953</v>
      </c>
    </row>
    <row r="156" spans="1:6" ht="12.75">
      <c r="A156" s="353"/>
      <c r="B156" s="367" t="s">
        <v>1271</v>
      </c>
      <c r="C156" s="295">
        <v>31136</v>
      </c>
      <c r="D156" s="295">
        <v>34160</v>
      </c>
      <c r="E156" s="295">
        <v>32735</v>
      </c>
      <c r="F156" s="574">
        <f t="shared" si="2"/>
        <v>0.9582845433255269</v>
      </c>
    </row>
    <row r="157" spans="1:6" ht="12.75">
      <c r="A157" s="353"/>
      <c r="B157" s="367" t="s">
        <v>1274</v>
      </c>
      <c r="C157" s="295"/>
      <c r="D157" s="295"/>
      <c r="E157" s="295"/>
      <c r="F157" s="574"/>
    </row>
    <row r="158" spans="1:6" ht="13.5" thickBot="1">
      <c r="A158" s="353"/>
      <c r="B158" s="368" t="s">
        <v>1275</v>
      </c>
      <c r="C158" s="382"/>
      <c r="D158" s="382"/>
      <c r="E158" s="382"/>
      <c r="F158" s="576"/>
    </row>
    <row r="159" spans="1:6" ht="13.5" thickBot="1">
      <c r="A159" s="353"/>
      <c r="B159" s="369" t="s">
        <v>868</v>
      </c>
      <c r="C159" s="386">
        <f>SUM(C154:C158)</f>
        <v>105381</v>
      </c>
      <c r="D159" s="386">
        <f>SUM(D154:D158)</f>
        <v>115088</v>
      </c>
      <c r="E159" s="386">
        <f>SUM(E154:E158)</f>
        <v>111123</v>
      </c>
      <c r="F159" s="938">
        <f t="shared" si="2"/>
        <v>0.9655481023217016</v>
      </c>
    </row>
    <row r="160" spans="1:6" ht="12.75">
      <c r="A160" s="353"/>
      <c r="B160" s="367" t="s">
        <v>1276</v>
      </c>
      <c r="C160" s="295"/>
      <c r="D160" s="295"/>
      <c r="E160" s="295"/>
      <c r="F160" s="574"/>
    </row>
    <row r="161" spans="1:6" ht="12.75">
      <c r="A161" s="353"/>
      <c r="B161" s="367" t="s">
        <v>1277</v>
      </c>
      <c r="C161" s="295"/>
      <c r="D161" s="295"/>
      <c r="E161" s="295"/>
      <c r="F161" s="574"/>
    </row>
    <row r="162" spans="1:6" ht="13.5" thickBot="1">
      <c r="A162" s="353"/>
      <c r="B162" s="370" t="s">
        <v>1278</v>
      </c>
      <c r="C162" s="382"/>
      <c r="D162" s="382"/>
      <c r="E162" s="382"/>
      <c r="F162" s="576"/>
    </row>
    <row r="163" spans="1:6" ht="13.5" thickBot="1">
      <c r="A163" s="353"/>
      <c r="B163" s="372" t="s">
        <v>874</v>
      </c>
      <c r="C163" s="381"/>
      <c r="D163" s="381"/>
      <c r="E163" s="382"/>
      <c r="F163" s="942"/>
    </row>
    <row r="164" spans="1:6" ht="13.5" thickBot="1">
      <c r="A164" s="353"/>
      <c r="B164" s="613" t="s">
        <v>236</v>
      </c>
      <c r="C164" s="381"/>
      <c r="D164" s="381"/>
      <c r="E164" s="381">
        <v>-668</v>
      </c>
      <c r="F164" s="942"/>
    </row>
    <row r="165" spans="1:6" ht="15.75" thickBot="1">
      <c r="A165" s="371"/>
      <c r="B165" s="354" t="s">
        <v>890</v>
      </c>
      <c r="C165" s="388">
        <f>SUM(C159+C163)</f>
        <v>105381</v>
      </c>
      <c r="D165" s="388">
        <f>SUM(D159+D163)</f>
        <v>115088</v>
      </c>
      <c r="E165" s="388">
        <f>SUM(E159+E163+E164)</f>
        <v>110455</v>
      </c>
      <c r="F165" s="938">
        <f t="shared" si="2"/>
        <v>0.9597438481857361</v>
      </c>
    </row>
    <row r="166" spans="1:6" ht="15">
      <c r="A166" s="373">
        <v>2330</v>
      </c>
      <c r="B166" s="374" t="s">
        <v>1283</v>
      </c>
      <c r="C166" s="295"/>
      <c r="D166" s="295"/>
      <c r="E166" s="295"/>
      <c r="F166" s="574"/>
    </row>
    <row r="167" spans="1:6" ht="12.75">
      <c r="A167" s="355"/>
      <c r="B167" s="356" t="s">
        <v>1256</v>
      </c>
      <c r="C167" s="295">
        <v>900</v>
      </c>
      <c r="D167" s="295"/>
      <c r="E167" s="295">
        <v>301</v>
      </c>
      <c r="F167" s="574"/>
    </row>
    <row r="168" spans="1:6" ht="12.75">
      <c r="A168" s="355"/>
      <c r="B168" s="356" t="s">
        <v>1257</v>
      </c>
      <c r="C168" s="295"/>
      <c r="D168" s="295"/>
      <c r="E168" s="295"/>
      <c r="F168" s="574"/>
    </row>
    <row r="169" spans="1:6" ht="12.75">
      <c r="A169" s="355"/>
      <c r="B169" s="356" t="s">
        <v>1258</v>
      </c>
      <c r="C169" s="295"/>
      <c r="D169" s="295">
        <v>900</v>
      </c>
      <c r="E169" s="295">
        <v>157</v>
      </c>
      <c r="F169" s="574">
        <f t="shared" si="2"/>
        <v>0.17444444444444446</v>
      </c>
    </row>
    <row r="170" spans="1:6" ht="12.75">
      <c r="A170" s="355"/>
      <c r="B170" s="356" t="s">
        <v>1259</v>
      </c>
      <c r="C170" s="295">
        <v>8200</v>
      </c>
      <c r="D170" s="295">
        <v>8200</v>
      </c>
      <c r="E170" s="295">
        <v>7973</v>
      </c>
      <c r="F170" s="574">
        <f t="shared" si="2"/>
        <v>0.9723170731707317</v>
      </c>
    </row>
    <row r="171" spans="1:6" ht="12.75">
      <c r="A171" s="355"/>
      <c r="B171" s="356" t="s">
        <v>1260</v>
      </c>
      <c r="C171" s="295">
        <v>2200</v>
      </c>
      <c r="D171" s="295">
        <v>2200</v>
      </c>
      <c r="E171" s="295">
        <v>2153</v>
      </c>
      <c r="F171" s="574">
        <f t="shared" si="2"/>
        <v>0.9786363636363636</v>
      </c>
    </row>
    <row r="172" spans="1:6" ht="13.5" thickBot="1">
      <c r="A172" s="355"/>
      <c r="B172" s="358" t="s">
        <v>1261</v>
      </c>
      <c r="C172" s="382"/>
      <c r="D172" s="382"/>
      <c r="E172" s="382"/>
      <c r="F172" s="576"/>
    </row>
    <row r="173" spans="1:6" ht="13.5" thickBot="1">
      <c r="A173" s="355"/>
      <c r="B173" s="359" t="s">
        <v>1249</v>
      </c>
      <c r="C173" s="386">
        <f>SUM(C167:C172)</f>
        <v>11300</v>
      </c>
      <c r="D173" s="386">
        <f>SUM(D167:D172)</f>
        <v>11300</v>
      </c>
      <c r="E173" s="386">
        <f>SUM(E167:E172)</f>
        <v>10584</v>
      </c>
      <c r="F173" s="938">
        <f t="shared" si="2"/>
        <v>0.9366371681415929</v>
      </c>
    </row>
    <row r="174" spans="1:6" ht="12.75">
      <c r="A174" s="355"/>
      <c r="B174" s="356" t="s">
        <v>1262</v>
      </c>
      <c r="C174" s="295">
        <v>84858</v>
      </c>
      <c r="D174" s="295">
        <v>88396</v>
      </c>
      <c r="E174" s="295">
        <v>87865</v>
      </c>
      <c r="F174" s="574">
        <f t="shared" si="2"/>
        <v>0.9939929408570524</v>
      </c>
    </row>
    <row r="175" spans="1:6" ht="12.75">
      <c r="A175" s="355"/>
      <c r="B175" s="356" t="s">
        <v>1263</v>
      </c>
      <c r="C175" s="295">
        <v>8000</v>
      </c>
      <c r="D175" s="295">
        <v>8000</v>
      </c>
      <c r="E175" s="295">
        <v>7675</v>
      </c>
      <c r="F175" s="574">
        <f t="shared" si="2"/>
        <v>0.959375</v>
      </c>
    </row>
    <row r="176" spans="1:6" ht="13.5" thickBot="1">
      <c r="A176" s="355"/>
      <c r="B176" s="356" t="s">
        <v>1264</v>
      </c>
      <c r="C176" s="382"/>
      <c r="D176" s="382"/>
      <c r="E176" s="382"/>
      <c r="F176" s="576"/>
    </row>
    <row r="177" spans="1:6" ht="13.5" thickBot="1">
      <c r="A177" s="360"/>
      <c r="B177" s="361" t="s">
        <v>1252</v>
      </c>
      <c r="C177" s="298">
        <f>SUM(C174:C176)</f>
        <v>92858</v>
      </c>
      <c r="D177" s="298">
        <f>SUM(D174:D176)</f>
        <v>96396</v>
      </c>
      <c r="E177" s="298">
        <f>SUM(E174:E176)</f>
        <v>95540</v>
      </c>
      <c r="F177" s="938">
        <f t="shared" si="2"/>
        <v>0.991119963483962</v>
      </c>
    </row>
    <row r="178" spans="1:6" ht="13.5" thickBot="1">
      <c r="A178" s="357"/>
      <c r="B178" s="362" t="s">
        <v>1253</v>
      </c>
      <c r="C178" s="381"/>
      <c r="D178" s="381">
        <v>170</v>
      </c>
      <c r="E178" s="381">
        <v>170</v>
      </c>
      <c r="F178" s="942">
        <f t="shared" si="2"/>
        <v>1</v>
      </c>
    </row>
    <row r="179" spans="1:6" ht="13.5" thickBot="1">
      <c r="A179" s="357"/>
      <c r="B179" s="233" t="s">
        <v>237</v>
      </c>
      <c r="C179" s="381"/>
      <c r="D179" s="381">
        <v>254</v>
      </c>
      <c r="E179" s="381">
        <v>254</v>
      </c>
      <c r="F179" s="942">
        <f t="shared" si="2"/>
        <v>1</v>
      </c>
    </row>
    <row r="180" spans="1:6" ht="13.5" thickBot="1">
      <c r="A180" s="357"/>
      <c r="B180" s="363" t="s">
        <v>1254</v>
      </c>
      <c r="C180" s="386">
        <f>SUM(C177+C173+C178)</f>
        <v>104158</v>
      </c>
      <c r="D180" s="386">
        <f>SUM(D173+D177+D178+D179)</f>
        <v>108120</v>
      </c>
      <c r="E180" s="386">
        <f>SUM(E173+E177+E178+E179)</f>
        <v>106548</v>
      </c>
      <c r="F180" s="938">
        <f t="shared" si="2"/>
        <v>0.9854605993340733</v>
      </c>
    </row>
    <row r="181" spans="1:6" ht="13.5" thickBot="1">
      <c r="A181" s="355"/>
      <c r="B181" s="359" t="s">
        <v>1267</v>
      </c>
      <c r="C181" s="381"/>
      <c r="D181" s="381"/>
      <c r="E181" s="381"/>
      <c r="F181" s="942"/>
    </row>
    <row r="182" spans="1:6" ht="12.75">
      <c r="A182" s="355"/>
      <c r="B182" s="356" t="s">
        <v>1265</v>
      </c>
      <c r="C182" s="295"/>
      <c r="D182" s="295">
        <v>1142</v>
      </c>
      <c r="E182" s="295">
        <v>1142</v>
      </c>
      <c r="F182" s="574">
        <f t="shared" si="2"/>
        <v>1</v>
      </c>
    </row>
    <row r="183" spans="1:6" ht="13.5" thickBot="1">
      <c r="A183" s="355"/>
      <c r="B183" s="364" t="s">
        <v>1266</v>
      </c>
      <c r="C183" s="382"/>
      <c r="D183" s="382"/>
      <c r="E183" s="382"/>
      <c r="F183" s="576"/>
    </row>
    <row r="184" spans="1:6" ht="13.5" thickBot="1">
      <c r="A184" s="365"/>
      <c r="B184" s="362" t="s">
        <v>1255</v>
      </c>
      <c r="C184" s="382"/>
      <c r="D184" s="298">
        <f>SUM(D182:D183)</f>
        <v>1142</v>
      </c>
      <c r="E184" s="298">
        <f>SUM(E182:E183)</f>
        <v>1142</v>
      </c>
      <c r="F184" s="938">
        <f t="shared" si="2"/>
        <v>1</v>
      </c>
    </row>
    <row r="185" spans="1:6" ht="15.75" thickBot="1">
      <c r="A185" s="365"/>
      <c r="B185" s="366" t="s">
        <v>1268</v>
      </c>
      <c r="C185" s="388">
        <f>SUM(C180+C181+C184)</f>
        <v>104158</v>
      </c>
      <c r="D185" s="388">
        <f>SUM(D180+D181+D184)</f>
        <v>109262</v>
      </c>
      <c r="E185" s="388">
        <f>SUM(E180+E181+E184)</f>
        <v>107690</v>
      </c>
      <c r="F185" s="938">
        <f t="shared" si="2"/>
        <v>0.9856125642949973</v>
      </c>
    </row>
    <row r="186" spans="1:6" ht="12.75">
      <c r="A186" s="353"/>
      <c r="B186" s="367" t="s">
        <v>1269</v>
      </c>
      <c r="C186" s="295">
        <v>50246</v>
      </c>
      <c r="D186" s="295">
        <v>53648</v>
      </c>
      <c r="E186" s="295">
        <v>52435</v>
      </c>
      <c r="F186" s="574">
        <f t="shared" si="2"/>
        <v>0.9773896510587533</v>
      </c>
    </row>
    <row r="187" spans="1:6" ht="12.75">
      <c r="A187" s="353"/>
      <c r="B187" s="367" t="s">
        <v>1270</v>
      </c>
      <c r="C187" s="295">
        <v>13128</v>
      </c>
      <c r="D187" s="295">
        <v>14024</v>
      </c>
      <c r="E187" s="295">
        <v>13621</v>
      </c>
      <c r="F187" s="574">
        <f t="shared" si="2"/>
        <v>0.9712635482030805</v>
      </c>
    </row>
    <row r="188" spans="1:6" ht="12.75">
      <c r="A188" s="353"/>
      <c r="B188" s="367" t="s">
        <v>1271</v>
      </c>
      <c r="C188" s="295">
        <v>40784</v>
      </c>
      <c r="D188" s="295">
        <v>41590</v>
      </c>
      <c r="E188" s="295">
        <v>40648</v>
      </c>
      <c r="F188" s="574">
        <f t="shared" si="2"/>
        <v>0.9773503245972589</v>
      </c>
    </row>
    <row r="189" spans="1:6" ht="12.75">
      <c r="A189" s="353"/>
      <c r="B189" s="367" t="s">
        <v>1274</v>
      </c>
      <c r="C189" s="295"/>
      <c r="D189" s="295"/>
      <c r="E189" s="295"/>
      <c r="F189" s="574"/>
    </row>
    <row r="190" spans="1:6" ht="13.5" thickBot="1">
      <c r="A190" s="353"/>
      <c r="B190" s="368" t="s">
        <v>1275</v>
      </c>
      <c r="C190" s="382"/>
      <c r="D190" s="382"/>
      <c r="E190" s="382"/>
      <c r="F190" s="576"/>
    </row>
    <row r="191" spans="1:6" ht="13.5" thickBot="1">
      <c r="A191" s="353"/>
      <c r="B191" s="369" t="s">
        <v>868</v>
      </c>
      <c r="C191" s="386">
        <f>SUM(C186:C190)</f>
        <v>104158</v>
      </c>
      <c r="D191" s="386">
        <f>SUM(D186:D190)</f>
        <v>109262</v>
      </c>
      <c r="E191" s="386">
        <f>SUM(E186:E190)</f>
        <v>106704</v>
      </c>
      <c r="F191" s="938">
        <f t="shared" si="2"/>
        <v>0.9765883838846077</v>
      </c>
    </row>
    <row r="192" spans="1:6" ht="12.75">
      <c r="A192" s="353"/>
      <c r="B192" s="367" t="s">
        <v>1276</v>
      </c>
      <c r="C192" s="295"/>
      <c r="D192" s="295"/>
      <c r="E192" s="295"/>
      <c r="F192" s="574"/>
    </row>
    <row r="193" spans="1:6" ht="12.75">
      <c r="A193" s="353"/>
      <c r="B193" s="367" t="s">
        <v>1277</v>
      </c>
      <c r="C193" s="295"/>
      <c r="D193" s="295"/>
      <c r="E193" s="295"/>
      <c r="F193" s="574"/>
    </row>
    <row r="194" spans="1:6" ht="13.5" thickBot="1">
      <c r="A194" s="353"/>
      <c r="B194" s="370" t="s">
        <v>1278</v>
      </c>
      <c r="C194" s="382"/>
      <c r="D194" s="382"/>
      <c r="E194" s="382"/>
      <c r="F194" s="576"/>
    </row>
    <row r="195" spans="1:6" ht="13.5" thickBot="1">
      <c r="A195" s="353"/>
      <c r="B195" s="372" t="s">
        <v>874</v>
      </c>
      <c r="C195" s="381"/>
      <c r="D195" s="381"/>
      <c r="E195" s="381"/>
      <c r="F195" s="942"/>
    </row>
    <row r="196" spans="1:6" ht="13.5" thickBot="1">
      <c r="A196" s="353"/>
      <c r="B196" s="613" t="s">
        <v>236</v>
      </c>
      <c r="C196" s="381"/>
      <c r="D196" s="381"/>
      <c r="E196" s="381">
        <v>-660</v>
      </c>
      <c r="F196" s="942"/>
    </row>
    <row r="197" spans="1:6" ht="15.75" thickBot="1">
      <c r="A197" s="371"/>
      <c r="B197" s="354" t="s">
        <v>890</v>
      </c>
      <c r="C197" s="388">
        <f>SUM(C191+C195)</f>
        <v>104158</v>
      </c>
      <c r="D197" s="388">
        <f>SUM(D191+D195)</f>
        <v>109262</v>
      </c>
      <c r="E197" s="388">
        <f>SUM(E191+E195+E196)</f>
        <v>106044</v>
      </c>
      <c r="F197" s="938">
        <f t="shared" si="2"/>
        <v>0.970547857443576</v>
      </c>
    </row>
    <row r="198" spans="1:6" ht="15">
      <c r="A198" s="376">
        <v>2335</v>
      </c>
      <c r="B198" s="374" t="s">
        <v>1284</v>
      </c>
      <c r="C198" s="295"/>
      <c r="D198" s="295"/>
      <c r="E198" s="295"/>
      <c r="F198" s="574"/>
    </row>
    <row r="199" spans="1:6" ht="12.75">
      <c r="A199" s="355"/>
      <c r="B199" s="356" t="s">
        <v>1256</v>
      </c>
      <c r="C199" s="295">
        <v>400</v>
      </c>
      <c r="D199" s="295">
        <v>218</v>
      </c>
      <c r="E199" s="295">
        <v>176</v>
      </c>
      <c r="F199" s="574">
        <f t="shared" si="2"/>
        <v>0.8073394495412844</v>
      </c>
    </row>
    <row r="200" spans="1:6" ht="12.75">
      <c r="A200" s="355"/>
      <c r="B200" s="356" t="s">
        <v>1257</v>
      </c>
      <c r="C200" s="295"/>
      <c r="D200" s="295"/>
      <c r="E200" s="295"/>
      <c r="F200" s="574"/>
    </row>
    <row r="201" spans="1:6" ht="12.75">
      <c r="A201" s="355"/>
      <c r="B201" s="356" t="s">
        <v>1258</v>
      </c>
      <c r="C201" s="295"/>
      <c r="D201" s="295"/>
      <c r="E201" s="295"/>
      <c r="F201" s="574"/>
    </row>
    <row r="202" spans="1:6" ht="12.75">
      <c r="A202" s="355"/>
      <c r="B202" s="356" t="s">
        <v>1259</v>
      </c>
      <c r="C202" s="295">
        <v>6250</v>
      </c>
      <c r="D202" s="295">
        <v>5577</v>
      </c>
      <c r="E202" s="295">
        <v>4588</v>
      </c>
      <c r="F202" s="574">
        <f t="shared" si="2"/>
        <v>0.8226645149722073</v>
      </c>
    </row>
    <row r="203" spans="1:6" ht="12.75">
      <c r="A203" s="355"/>
      <c r="B203" s="356" t="s">
        <v>1260</v>
      </c>
      <c r="C203" s="295"/>
      <c r="D203" s="295">
        <v>855</v>
      </c>
      <c r="E203" s="295">
        <v>1206</v>
      </c>
      <c r="F203" s="574">
        <f aca="true" t="shared" si="3" ref="F203:F266">SUM(E203/D203)</f>
        <v>1.4105263157894736</v>
      </c>
    </row>
    <row r="204" spans="1:6" ht="13.5" thickBot="1">
      <c r="A204" s="355"/>
      <c r="B204" s="358" t="s">
        <v>1261</v>
      </c>
      <c r="C204" s="382"/>
      <c r="D204" s="382"/>
      <c r="E204" s="382"/>
      <c r="F204" s="576"/>
    </row>
    <row r="205" spans="1:6" ht="13.5" thickBot="1">
      <c r="A205" s="355"/>
      <c r="B205" s="359" t="s">
        <v>1249</v>
      </c>
      <c r="C205" s="386">
        <f>SUM(C199:C204)</f>
        <v>6650</v>
      </c>
      <c r="D205" s="386">
        <f>SUM(D199:D204)</f>
        <v>6650</v>
      </c>
      <c r="E205" s="386">
        <f>SUM(E199:E204)</f>
        <v>5970</v>
      </c>
      <c r="F205" s="938">
        <f t="shared" si="3"/>
        <v>0.8977443609022556</v>
      </c>
    </row>
    <row r="206" spans="1:6" ht="12.75">
      <c r="A206" s="355"/>
      <c r="B206" s="356" t="s">
        <v>1262</v>
      </c>
      <c r="C206" s="295">
        <v>47894</v>
      </c>
      <c r="D206" s="295">
        <v>50531</v>
      </c>
      <c r="E206" s="295">
        <v>48294</v>
      </c>
      <c r="F206" s="574">
        <f t="shared" si="3"/>
        <v>0.9557301458510618</v>
      </c>
    </row>
    <row r="207" spans="1:6" ht="12.75">
      <c r="A207" s="355"/>
      <c r="B207" s="356" t="s">
        <v>1263</v>
      </c>
      <c r="C207" s="295">
        <v>5000</v>
      </c>
      <c r="D207" s="295">
        <v>5000</v>
      </c>
      <c r="E207" s="295">
        <v>4708</v>
      </c>
      <c r="F207" s="574">
        <f t="shared" si="3"/>
        <v>0.9416</v>
      </c>
    </row>
    <row r="208" spans="1:6" ht="13.5" thickBot="1">
      <c r="A208" s="355"/>
      <c r="B208" s="356" t="s">
        <v>1264</v>
      </c>
      <c r="C208" s="382"/>
      <c r="D208" s="382"/>
      <c r="E208" s="382"/>
      <c r="F208" s="576"/>
    </row>
    <row r="209" spans="1:6" ht="13.5" thickBot="1">
      <c r="A209" s="360"/>
      <c r="B209" s="361" t="s">
        <v>1252</v>
      </c>
      <c r="C209" s="298">
        <f>SUM(C206:C208)</f>
        <v>52894</v>
      </c>
      <c r="D209" s="298">
        <f>SUM(D206:D208)</f>
        <v>55531</v>
      </c>
      <c r="E209" s="298">
        <f>SUM(E206:E208)</f>
        <v>53002</v>
      </c>
      <c r="F209" s="938">
        <f t="shared" si="3"/>
        <v>0.9544578703787074</v>
      </c>
    </row>
    <row r="210" spans="1:6" ht="13.5" thickBot="1">
      <c r="A210" s="357"/>
      <c r="B210" s="362" t="s">
        <v>1253</v>
      </c>
      <c r="C210" s="381"/>
      <c r="D210" s="381">
        <v>295</v>
      </c>
      <c r="E210" s="381">
        <v>295</v>
      </c>
      <c r="F210" s="942">
        <f t="shared" si="3"/>
        <v>1</v>
      </c>
    </row>
    <row r="211" spans="1:6" ht="13.5" thickBot="1">
      <c r="A211" s="357"/>
      <c r="B211" s="363" t="s">
        <v>1254</v>
      </c>
      <c r="C211" s="386">
        <f>SUM(C209+C205+C210)</f>
        <v>59544</v>
      </c>
      <c r="D211" s="386">
        <f>SUM(D209+D205+D210)</f>
        <v>62476</v>
      </c>
      <c r="E211" s="386">
        <f>SUM(E209+E205+E210)</f>
        <v>59267</v>
      </c>
      <c r="F211" s="938">
        <f t="shared" si="3"/>
        <v>0.9486362763301107</v>
      </c>
    </row>
    <row r="212" spans="1:6" ht="13.5" thickBot="1">
      <c r="A212" s="355"/>
      <c r="B212" s="359" t="s">
        <v>1267</v>
      </c>
      <c r="C212" s="381"/>
      <c r="D212" s="381"/>
      <c r="E212" s="381"/>
      <c r="F212" s="942"/>
    </row>
    <row r="213" spans="1:6" ht="12.75">
      <c r="A213" s="355"/>
      <c r="B213" s="356" t="s">
        <v>1265</v>
      </c>
      <c r="C213" s="295"/>
      <c r="D213" s="295">
        <v>772</v>
      </c>
      <c r="E213" s="295">
        <v>772</v>
      </c>
      <c r="F213" s="574">
        <f t="shared" si="3"/>
        <v>1</v>
      </c>
    </row>
    <row r="214" spans="1:6" ht="13.5" thickBot="1">
      <c r="A214" s="355"/>
      <c r="B214" s="364" t="s">
        <v>1266</v>
      </c>
      <c r="C214" s="382"/>
      <c r="D214" s="382"/>
      <c r="E214" s="382"/>
      <c r="F214" s="576"/>
    </row>
    <row r="215" spans="1:6" ht="13.5" thickBot="1">
      <c r="A215" s="365"/>
      <c r="B215" s="362" t="s">
        <v>1255</v>
      </c>
      <c r="C215" s="382"/>
      <c r="D215" s="298">
        <f>SUM(D213:D214)</f>
        <v>772</v>
      </c>
      <c r="E215" s="298">
        <f>SUM(E213:E214)</f>
        <v>772</v>
      </c>
      <c r="F215" s="938">
        <f t="shared" si="3"/>
        <v>1</v>
      </c>
    </row>
    <row r="216" spans="1:6" ht="15.75" thickBot="1">
      <c r="A216" s="365"/>
      <c r="B216" s="366" t="s">
        <v>1268</v>
      </c>
      <c r="C216" s="388">
        <f>SUM(C211+C212+C215)</f>
        <v>59544</v>
      </c>
      <c r="D216" s="388">
        <f>SUM(D211+D212+D215)</f>
        <v>63248</v>
      </c>
      <c r="E216" s="388">
        <f>SUM(E211+E212+E215)</f>
        <v>60039</v>
      </c>
      <c r="F216" s="938">
        <f t="shared" si="3"/>
        <v>0.9492632178092588</v>
      </c>
    </row>
    <row r="217" spans="1:6" ht="12.75">
      <c r="A217" s="353"/>
      <c r="B217" s="367" t="s">
        <v>1269</v>
      </c>
      <c r="C217" s="295">
        <v>31045</v>
      </c>
      <c r="D217" s="295">
        <v>33741</v>
      </c>
      <c r="E217" s="295">
        <v>33252</v>
      </c>
      <c r="F217" s="574">
        <f t="shared" si="3"/>
        <v>0.9855072463768116</v>
      </c>
    </row>
    <row r="218" spans="1:6" ht="12.75">
      <c r="A218" s="353"/>
      <c r="B218" s="367" t="s">
        <v>1270</v>
      </c>
      <c r="C218" s="295">
        <v>8136</v>
      </c>
      <c r="D218" s="295">
        <v>8849</v>
      </c>
      <c r="E218" s="295">
        <v>8668</v>
      </c>
      <c r="F218" s="574">
        <f t="shared" si="3"/>
        <v>0.9795457113798169</v>
      </c>
    </row>
    <row r="219" spans="1:6" ht="12.75">
      <c r="A219" s="353"/>
      <c r="B219" s="367" t="s">
        <v>1271</v>
      </c>
      <c r="C219" s="295">
        <v>20363</v>
      </c>
      <c r="D219" s="295">
        <v>20658</v>
      </c>
      <c r="E219" s="295">
        <v>15534</v>
      </c>
      <c r="F219" s="574">
        <f t="shared" si="3"/>
        <v>0.7519604995643334</v>
      </c>
    </row>
    <row r="220" spans="1:6" ht="12.75">
      <c r="A220" s="353"/>
      <c r="B220" s="367" t="s">
        <v>1274</v>
      </c>
      <c r="C220" s="295"/>
      <c r="D220" s="295"/>
      <c r="E220" s="295"/>
      <c r="F220" s="574"/>
    </row>
    <row r="221" spans="1:6" ht="13.5" thickBot="1">
      <c r="A221" s="353"/>
      <c r="B221" s="368" t="s">
        <v>1275</v>
      </c>
      <c r="C221" s="382"/>
      <c r="D221" s="382"/>
      <c r="E221" s="382"/>
      <c r="F221" s="576"/>
    </row>
    <row r="222" spans="1:6" ht="13.5" thickBot="1">
      <c r="A222" s="353"/>
      <c r="B222" s="369" t="s">
        <v>868</v>
      </c>
      <c r="C222" s="386">
        <f>SUM(C217:C221)</f>
        <v>59544</v>
      </c>
      <c r="D222" s="386">
        <f>SUM(D217:D221)</f>
        <v>63248</v>
      </c>
      <c r="E222" s="386">
        <f>SUM(E217:E221)</f>
        <v>57454</v>
      </c>
      <c r="F222" s="938">
        <f t="shared" si="3"/>
        <v>0.9083923602327346</v>
      </c>
    </row>
    <row r="223" spans="1:6" ht="12.75">
      <c r="A223" s="353"/>
      <c r="B223" s="367" t="s">
        <v>1276</v>
      </c>
      <c r="C223" s="295"/>
      <c r="D223" s="295"/>
      <c r="E223" s="295"/>
      <c r="F223" s="574"/>
    </row>
    <row r="224" spans="1:6" ht="12.75">
      <c r="A224" s="353"/>
      <c r="B224" s="367" t="s">
        <v>1277</v>
      </c>
      <c r="C224" s="295"/>
      <c r="D224" s="295"/>
      <c r="E224" s="295"/>
      <c r="F224" s="574"/>
    </row>
    <row r="225" spans="1:6" ht="13.5" thickBot="1">
      <c r="A225" s="353"/>
      <c r="B225" s="370" t="s">
        <v>1278</v>
      </c>
      <c r="C225" s="382"/>
      <c r="D225" s="382"/>
      <c r="E225" s="382"/>
      <c r="F225" s="576"/>
    </row>
    <row r="226" spans="1:6" ht="13.5" thickBot="1">
      <c r="A226" s="353"/>
      <c r="B226" s="372" t="s">
        <v>874</v>
      </c>
      <c r="C226" s="381"/>
      <c r="D226" s="381"/>
      <c r="E226" s="381"/>
      <c r="F226" s="942"/>
    </row>
    <row r="227" spans="1:6" ht="13.5" thickBot="1">
      <c r="A227" s="353"/>
      <c r="B227" s="613" t="s">
        <v>236</v>
      </c>
      <c r="C227" s="381"/>
      <c r="D227" s="381"/>
      <c r="E227" s="381">
        <v>25</v>
      </c>
      <c r="F227" s="942"/>
    </row>
    <row r="228" spans="1:6" ht="15.75" thickBot="1">
      <c r="A228" s="371"/>
      <c r="B228" s="354" t="s">
        <v>890</v>
      </c>
      <c r="C228" s="388">
        <f>SUM(C222+C226)</f>
        <v>59544</v>
      </c>
      <c r="D228" s="388">
        <f>SUM(D222+D226)</f>
        <v>63248</v>
      </c>
      <c r="E228" s="388">
        <f>SUM(E222+E226+E227)</f>
        <v>57479</v>
      </c>
      <c r="F228" s="938">
        <f t="shared" si="3"/>
        <v>0.9087876296483683</v>
      </c>
    </row>
    <row r="229" spans="1:6" ht="15">
      <c r="A229" s="373">
        <v>2345</v>
      </c>
      <c r="B229" s="377" t="s">
        <v>1285</v>
      </c>
      <c r="C229" s="295"/>
      <c r="D229" s="295"/>
      <c r="E229" s="295"/>
      <c r="F229" s="574"/>
    </row>
    <row r="230" spans="1:6" ht="12.75">
      <c r="A230" s="355"/>
      <c r="B230" s="356" t="s">
        <v>1256</v>
      </c>
      <c r="C230" s="295">
        <v>300</v>
      </c>
      <c r="D230" s="295">
        <v>109</v>
      </c>
      <c r="E230" s="295">
        <v>155</v>
      </c>
      <c r="F230" s="574">
        <f t="shared" si="3"/>
        <v>1.4220183486238531</v>
      </c>
    </row>
    <row r="231" spans="1:6" ht="12.75">
      <c r="A231" s="355"/>
      <c r="B231" s="356" t="s">
        <v>1257</v>
      </c>
      <c r="C231" s="295"/>
      <c r="D231" s="295"/>
      <c r="E231" s="295"/>
      <c r="F231" s="574"/>
    </row>
    <row r="232" spans="1:6" ht="12.75">
      <c r="A232" s="355"/>
      <c r="B232" s="356" t="s">
        <v>1258</v>
      </c>
      <c r="C232" s="295"/>
      <c r="D232" s="295"/>
      <c r="E232" s="295"/>
      <c r="F232" s="574"/>
    </row>
    <row r="233" spans="1:6" ht="12.75">
      <c r="A233" s="355"/>
      <c r="B233" s="356" t="s">
        <v>1259</v>
      </c>
      <c r="C233" s="295">
        <v>6250</v>
      </c>
      <c r="D233" s="295">
        <v>5578</v>
      </c>
      <c r="E233" s="295">
        <v>4386</v>
      </c>
      <c r="F233" s="574">
        <f t="shared" si="3"/>
        <v>0.7863033345285049</v>
      </c>
    </row>
    <row r="234" spans="1:6" ht="12.75">
      <c r="A234" s="355"/>
      <c r="B234" s="356" t="s">
        <v>1260</v>
      </c>
      <c r="C234" s="295"/>
      <c r="D234" s="295">
        <v>863</v>
      </c>
      <c r="E234" s="295">
        <v>1188</v>
      </c>
      <c r="F234" s="574">
        <f t="shared" si="3"/>
        <v>1.376593279258401</v>
      </c>
    </row>
    <row r="235" spans="1:6" ht="13.5" thickBot="1">
      <c r="A235" s="355"/>
      <c r="B235" s="358" t="s">
        <v>1261</v>
      </c>
      <c r="C235" s="382"/>
      <c r="D235" s="382"/>
      <c r="E235" s="382"/>
      <c r="F235" s="576"/>
    </row>
    <row r="236" spans="1:6" ht="13.5" thickBot="1">
      <c r="A236" s="355"/>
      <c r="B236" s="359" t="s">
        <v>1249</v>
      </c>
      <c r="C236" s="386">
        <f>SUM(C230:C235)</f>
        <v>6550</v>
      </c>
      <c r="D236" s="386">
        <f>SUM(D230:D235)</f>
        <v>6550</v>
      </c>
      <c r="E236" s="386">
        <f>SUM(E230:E235)</f>
        <v>5729</v>
      </c>
      <c r="F236" s="938">
        <f t="shared" si="3"/>
        <v>0.8746564885496183</v>
      </c>
    </row>
    <row r="237" spans="1:6" ht="12.75">
      <c r="A237" s="355"/>
      <c r="B237" s="356" t="s">
        <v>1262</v>
      </c>
      <c r="C237" s="295">
        <v>48966</v>
      </c>
      <c r="D237" s="295">
        <v>51567</v>
      </c>
      <c r="E237" s="295">
        <v>48910</v>
      </c>
      <c r="F237" s="574">
        <f t="shared" si="3"/>
        <v>0.9484747997750499</v>
      </c>
    </row>
    <row r="238" spans="1:6" ht="12.75">
      <c r="A238" s="355"/>
      <c r="B238" s="356" t="s">
        <v>1263</v>
      </c>
      <c r="C238" s="295">
        <v>4000</v>
      </c>
      <c r="D238" s="295">
        <v>4000</v>
      </c>
      <c r="E238" s="295">
        <v>4009</v>
      </c>
      <c r="F238" s="574">
        <f t="shared" si="3"/>
        <v>1.00225</v>
      </c>
    </row>
    <row r="239" spans="1:6" ht="13.5" thickBot="1">
      <c r="A239" s="355"/>
      <c r="B239" s="356" t="s">
        <v>1264</v>
      </c>
      <c r="C239" s="382"/>
      <c r="D239" s="382"/>
      <c r="E239" s="382"/>
      <c r="F239" s="576"/>
    </row>
    <row r="240" spans="1:6" ht="13.5" thickBot="1">
      <c r="A240" s="360"/>
      <c r="B240" s="361" t="s">
        <v>1252</v>
      </c>
      <c r="C240" s="298">
        <f>SUM(C237:C239)</f>
        <v>52966</v>
      </c>
      <c r="D240" s="298">
        <f>SUM(D237:D239)</f>
        <v>55567</v>
      </c>
      <c r="E240" s="298">
        <f>SUM(E237:E239)</f>
        <v>52919</v>
      </c>
      <c r="F240" s="938">
        <f t="shared" si="3"/>
        <v>0.9523458167617471</v>
      </c>
    </row>
    <row r="241" spans="1:6" ht="13.5" thickBot="1">
      <c r="A241" s="357"/>
      <c r="B241" s="362" t="s">
        <v>1253</v>
      </c>
      <c r="C241" s="381"/>
      <c r="D241" s="381">
        <v>350</v>
      </c>
      <c r="E241" s="381">
        <v>350</v>
      </c>
      <c r="F241" s="942">
        <f t="shared" si="3"/>
        <v>1</v>
      </c>
    </row>
    <row r="242" spans="1:6" ht="13.5" thickBot="1">
      <c r="A242" s="357"/>
      <c r="B242" s="363" t="s">
        <v>1254</v>
      </c>
      <c r="C242" s="386">
        <f>SUM(C240+C236+C241)</f>
        <v>59516</v>
      </c>
      <c r="D242" s="386">
        <f>SUM(D240+D236+D241)</f>
        <v>62467</v>
      </c>
      <c r="E242" s="386">
        <f>SUM(E240+E236+E241)</f>
        <v>58998</v>
      </c>
      <c r="F242" s="938">
        <f t="shared" si="3"/>
        <v>0.9444666784061985</v>
      </c>
    </row>
    <row r="243" spans="1:6" ht="13.5" thickBot="1">
      <c r="A243" s="355"/>
      <c r="B243" s="359" t="s">
        <v>1267</v>
      </c>
      <c r="C243" s="381"/>
      <c r="D243" s="381"/>
      <c r="E243" s="381"/>
      <c r="F243" s="942"/>
    </row>
    <row r="244" spans="1:6" ht="12.75">
      <c r="A244" s="355"/>
      <c r="B244" s="356" t="s">
        <v>1265</v>
      </c>
      <c r="C244" s="295"/>
      <c r="D244" s="295">
        <v>838</v>
      </c>
      <c r="E244" s="295">
        <v>838</v>
      </c>
      <c r="F244" s="574">
        <f t="shared" si="3"/>
        <v>1</v>
      </c>
    </row>
    <row r="245" spans="1:6" ht="13.5" thickBot="1">
      <c r="A245" s="355"/>
      <c r="B245" s="364" t="s">
        <v>1266</v>
      </c>
      <c r="C245" s="382"/>
      <c r="D245" s="382"/>
      <c r="E245" s="382"/>
      <c r="F245" s="576"/>
    </row>
    <row r="246" spans="1:6" ht="13.5" thickBot="1">
      <c r="A246" s="365"/>
      <c r="B246" s="362" t="s">
        <v>1255</v>
      </c>
      <c r="C246" s="382"/>
      <c r="D246" s="298">
        <f>SUM(D244:D245)</f>
        <v>838</v>
      </c>
      <c r="E246" s="298">
        <f>SUM(E244:E245)</f>
        <v>838</v>
      </c>
      <c r="F246" s="938">
        <f t="shared" si="3"/>
        <v>1</v>
      </c>
    </row>
    <row r="247" spans="1:6" ht="15.75" thickBot="1">
      <c r="A247" s="365"/>
      <c r="B247" s="366" t="s">
        <v>1268</v>
      </c>
      <c r="C247" s="388">
        <f>SUM(C242+C243+C246)</f>
        <v>59516</v>
      </c>
      <c r="D247" s="388">
        <f>SUM(D242+D243+D246)</f>
        <v>63305</v>
      </c>
      <c r="E247" s="388">
        <f>SUM(E242+E243+E246)</f>
        <v>59836</v>
      </c>
      <c r="F247" s="938">
        <f t="shared" si="3"/>
        <v>0.9452018008056235</v>
      </c>
    </row>
    <row r="248" spans="1:6" ht="12.75">
      <c r="A248" s="353"/>
      <c r="B248" s="367" t="s">
        <v>1269</v>
      </c>
      <c r="C248" s="295">
        <v>32745</v>
      </c>
      <c r="D248" s="295">
        <v>34805</v>
      </c>
      <c r="E248" s="295">
        <v>33774</v>
      </c>
      <c r="F248" s="574">
        <f t="shared" si="3"/>
        <v>0.9703778192788393</v>
      </c>
    </row>
    <row r="249" spans="1:6" ht="12.75">
      <c r="A249" s="353"/>
      <c r="B249" s="367" t="s">
        <v>1270</v>
      </c>
      <c r="C249" s="295">
        <v>8623</v>
      </c>
      <c r="D249" s="295">
        <v>9164</v>
      </c>
      <c r="E249" s="295">
        <v>8803</v>
      </c>
      <c r="F249" s="574">
        <f t="shared" si="3"/>
        <v>0.9606067219554779</v>
      </c>
    </row>
    <row r="250" spans="1:6" ht="12.75">
      <c r="A250" s="353"/>
      <c r="B250" s="367" t="s">
        <v>1271</v>
      </c>
      <c r="C250" s="295">
        <v>18148</v>
      </c>
      <c r="D250" s="295">
        <v>19336</v>
      </c>
      <c r="E250" s="295">
        <v>15116</v>
      </c>
      <c r="F250" s="574">
        <f t="shared" si="3"/>
        <v>0.7817542407943732</v>
      </c>
    </row>
    <row r="251" spans="1:6" ht="12.75">
      <c r="A251" s="353"/>
      <c r="B251" s="589" t="s">
        <v>216</v>
      </c>
      <c r="C251" s="295"/>
      <c r="D251" s="590">
        <v>1204</v>
      </c>
      <c r="E251" s="590">
        <v>1204</v>
      </c>
      <c r="F251" s="574">
        <f t="shared" si="3"/>
        <v>1</v>
      </c>
    </row>
    <row r="252" spans="1:6" ht="12.75">
      <c r="A252" s="353"/>
      <c r="B252" s="367" t="s">
        <v>1274</v>
      </c>
      <c r="C252" s="295"/>
      <c r="D252" s="295"/>
      <c r="E252" s="295"/>
      <c r="F252" s="574"/>
    </row>
    <row r="253" spans="1:6" ht="13.5" thickBot="1">
      <c r="A253" s="353"/>
      <c r="B253" s="368" t="s">
        <v>1275</v>
      </c>
      <c r="C253" s="382"/>
      <c r="D253" s="382"/>
      <c r="E253" s="382"/>
      <c r="F253" s="576"/>
    </row>
    <row r="254" spans="1:6" ht="13.5" thickBot="1">
      <c r="A254" s="353"/>
      <c r="B254" s="369" t="s">
        <v>868</v>
      </c>
      <c r="C254" s="386">
        <f>SUM(C248:C253)</f>
        <v>59516</v>
      </c>
      <c r="D254" s="386">
        <f>SUM(D248:D253)-D251</f>
        <v>63305</v>
      </c>
      <c r="E254" s="386">
        <f>SUM(E248:E253)-E251</f>
        <v>57693</v>
      </c>
      <c r="F254" s="938">
        <f t="shared" si="3"/>
        <v>0.9113498143906484</v>
      </c>
    </row>
    <row r="255" spans="1:6" ht="12.75">
      <c r="A255" s="353"/>
      <c r="B255" s="367" t="s">
        <v>1276</v>
      </c>
      <c r="C255" s="295"/>
      <c r="D255" s="295"/>
      <c r="E255" s="295"/>
      <c r="F255" s="574"/>
    </row>
    <row r="256" spans="1:6" ht="12.75">
      <c r="A256" s="353"/>
      <c r="B256" s="367" t="s">
        <v>1277</v>
      </c>
      <c r="C256" s="295"/>
      <c r="D256" s="295"/>
      <c r="E256" s="295"/>
      <c r="F256" s="574"/>
    </row>
    <row r="257" spans="1:6" ht="13.5" thickBot="1">
      <c r="A257" s="353"/>
      <c r="B257" s="370" t="s">
        <v>1278</v>
      </c>
      <c r="C257" s="382"/>
      <c r="D257" s="382"/>
      <c r="E257" s="382"/>
      <c r="F257" s="576"/>
    </row>
    <row r="258" spans="1:6" ht="13.5" thickBot="1">
      <c r="A258" s="353"/>
      <c r="B258" s="372" t="s">
        <v>874</v>
      </c>
      <c r="C258" s="381"/>
      <c r="D258" s="381"/>
      <c r="E258" s="381"/>
      <c r="F258" s="942"/>
    </row>
    <row r="259" spans="1:6" ht="13.5" thickBot="1">
      <c r="A259" s="353"/>
      <c r="B259" s="613" t="s">
        <v>236</v>
      </c>
      <c r="C259" s="381"/>
      <c r="D259" s="381"/>
      <c r="E259" s="381">
        <v>-43</v>
      </c>
      <c r="F259" s="942"/>
    </row>
    <row r="260" spans="1:6" ht="15.75" thickBot="1">
      <c r="A260" s="371"/>
      <c r="B260" s="354" t="s">
        <v>890</v>
      </c>
      <c r="C260" s="388">
        <f>SUM(C254+C258)</f>
        <v>59516</v>
      </c>
      <c r="D260" s="388">
        <f>SUM(D254+D258)</f>
        <v>63305</v>
      </c>
      <c r="E260" s="388">
        <f>SUM(E254+E258+E259)</f>
        <v>57650</v>
      </c>
      <c r="F260" s="938">
        <f t="shared" si="3"/>
        <v>0.9106705631466708</v>
      </c>
    </row>
    <row r="261" spans="1:6" ht="15">
      <c r="A261" s="373">
        <v>2360</v>
      </c>
      <c r="B261" s="375" t="s">
        <v>1286</v>
      </c>
      <c r="C261" s="295"/>
      <c r="D261" s="295"/>
      <c r="E261" s="295"/>
      <c r="F261" s="574"/>
    </row>
    <row r="262" spans="1:6" ht="12.75">
      <c r="A262" s="355"/>
      <c r="B262" s="356" t="s">
        <v>1256</v>
      </c>
      <c r="C262" s="295">
        <v>350</v>
      </c>
      <c r="D262" s="295">
        <v>118</v>
      </c>
      <c r="E262" s="295">
        <v>169</v>
      </c>
      <c r="F262" s="574">
        <f t="shared" si="3"/>
        <v>1.4322033898305084</v>
      </c>
    </row>
    <row r="263" spans="1:6" ht="12.75">
      <c r="A263" s="355"/>
      <c r="B263" s="356" t="s">
        <v>1257</v>
      </c>
      <c r="C263" s="295"/>
      <c r="D263" s="295"/>
      <c r="E263" s="295"/>
      <c r="F263" s="574"/>
    </row>
    <row r="264" spans="1:6" ht="12.75">
      <c r="A264" s="355"/>
      <c r="B264" s="356" t="s">
        <v>1258</v>
      </c>
      <c r="C264" s="295"/>
      <c r="D264" s="295"/>
      <c r="E264" s="295"/>
      <c r="F264" s="574"/>
    </row>
    <row r="265" spans="1:6" ht="12.75">
      <c r="A265" s="355"/>
      <c r="B265" s="356" t="s">
        <v>1259</v>
      </c>
      <c r="C265" s="295">
        <v>5900</v>
      </c>
      <c r="D265" s="295">
        <v>5272</v>
      </c>
      <c r="E265" s="295">
        <v>4341</v>
      </c>
      <c r="F265" s="574">
        <f t="shared" si="3"/>
        <v>0.8234066767830045</v>
      </c>
    </row>
    <row r="266" spans="1:6" ht="12.75">
      <c r="A266" s="355"/>
      <c r="B266" s="356" t="s">
        <v>1260</v>
      </c>
      <c r="C266" s="295"/>
      <c r="D266" s="295">
        <v>860</v>
      </c>
      <c r="E266" s="295">
        <v>1182</v>
      </c>
      <c r="F266" s="574">
        <f t="shared" si="3"/>
        <v>1.3744186046511628</v>
      </c>
    </row>
    <row r="267" spans="1:6" ht="13.5" thickBot="1">
      <c r="A267" s="355"/>
      <c r="B267" s="358" t="s">
        <v>1261</v>
      </c>
      <c r="C267" s="382"/>
      <c r="D267" s="382"/>
      <c r="E267" s="382"/>
      <c r="F267" s="576"/>
    </row>
    <row r="268" spans="1:6" ht="13.5" thickBot="1">
      <c r="A268" s="355"/>
      <c r="B268" s="359" t="s">
        <v>1249</v>
      </c>
      <c r="C268" s="386">
        <f>SUM(C262:C267)</f>
        <v>6250</v>
      </c>
      <c r="D268" s="386">
        <f>SUM(D262:D267)</f>
        <v>6250</v>
      </c>
      <c r="E268" s="386">
        <f>SUM(E262:E267)</f>
        <v>5692</v>
      </c>
      <c r="F268" s="938">
        <f aca="true" t="shared" si="4" ref="F268:F330">SUM(E268/D268)</f>
        <v>0.91072</v>
      </c>
    </row>
    <row r="269" spans="1:6" ht="12.75">
      <c r="A269" s="355"/>
      <c r="B269" s="356" t="s">
        <v>1262</v>
      </c>
      <c r="C269" s="295">
        <v>49443</v>
      </c>
      <c r="D269" s="295">
        <v>52051</v>
      </c>
      <c r="E269" s="295">
        <v>48809</v>
      </c>
      <c r="F269" s="574">
        <f t="shared" si="4"/>
        <v>0.9377149334306738</v>
      </c>
    </row>
    <row r="270" spans="1:6" ht="12.75">
      <c r="A270" s="355"/>
      <c r="B270" s="356" t="s">
        <v>1263</v>
      </c>
      <c r="C270" s="295">
        <v>4600</v>
      </c>
      <c r="D270" s="295">
        <v>4600</v>
      </c>
      <c r="E270" s="295">
        <v>4826</v>
      </c>
      <c r="F270" s="574">
        <f t="shared" si="4"/>
        <v>1.0491304347826087</v>
      </c>
    </row>
    <row r="271" spans="1:6" ht="13.5" thickBot="1">
      <c r="A271" s="355"/>
      <c r="B271" s="356" t="s">
        <v>1264</v>
      </c>
      <c r="C271" s="382"/>
      <c r="D271" s="382"/>
      <c r="E271" s="382"/>
      <c r="F271" s="576"/>
    </row>
    <row r="272" spans="1:6" ht="13.5" thickBot="1">
      <c r="A272" s="360"/>
      <c r="B272" s="361" t="s">
        <v>1252</v>
      </c>
      <c r="C272" s="298">
        <f>SUM(C269:C271)</f>
        <v>54043</v>
      </c>
      <c r="D272" s="298">
        <f>SUM(D269:D271)</f>
        <v>56651</v>
      </c>
      <c r="E272" s="298">
        <f>SUM(E269:E271)</f>
        <v>53635</v>
      </c>
      <c r="F272" s="938">
        <f t="shared" si="4"/>
        <v>0.9467617517784329</v>
      </c>
    </row>
    <row r="273" spans="1:6" ht="13.5" thickBot="1">
      <c r="A273" s="357"/>
      <c r="B273" s="362" t="s">
        <v>1253</v>
      </c>
      <c r="C273" s="381"/>
      <c r="D273" s="381">
        <v>320</v>
      </c>
      <c r="E273" s="381">
        <v>320</v>
      </c>
      <c r="F273" s="942">
        <f t="shared" si="4"/>
        <v>1</v>
      </c>
    </row>
    <row r="274" spans="1:6" ht="13.5" thickBot="1">
      <c r="A274" s="357"/>
      <c r="B274" s="363" t="s">
        <v>1254</v>
      </c>
      <c r="C274" s="386">
        <f>SUM(C272+C268+C273)</f>
        <v>60293</v>
      </c>
      <c r="D274" s="386">
        <f>SUM(D272+D268+D273)</f>
        <v>63221</v>
      </c>
      <c r="E274" s="386">
        <f>SUM(E272+E268+E273)</f>
        <v>59647</v>
      </c>
      <c r="F274" s="938">
        <f t="shared" si="4"/>
        <v>0.9434681514053874</v>
      </c>
    </row>
    <row r="275" spans="1:6" ht="13.5" thickBot="1">
      <c r="A275" s="355"/>
      <c r="B275" s="359" t="s">
        <v>1267</v>
      </c>
      <c r="C275" s="381"/>
      <c r="D275" s="381"/>
      <c r="E275" s="381"/>
      <c r="F275" s="942"/>
    </row>
    <row r="276" spans="1:6" ht="12.75">
      <c r="A276" s="355"/>
      <c r="B276" s="356" t="s">
        <v>1265</v>
      </c>
      <c r="C276" s="295"/>
      <c r="D276" s="295">
        <v>802</v>
      </c>
      <c r="E276" s="295">
        <v>802</v>
      </c>
      <c r="F276" s="574">
        <f t="shared" si="4"/>
        <v>1</v>
      </c>
    </row>
    <row r="277" spans="1:6" ht="13.5" thickBot="1">
      <c r="A277" s="355"/>
      <c r="B277" s="364" t="s">
        <v>1266</v>
      </c>
      <c r="C277" s="382"/>
      <c r="D277" s="382"/>
      <c r="E277" s="382"/>
      <c r="F277" s="576"/>
    </row>
    <row r="278" spans="1:6" ht="13.5" thickBot="1">
      <c r="A278" s="365"/>
      <c r="B278" s="362" t="s">
        <v>1255</v>
      </c>
      <c r="C278" s="382"/>
      <c r="D278" s="298">
        <f>SUM(D276:D277)</f>
        <v>802</v>
      </c>
      <c r="E278" s="298">
        <f>SUM(E276:E277)</f>
        <v>802</v>
      </c>
      <c r="F278" s="938">
        <f t="shared" si="4"/>
        <v>1</v>
      </c>
    </row>
    <row r="279" spans="1:6" ht="15.75" thickBot="1">
      <c r="A279" s="365"/>
      <c r="B279" s="366" t="s">
        <v>1268</v>
      </c>
      <c r="C279" s="388">
        <f>SUM(C274+C275+C278)</f>
        <v>60293</v>
      </c>
      <c r="D279" s="388">
        <f>SUM(D274+D275+D278)</f>
        <v>64023</v>
      </c>
      <c r="E279" s="388">
        <f>SUM(E274+E275+E278)</f>
        <v>60449</v>
      </c>
      <c r="F279" s="938">
        <f t="shared" si="4"/>
        <v>0.9441763116380051</v>
      </c>
    </row>
    <row r="280" spans="1:6" ht="12.75">
      <c r="A280" s="353"/>
      <c r="B280" s="367" t="s">
        <v>1269</v>
      </c>
      <c r="C280" s="295">
        <v>32088</v>
      </c>
      <c r="D280" s="295">
        <v>34342</v>
      </c>
      <c r="E280" s="295">
        <v>33757</v>
      </c>
      <c r="F280" s="574">
        <f t="shared" si="4"/>
        <v>0.9829654650282453</v>
      </c>
    </row>
    <row r="281" spans="1:6" ht="12.75">
      <c r="A281" s="353"/>
      <c r="B281" s="367" t="s">
        <v>1270</v>
      </c>
      <c r="C281" s="295">
        <v>8446</v>
      </c>
      <c r="D281" s="295">
        <v>9040</v>
      </c>
      <c r="E281" s="295">
        <v>8766</v>
      </c>
      <c r="F281" s="574">
        <f t="shared" si="4"/>
        <v>0.9696902654867257</v>
      </c>
    </row>
    <row r="282" spans="1:6" ht="12.75">
      <c r="A282" s="353"/>
      <c r="B282" s="367" t="s">
        <v>1271</v>
      </c>
      <c r="C282" s="295">
        <v>19759</v>
      </c>
      <c r="D282" s="295">
        <v>20641</v>
      </c>
      <c r="E282" s="295">
        <v>15261</v>
      </c>
      <c r="F282" s="574">
        <f t="shared" si="4"/>
        <v>0.7393537134828739</v>
      </c>
    </row>
    <row r="283" spans="1:6" ht="12.75">
      <c r="A283" s="353"/>
      <c r="B283" s="589" t="s">
        <v>217</v>
      </c>
      <c r="C283" s="295"/>
      <c r="D283" s="590">
        <v>562</v>
      </c>
      <c r="E283" s="590">
        <v>562</v>
      </c>
      <c r="F283" s="574">
        <f t="shared" si="4"/>
        <v>1</v>
      </c>
    </row>
    <row r="284" spans="1:6" ht="12.75">
      <c r="A284" s="353"/>
      <c r="B284" s="367" t="s">
        <v>1274</v>
      </c>
      <c r="C284" s="295"/>
      <c r="D284" s="295"/>
      <c r="E284" s="295"/>
      <c r="F284" s="574"/>
    </row>
    <row r="285" spans="1:6" ht="13.5" thickBot="1">
      <c r="A285" s="353"/>
      <c r="B285" s="368" t="s">
        <v>1275</v>
      </c>
      <c r="C285" s="382"/>
      <c r="D285" s="382"/>
      <c r="E285" s="382"/>
      <c r="F285" s="576"/>
    </row>
    <row r="286" spans="1:6" ht="13.5" thickBot="1">
      <c r="A286" s="353"/>
      <c r="B286" s="369" t="s">
        <v>868</v>
      </c>
      <c r="C286" s="386">
        <f>SUM(C280:C285)</f>
        <v>60293</v>
      </c>
      <c r="D286" s="386">
        <f>SUM(D280:D285)-D283</f>
        <v>64023</v>
      </c>
      <c r="E286" s="386">
        <f>SUM(E280:E285)-E283</f>
        <v>57784</v>
      </c>
      <c r="F286" s="938">
        <f t="shared" si="4"/>
        <v>0.9025506458616435</v>
      </c>
    </row>
    <row r="287" spans="1:6" ht="12.75">
      <c r="A287" s="353"/>
      <c r="B287" s="367" t="s">
        <v>1276</v>
      </c>
      <c r="C287" s="295"/>
      <c r="D287" s="295"/>
      <c r="E287" s="295"/>
      <c r="F287" s="574"/>
    </row>
    <row r="288" spans="1:6" ht="12.75">
      <c r="A288" s="353"/>
      <c r="B288" s="367" t="s">
        <v>1277</v>
      </c>
      <c r="C288" s="295"/>
      <c r="D288" s="295"/>
      <c r="E288" s="295"/>
      <c r="F288" s="574"/>
    </row>
    <row r="289" spans="1:6" ht="13.5" thickBot="1">
      <c r="A289" s="353"/>
      <c r="B289" s="370" t="s">
        <v>1278</v>
      </c>
      <c r="C289" s="382"/>
      <c r="D289" s="382"/>
      <c r="E289" s="382"/>
      <c r="F289" s="576"/>
    </row>
    <row r="290" spans="1:6" ht="13.5" thickBot="1">
      <c r="A290" s="353"/>
      <c r="B290" s="372" t="s">
        <v>874</v>
      </c>
      <c r="C290" s="381"/>
      <c r="D290" s="381"/>
      <c r="E290" s="381"/>
      <c r="F290" s="942"/>
    </row>
    <row r="291" spans="1:6" ht="13.5" thickBot="1">
      <c r="A291" s="353"/>
      <c r="B291" s="613" t="s">
        <v>236</v>
      </c>
      <c r="C291" s="381"/>
      <c r="D291" s="381"/>
      <c r="E291" s="381">
        <v>-60</v>
      </c>
      <c r="F291" s="942"/>
    </row>
    <row r="292" spans="1:6" ht="15.75" thickBot="1">
      <c r="A292" s="371"/>
      <c r="B292" s="354" t="s">
        <v>890</v>
      </c>
      <c r="C292" s="388">
        <f>SUM(C286+C290)</f>
        <v>60293</v>
      </c>
      <c r="D292" s="388">
        <f>SUM(D286+D290)</f>
        <v>64023</v>
      </c>
      <c r="E292" s="388">
        <f>SUM(E286+E290+E291)</f>
        <v>57724</v>
      </c>
      <c r="F292" s="938">
        <f t="shared" si="4"/>
        <v>0.901613482654671</v>
      </c>
    </row>
    <row r="293" spans="1:6" ht="15">
      <c r="A293" s="375">
        <v>2499</v>
      </c>
      <c r="B293" s="374" t="s">
        <v>1287</v>
      </c>
      <c r="C293" s="384"/>
      <c r="D293" s="384"/>
      <c r="E293" s="384"/>
      <c r="F293" s="574"/>
    </row>
    <row r="294" spans="1:6" ht="12.75">
      <c r="A294" s="355"/>
      <c r="B294" s="356" t="s">
        <v>1256</v>
      </c>
      <c r="C294" s="384">
        <f aca="true" t="shared" si="5" ref="C294:C299">SUM(C10+C41+C73+C104+C136+C167+C199+C230+C262)</f>
        <v>5550</v>
      </c>
      <c r="D294" s="384">
        <f aca="true" t="shared" si="6" ref="D294:E299">SUM(D10+D41+D73+D104+D136+D167+D199+D230+D262)</f>
        <v>2445</v>
      </c>
      <c r="E294" s="384">
        <f t="shared" si="6"/>
        <v>2045</v>
      </c>
      <c r="F294" s="574">
        <f t="shared" si="4"/>
        <v>0.83640081799591</v>
      </c>
    </row>
    <row r="295" spans="1:6" ht="12.75">
      <c r="A295" s="355"/>
      <c r="B295" s="356" t="s">
        <v>1257</v>
      </c>
      <c r="C295" s="384">
        <f t="shared" si="5"/>
        <v>0</v>
      </c>
      <c r="D295" s="384">
        <f t="shared" si="6"/>
        <v>0</v>
      </c>
      <c r="E295" s="384">
        <f t="shared" si="6"/>
        <v>0</v>
      </c>
      <c r="F295" s="574"/>
    </row>
    <row r="296" spans="1:6" ht="12.75">
      <c r="A296" s="355"/>
      <c r="B296" s="356" t="s">
        <v>1258</v>
      </c>
      <c r="C296" s="384">
        <f t="shared" si="5"/>
        <v>1600</v>
      </c>
      <c r="D296" s="384">
        <f t="shared" si="6"/>
        <v>3100</v>
      </c>
      <c r="E296" s="384">
        <f t="shared" si="6"/>
        <v>1858</v>
      </c>
      <c r="F296" s="574">
        <f t="shared" si="4"/>
        <v>0.5993548387096774</v>
      </c>
    </row>
    <row r="297" spans="1:6" ht="12.75">
      <c r="A297" s="355"/>
      <c r="B297" s="356" t="s">
        <v>1259</v>
      </c>
      <c r="C297" s="384">
        <f t="shared" si="5"/>
        <v>67007</v>
      </c>
      <c r="D297" s="384">
        <f t="shared" si="6"/>
        <v>64586</v>
      </c>
      <c r="E297" s="384">
        <f t="shared" si="6"/>
        <v>60901</v>
      </c>
      <c r="F297" s="574">
        <f t="shared" si="4"/>
        <v>0.9429442913324869</v>
      </c>
    </row>
    <row r="298" spans="1:6" ht="12.75">
      <c r="A298" s="355"/>
      <c r="B298" s="356" t="s">
        <v>1260</v>
      </c>
      <c r="C298" s="384">
        <f t="shared" si="5"/>
        <v>14300</v>
      </c>
      <c r="D298" s="384">
        <f t="shared" si="6"/>
        <v>19071</v>
      </c>
      <c r="E298" s="384">
        <f t="shared" si="6"/>
        <v>20103</v>
      </c>
      <c r="F298" s="574">
        <f t="shared" si="4"/>
        <v>1.0541135755859683</v>
      </c>
    </row>
    <row r="299" spans="1:6" ht="13.5" thickBot="1">
      <c r="A299" s="355"/>
      <c r="B299" s="358" t="s">
        <v>1261</v>
      </c>
      <c r="C299" s="385">
        <f t="shared" si="5"/>
        <v>0</v>
      </c>
      <c r="D299" s="385">
        <f t="shared" si="6"/>
        <v>0</v>
      </c>
      <c r="E299" s="385">
        <f t="shared" si="6"/>
        <v>0</v>
      </c>
      <c r="F299" s="576"/>
    </row>
    <row r="300" spans="1:6" ht="13.5" thickBot="1">
      <c r="A300" s="355"/>
      <c r="B300" s="359" t="s">
        <v>1249</v>
      </c>
      <c r="C300" s="391">
        <f>SUM(C294:C299)</f>
        <v>88457</v>
      </c>
      <c r="D300" s="391">
        <f>SUM(D294:D299)</f>
        <v>89202</v>
      </c>
      <c r="E300" s="391">
        <f>SUM(E294:E299)</f>
        <v>84907</v>
      </c>
      <c r="F300" s="938">
        <f t="shared" si="4"/>
        <v>0.9518508553619874</v>
      </c>
    </row>
    <row r="301" spans="1:6" ht="12.75">
      <c r="A301" s="355"/>
      <c r="B301" s="356" t="s">
        <v>1262</v>
      </c>
      <c r="C301" s="384">
        <f aca="true" t="shared" si="7" ref="C301:D303">SUM(C17+C48+C80+C111+C143+C174+C206+C237+C269)</f>
        <v>785661</v>
      </c>
      <c r="D301" s="384">
        <f t="shared" si="7"/>
        <v>830649</v>
      </c>
      <c r="E301" s="384">
        <f>SUM(E17+E48+E80+E111+E143+E174+E206+E237+E269)</f>
        <v>812676</v>
      </c>
      <c r="F301" s="574">
        <f t="shared" si="4"/>
        <v>0.9783627019354746</v>
      </c>
    </row>
    <row r="302" spans="1:6" ht="12.75">
      <c r="A302" s="355"/>
      <c r="B302" s="356" t="s">
        <v>1263</v>
      </c>
      <c r="C302" s="384">
        <f t="shared" si="7"/>
        <v>76000</v>
      </c>
      <c r="D302" s="384">
        <f t="shared" si="7"/>
        <v>76000</v>
      </c>
      <c r="E302" s="384">
        <f>SUM(E18+E49+E81+E112+E144+E175+E207+E238+E270)</f>
        <v>78718</v>
      </c>
      <c r="F302" s="574">
        <f t="shared" si="4"/>
        <v>1.0357631578947368</v>
      </c>
    </row>
    <row r="303" spans="1:6" ht="13.5" thickBot="1">
      <c r="A303" s="355"/>
      <c r="B303" s="356" t="s">
        <v>1264</v>
      </c>
      <c r="C303" s="385">
        <f t="shared" si="7"/>
        <v>0</v>
      </c>
      <c r="D303" s="385">
        <f t="shared" si="7"/>
        <v>0</v>
      </c>
      <c r="E303" s="385">
        <f>SUM(E19+E50+E82+E113+E145+E176+E208+E239+E271)</f>
        <v>0</v>
      </c>
      <c r="F303" s="576"/>
    </row>
    <row r="304" spans="1:6" ht="13.5" thickBot="1">
      <c r="A304" s="360"/>
      <c r="B304" s="361" t="s">
        <v>1252</v>
      </c>
      <c r="C304" s="391">
        <f>SUM(C301:C303)</f>
        <v>861661</v>
      </c>
      <c r="D304" s="391">
        <f>SUM(D301:D303)</f>
        <v>906649</v>
      </c>
      <c r="E304" s="391">
        <f>SUM(E301:E303)</f>
        <v>891394</v>
      </c>
      <c r="F304" s="938">
        <f t="shared" si="4"/>
        <v>0.9831743044993156</v>
      </c>
    </row>
    <row r="305" spans="1:6" ht="13.5" thickBot="1">
      <c r="A305" s="357"/>
      <c r="B305" s="362" t="s">
        <v>1253</v>
      </c>
      <c r="C305" s="383">
        <f>SUM(C21+C52+C84+C115+C147+C178+C210+C241+C273)</f>
        <v>0</v>
      </c>
      <c r="D305" s="390">
        <f>SUM(D21+D52+D84+D115+D147+D178+D210+D241+D273)</f>
        <v>3000</v>
      </c>
      <c r="E305" s="390">
        <f>SUM(E21+E52+E84+E115+E147+E178+E210+E241+E273)</f>
        <v>3080</v>
      </c>
      <c r="F305" s="938">
        <f t="shared" si="4"/>
        <v>1.0266666666666666</v>
      </c>
    </row>
    <row r="306" spans="1:6" ht="13.5" thickBot="1">
      <c r="A306" s="357"/>
      <c r="B306" s="233" t="s">
        <v>237</v>
      </c>
      <c r="C306" s="383"/>
      <c r="D306" s="390">
        <f>SUM(D179)</f>
        <v>254</v>
      </c>
      <c r="E306" s="390">
        <f>SUM(E179)</f>
        <v>254</v>
      </c>
      <c r="F306" s="938">
        <f t="shared" si="4"/>
        <v>1</v>
      </c>
    </row>
    <row r="307" spans="1:6" ht="13.5" thickBot="1">
      <c r="A307" s="357"/>
      <c r="B307" s="362" t="s">
        <v>234</v>
      </c>
      <c r="C307" s="383"/>
      <c r="D307" s="390">
        <f>SUM(D53+D116)</f>
        <v>0</v>
      </c>
      <c r="E307" s="390">
        <f>SUM(E53+E116)</f>
        <v>6747</v>
      </c>
      <c r="F307" s="942"/>
    </row>
    <row r="308" spans="1:6" ht="13.5" thickBot="1">
      <c r="A308" s="357"/>
      <c r="B308" s="363" t="s">
        <v>1254</v>
      </c>
      <c r="C308" s="390">
        <f>SUM(C304+C305+C300)</f>
        <v>950118</v>
      </c>
      <c r="D308" s="390">
        <f>SUM(D304+D305+D300+D307+D306)</f>
        <v>999105</v>
      </c>
      <c r="E308" s="390">
        <f>SUM(E304+E305+E300+E307+E306)</f>
        <v>986382</v>
      </c>
      <c r="F308" s="938">
        <f t="shared" si="4"/>
        <v>0.9872656027144294</v>
      </c>
    </row>
    <row r="309" spans="1:6" ht="13.5" thickBot="1">
      <c r="A309" s="355"/>
      <c r="B309" s="359" t="s">
        <v>1267</v>
      </c>
      <c r="C309" s="383">
        <f aca="true" t="shared" si="8" ref="C309:D312">SUM(C23+C55+C86+C118+C149+C181+C212+C243+C275)</f>
        <v>0</v>
      </c>
      <c r="D309" s="383">
        <f t="shared" si="8"/>
        <v>0</v>
      </c>
      <c r="E309" s="383">
        <f>SUM(E23+E55+E86+E118+E149+E181+E212+E243+E275)</f>
        <v>0</v>
      </c>
      <c r="F309" s="942"/>
    </row>
    <row r="310" spans="1:6" ht="12.75">
      <c r="A310" s="355"/>
      <c r="B310" s="356" t="s">
        <v>1265</v>
      </c>
      <c r="C310" s="384">
        <f t="shared" si="8"/>
        <v>0</v>
      </c>
      <c r="D310" s="384">
        <f t="shared" si="8"/>
        <v>18012</v>
      </c>
      <c r="E310" s="384">
        <f>SUM(E24+E56+E87+E119+E150+E182+E213+E244+E276)</f>
        <v>18012</v>
      </c>
      <c r="F310" s="574">
        <f t="shared" si="4"/>
        <v>1</v>
      </c>
    </row>
    <row r="311" spans="1:6" ht="13.5" thickBot="1">
      <c r="A311" s="355"/>
      <c r="B311" s="364" t="s">
        <v>1266</v>
      </c>
      <c r="C311" s="385">
        <f t="shared" si="8"/>
        <v>0</v>
      </c>
      <c r="D311" s="385">
        <f t="shared" si="8"/>
        <v>0</v>
      </c>
      <c r="E311" s="385">
        <f>SUM(E25+E57+E88+E120+E151+E183+E214+E245+E277)</f>
        <v>0</v>
      </c>
      <c r="F311" s="576"/>
    </row>
    <row r="312" spans="1:6" ht="13.5" thickBot="1">
      <c r="A312" s="365"/>
      <c r="B312" s="362" t="s">
        <v>1255</v>
      </c>
      <c r="C312" s="383">
        <f t="shared" si="8"/>
        <v>0</v>
      </c>
      <c r="D312" s="390">
        <f t="shared" si="8"/>
        <v>18012</v>
      </c>
      <c r="E312" s="390">
        <f>SUM(E26+E58+E89+E121+E152+E184+E215+E246+E278)</f>
        <v>18012</v>
      </c>
      <c r="F312" s="938">
        <f t="shared" si="4"/>
        <v>1</v>
      </c>
    </row>
    <row r="313" spans="1:6" ht="13.5" thickBot="1">
      <c r="A313" s="365"/>
      <c r="B313" s="614" t="s">
        <v>235</v>
      </c>
      <c r="C313" s="383"/>
      <c r="D313" s="390"/>
      <c r="E313" s="390"/>
      <c r="F313" s="942"/>
    </row>
    <row r="314" spans="1:6" ht="15.75" thickBot="1">
      <c r="A314" s="365"/>
      <c r="B314" s="366" t="s">
        <v>1268</v>
      </c>
      <c r="C314" s="392">
        <f>SUM(C312+C308+C309)</f>
        <v>950118</v>
      </c>
      <c r="D314" s="392">
        <f>SUM(D312+D308+D309)</f>
        <v>1017117</v>
      </c>
      <c r="E314" s="392">
        <f>SUM(E312+E308+E309)</f>
        <v>1004394</v>
      </c>
      <c r="F314" s="938">
        <f t="shared" si="4"/>
        <v>0.9874911145915367</v>
      </c>
    </row>
    <row r="315" spans="1:6" ht="12.75">
      <c r="A315" s="353"/>
      <c r="B315" s="367" t="s">
        <v>1269</v>
      </c>
      <c r="C315" s="384">
        <f aca="true" t="shared" si="9" ref="C315:D317">SUM(C28+C60+C91+C123+C154+C186+C217+C248+C280)</f>
        <v>499491</v>
      </c>
      <c r="D315" s="384">
        <f t="shared" si="9"/>
        <v>543420</v>
      </c>
      <c r="E315" s="384">
        <f>SUM(E28+E60+E91+E123+E154+E186+E217+E248+E280)</f>
        <v>528233</v>
      </c>
      <c r="F315" s="574">
        <f t="shared" si="4"/>
        <v>0.9720529240734607</v>
      </c>
    </row>
    <row r="316" spans="1:6" ht="12.75">
      <c r="A316" s="353"/>
      <c r="B316" s="367" t="s">
        <v>1270</v>
      </c>
      <c r="C316" s="384">
        <f t="shared" si="9"/>
        <v>130680</v>
      </c>
      <c r="D316" s="384">
        <f t="shared" si="9"/>
        <v>141150</v>
      </c>
      <c r="E316" s="384">
        <f>SUM(E29+E61+E92+E124+E155+E187+E218+E249+E281)</f>
        <v>136303</v>
      </c>
      <c r="F316" s="574">
        <f t="shared" si="4"/>
        <v>0.9656606447042154</v>
      </c>
    </row>
    <row r="317" spans="1:6" ht="12.75">
      <c r="A317" s="353"/>
      <c r="B317" s="367" t="s">
        <v>1271</v>
      </c>
      <c r="C317" s="384">
        <f t="shared" si="9"/>
        <v>319947</v>
      </c>
      <c r="D317" s="384">
        <f t="shared" si="9"/>
        <v>331608</v>
      </c>
      <c r="E317" s="384">
        <f>SUM(E30+E62+E93+E125+E156+E188+E219+E250+E282)</f>
        <v>306596</v>
      </c>
      <c r="F317" s="574">
        <f t="shared" si="4"/>
        <v>0.9245735929169381</v>
      </c>
    </row>
    <row r="318" spans="1:6" ht="12.75">
      <c r="A318" s="353"/>
      <c r="B318" s="589" t="s">
        <v>217</v>
      </c>
      <c r="C318" s="384"/>
      <c r="D318" s="591">
        <f>SUM(D283+D251)</f>
        <v>1766</v>
      </c>
      <c r="E318" s="591">
        <f>SUM(E283+E251)</f>
        <v>1766</v>
      </c>
      <c r="F318" s="574">
        <f t="shared" si="4"/>
        <v>1</v>
      </c>
    </row>
    <row r="319" spans="1:6" ht="12.75">
      <c r="A319" s="353"/>
      <c r="B319" s="367" t="s">
        <v>1274</v>
      </c>
      <c r="C319" s="384">
        <f aca="true" t="shared" si="10" ref="C319:E320">SUM(C31+C63+C94+C126+C157+C189+C220+C252+C284)</f>
        <v>0</v>
      </c>
      <c r="D319" s="384">
        <f t="shared" si="10"/>
        <v>0</v>
      </c>
      <c r="E319" s="384">
        <f t="shared" si="10"/>
        <v>0</v>
      </c>
      <c r="F319" s="574"/>
    </row>
    <row r="320" spans="1:6" ht="13.5" thickBot="1">
      <c r="A320" s="353"/>
      <c r="B320" s="368" t="s">
        <v>1275</v>
      </c>
      <c r="C320" s="385">
        <f t="shared" si="10"/>
        <v>0</v>
      </c>
      <c r="D320" s="385">
        <f t="shared" si="10"/>
        <v>0</v>
      </c>
      <c r="E320" s="385">
        <f t="shared" si="10"/>
        <v>0</v>
      </c>
      <c r="F320" s="576"/>
    </row>
    <row r="321" spans="1:6" ht="13.5" thickBot="1">
      <c r="A321" s="353"/>
      <c r="B321" s="369" t="s">
        <v>868</v>
      </c>
      <c r="C321" s="390">
        <f>SUM(C315:C320)</f>
        <v>950118</v>
      </c>
      <c r="D321" s="390">
        <f>SUM(D315:D320)-D318</f>
        <v>1016178</v>
      </c>
      <c r="E321" s="390">
        <f>SUM(E315:E320)-E318</f>
        <v>971132</v>
      </c>
      <c r="F321" s="938">
        <f t="shared" si="4"/>
        <v>0.955671152101305</v>
      </c>
    </row>
    <row r="322" spans="1:6" ht="12.75">
      <c r="A322" s="353"/>
      <c r="B322" s="367" t="s">
        <v>1276</v>
      </c>
      <c r="C322" s="384">
        <f aca="true" t="shared" si="11" ref="C322:D325">SUM(C34+C66+C97+C129+C160+C192+C223+C255+C287)</f>
        <v>0</v>
      </c>
      <c r="D322" s="384">
        <f t="shared" si="11"/>
        <v>0</v>
      </c>
      <c r="E322" s="384">
        <f>SUM(E34+E66+E97+E129+E160+E192+E223+E255+E287)</f>
        <v>0</v>
      </c>
      <c r="F322" s="574"/>
    </row>
    <row r="323" spans="1:6" ht="12.75">
      <c r="A323" s="353"/>
      <c r="B323" s="367" t="s">
        <v>1277</v>
      </c>
      <c r="C323" s="384">
        <f t="shared" si="11"/>
        <v>0</v>
      </c>
      <c r="D323" s="384">
        <f t="shared" si="11"/>
        <v>939</v>
      </c>
      <c r="E323" s="384">
        <f>SUM(E35+E67+E98+E130+E161+E193+E224+E256+E288)</f>
        <v>939</v>
      </c>
      <c r="F323" s="574">
        <f t="shared" si="4"/>
        <v>1</v>
      </c>
    </row>
    <row r="324" spans="1:6" ht="13.5" thickBot="1">
      <c r="A324" s="353"/>
      <c r="B324" s="370" t="s">
        <v>1278</v>
      </c>
      <c r="C324" s="385">
        <f t="shared" si="11"/>
        <v>0</v>
      </c>
      <c r="D324" s="385">
        <f t="shared" si="11"/>
        <v>0</v>
      </c>
      <c r="E324" s="385">
        <f>SUM(E36+E68+E99+E131+E162+E194+E225+E257+E289)</f>
        <v>0</v>
      </c>
      <c r="F324" s="576"/>
    </row>
    <row r="325" spans="1:6" ht="13.5" thickBot="1">
      <c r="A325" s="353"/>
      <c r="B325" s="372" t="s">
        <v>874</v>
      </c>
      <c r="C325" s="383">
        <f t="shared" si="11"/>
        <v>0</v>
      </c>
      <c r="D325" s="390">
        <f t="shared" si="11"/>
        <v>939</v>
      </c>
      <c r="E325" s="390">
        <f>SUM(E37+E69+E100+E132+E163+E195+E226+E258+E290)</f>
        <v>939</v>
      </c>
      <c r="F325" s="938">
        <f t="shared" si="4"/>
        <v>1</v>
      </c>
    </row>
    <row r="326" spans="1:6" ht="13.5" thickBot="1">
      <c r="A326" s="353"/>
      <c r="B326" s="613" t="s">
        <v>236</v>
      </c>
      <c r="C326" s="383"/>
      <c r="D326" s="383">
        <f>SUM(D38+D70+D101+D133+D164+D196+D227+D259+D291)</f>
        <v>0</v>
      </c>
      <c r="E326" s="383">
        <f>SUM(E38+E70+E101+E133+E164+E196+E227+E259+E291)</f>
        <v>-1641</v>
      </c>
      <c r="F326" s="942"/>
    </row>
    <row r="327" spans="1:6" ht="15.75" thickBot="1">
      <c r="A327" s="371"/>
      <c r="B327" s="354" t="s">
        <v>890</v>
      </c>
      <c r="C327" s="392">
        <f>SUM(C321+C325)</f>
        <v>950118</v>
      </c>
      <c r="D327" s="392">
        <f>SUM(D321+D325+D326)</f>
        <v>1017117</v>
      </c>
      <c r="E327" s="392">
        <f>SUM(E321+E325+E326)</f>
        <v>970430</v>
      </c>
      <c r="F327" s="938">
        <f t="shared" si="4"/>
        <v>0.9540986926774403</v>
      </c>
    </row>
    <row r="328" spans="1:6" ht="15">
      <c r="A328" s="376">
        <v>2510</v>
      </c>
      <c r="B328" s="374" t="s">
        <v>1288</v>
      </c>
      <c r="C328" s="295"/>
      <c r="D328" s="295"/>
      <c r="E328" s="295"/>
      <c r="F328" s="574"/>
    </row>
    <row r="329" spans="1:6" ht="12.75">
      <c r="A329" s="355"/>
      <c r="B329" s="356" t="s">
        <v>1256</v>
      </c>
      <c r="C329" s="295"/>
      <c r="D329" s="295"/>
      <c r="E329" s="295"/>
      <c r="F329" s="574"/>
    </row>
    <row r="330" spans="1:6" ht="12.75">
      <c r="A330" s="355"/>
      <c r="B330" s="356" t="s">
        <v>1257</v>
      </c>
      <c r="C330" s="295">
        <v>2500</v>
      </c>
      <c r="D330" s="295">
        <v>2500</v>
      </c>
      <c r="E330" s="295">
        <v>3094</v>
      </c>
      <c r="F330" s="574">
        <f t="shared" si="4"/>
        <v>1.2376</v>
      </c>
    </row>
    <row r="331" spans="1:6" ht="12.75">
      <c r="A331" s="355"/>
      <c r="B331" s="356" t="s">
        <v>1258</v>
      </c>
      <c r="C331" s="295"/>
      <c r="D331" s="295">
        <v>1495</v>
      </c>
      <c r="E331" s="295">
        <v>3615</v>
      </c>
      <c r="F331" s="574">
        <f aca="true" t="shared" si="12" ref="F331:F394">SUM(E331/D331)</f>
        <v>2.4180602006688963</v>
      </c>
    </row>
    <row r="332" spans="1:6" ht="12.75">
      <c r="A332" s="355"/>
      <c r="B332" s="356" t="s">
        <v>1259</v>
      </c>
      <c r="C332" s="295">
        <v>15000</v>
      </c>
      <c r="D332" s="295">
        <v>14055</v>
      </c>
      <c r="E332" s="295">
        <v>11067</v>
      </c>
      <c r="F332" s="574">
        <f t="shared" si="12"/>
        <v>0.7874066168623266</v>
      </c>
    </row>
    <row r="333" spans="1:6" ht="12.75">
      <c r="A333" s="355"/>
      <c r="B333" s="356" t="s">
        <v>1260</v>
      </c>
      <c r="C333" s="295">
        <v>3700</v>
      </c>
      <c r="D333" s="295">
        <v>3700</v>
      </c>
      <c r="E333" s="295">
        <v>4259</v>
      </c>
      <c r="F333" s="574">
        <f t="shared" si="12"/>
        <v>1.151081081081081</v>
      </c>
    </row>
    <row r="334" spans="1:6" ht="13.5" thickBot="1">
      <c r="A334" s="355"/>
      <c r="B334" s="358" t="s">
        <v>1261</v>
      </c>
      <c r="C334" s="382"/>
      <c r="D334" s="382"/>
      <c r="E334" s="382"/>
      <c r="F334" s="576"/>
    </row>
    <row r="335" spans="1:6" ht="13.5" thickBot="1">
      <c r="A335" s="355"/>
      <c r="B335" s="359" t="s">
        <v>1249</v>
      </c>
      <c r="C335" s="386">
        <f>SUM(C329:C334)</f>
        <v>21200</v>
      </c>
      <c r="D335" s="386">
        <f>SUM(D329:D334)</f>
        <v>21750</v>
      </c>
      <c r="E335" s="386">
        <f>SUM(E329:E334)</f>
        <v>22035</v>
      </c>
      <c r="F335" s="938">
        <f t="shared" si="12"/>
        <v>1.013103448275862</v>
      </c>
    </row>
    <row r="336" spans="1:6" ht="12.75">
      <c r="A336" s="355"/>
      <c r="B336" s="356" t="s">
        <v>1262</v>
      </c>
      <c r="C336" s="295">
        <v>179183</v>
      </c>
      <c r="D336" s="295">
        <v>189940</v>
      </c>
      <c r="E336" s="295">
        <v>182891</v>
      </c>
      <c r="F336" s="574">
        <f t="shared" si="12"/>
        <v>0.9628882805096346</v>
      </c>
    </row>
    <row r="337" spans="1:6" ht="12.75">
      <c r="A337" s="355"/>
      <c r="B337" s="356" t="s">
        <v>1263</v>
      </c>
      <c r="C337" s="295">
        <v>15000</v>
      </c>
      <c r="D337" s="295">
        <v>15000</v>
      </c>
      <c r="E337" s="295">
        <v>17679</v>
      </c>
      <c r="F337" s="574">
        <f t="shared" si="12"/>
        <v>1.1786</v>
      </c>
    </row>
    <row r="338" spans="1:6" ht="13.5" thickBot="1">
      <c r="A338" s="355"/>
      <c r="B338" s="356" t="s">
        <v>1264</v>
      </c>
      <c r="C338" s="382"/>
      <c r="D338" s="382"/>
      <c r="E338" s="382"/>
      <c r="F338" s="576"/>
    </row>
    <row r="339" spans="1:6" ht="13.5" thickBot="1">
      <c r="A339" s="360"/>
      <c r="B339" s="361" t="s">
        <v>1252</v>
      </c>
      <c r="C339" s="298">
        <f>SUM(C336:C338)</f>
        <v>194183</v>
      </c>
      <c r="D339" s="298">
        <f>SUM(D336:D338)</f>
        <v>204940</v>
      </c>
      <c r="E339" s="298">
        <f>SUM(E336:E338)</f>
        <v>200570</v>
      </c>
      <c r="F339" s="938">
        <f t="shared" si="12"/>
        <v>0.9786766858592759</v>
      </c>
    </row>
    <row r="340" spans="1:6" ht="13.5" thickBot="1">
      <c r="A340" s="357"/>
      <c r="B340" s="362" t="s">
        <v>1253</v>
      </c>
      <c r="C340" s="381"/>
      <c r="D340" s="386">
        <v>1315</v>
      </c>
      <c r="E340" s="386">
        <v>1315</v>
      </c>
      <c r="F340" s="938">
        <f t="shared" si="12"/>
        <v>1</v>
      </c>
    </row>
    <row r="341" spans="1:6" ht="13.5" thickBot="1">
      <c r="A341" s="357"/>
      <c r="B341" s="233" t="s">
        <v>237</v>
      </c>
      <c r="C341" s="381"/>
      <c r="D341" s="386">
        <v>415</v>
      </c>
      <c r="E341" s="386">
        <v>415</v>
      </c>
      <c r="F341" s="938">
        <f t="shared" si="12"/>
        <v>1</v>
      </c>
    </row>
    <row r="342" spans="1:6" ht="13.5" thickBot="1">
      <c r="A342" s="357"/>
      <c r="B342" s="363" t="s">
        <v>1254</v>
      </c>
      <c r="C342" s="386">
        <f>SUM(C339+C335+C340)</f>
        <v>215383</v>
      </c>
      <c r="D342" s="386">
        <f>SUM(D339+D335+D340+D341)</f>
        <v>228420</v>
      </c>
      <c r="E342" s="386">
        <f>SUM(E339+E335+E340+E341)</f>
        <v>224335</v>
      </c>
      <c r="F342" s="938">
        <f t="shared" si="12"/>
        <v>0.9821162770335348</v>
      </c>
    </row>
    <row r="343" spans="1:6" ht="13.5" thickBot="1">
      <c r="A343" s="355"/>
      <c r="B343" s="359" t="s">
        <v>1267</v>
      </c>
      <c r="C343" s="381"/>
      <c r="D343" s="381"/>
      <c r="E343" s="381"/>
      <c r="F343" s="942"/>
    </row>
    <row r="344" spans="1:6" ht="12.75">
      <c r="A344" s="355"/>
      <c r="B344" s="356" t="s">
        <v>1265</v>
      </c>
      <c r="C344" s="295"/>
      <c r="D344" s="295">
        <v>1661</v>
      </c>
      <c r="E344" s="295">
        <v>1661</v>
      </c>
      <c r="F344" s="574">
        <f t="shared" si="12"/>
        <v>1</v>
      </c>
    </row>
    <row r="345" spans="1:6" ht="13.5" thickBot="1">
      <c r="A345" s="355"/>
      <c r="B345" s="364" t="s">
        <v>1266</v>
      </c>
      <c r="C345" s="382"/>
      <c r="D345" s="382"/>
      <c r="E345" s="382"/>
      <c r="F345" s="576"/>
    </row>
    <row r="346" spans="1:6" ht="13.5" thickBot="1">
      <c r="A346" s="365"/>
      <c r="B346" s="362" t="s">
        <v>1255</v>
      </c>
      <c r="C346" s="382"/>
      <c r="D346" s="298">
        <f>SUM(D344:D345)</f>
        <v>1661</v>
      </c>
      <c r="E346" s="298">
        <f>SUM(E344:E345)</f>
        <v>1661</v>
      </c>
      <c r="F346" s="938">
        <f t="shared" si="12"/>
        <v>1</v>
      </c>
    </row>
    <row r="347" spans="1:6" ht="13.5" thickBot="1">
      <c r="A347" s="365"/>
      <c r="B347" s="614" t="s">
        <v>235</v>
      </c>
      <c r="C347" s="382"/>
      <c r="D347" s="298"/>
      <c r="E347" s="382">
        <v>-10</v>
      </c>
      <c r="F347" s="942"/>
    </row>
    <row r="348" spans="1:6" ht="15.75" thickBot="1">
      <c r="A348" s="365"/>
      <c r="B348" s="366" t="s">
        <v>1268</v>
      </c>
      <c r="C348" s="388">
        <f>SUM(C342+C343+C346)</f>
        <v>215383</v>
      </c>
      <c r="D348" s="388">
        <f>SUM(D342+D343+D346)</f>
        <v>230081</v>
      </c>
      <c r="E348" s="388">
        <f>SUM(E342+E343+E346)</f>
        <v>225996</v>
      </c>
      <c r="F348" s="938">
        <f t="shared" si="12"/>
        <v>0.9822453831476741</v>
      </c>
    </row>
    <row r="349" spans="1:6" ht="12.75">
      <c r="A349" s="353"/>
      <c r="B349" s="367" t="s">
        <v>1269</v>
      </c>
      <c r="C349" s="295">
        <v>111602</v>
      </c>
      <c r="D349" s="295">
        <v>116488</v>
      </c>
      <c r="E349" s="295">
        <v>114713</v>
      </c>
      <c r="F349" s="574">
        <f t="shared" si="12"/>
        <v>0.9847623789574892</v>
      </c>
    </row>
    <row r="350" spans="1:6" ht="12.75">
      <c r="A350" s="353"/>
      <c r="B350" s="367" t="s">
        <v>1270</v>
      </c>
      <c r="C350" s="295">
        <v>29321</v>
      </c>
      <c r="D350" s="295">
        <v>30824</v>
      </c>
      <c r="E350" s="295">
        <v>30540</v>
      </c>
      <c r="F350" s="574">
        <f t="shared" si="12"/>
        <v>0.9907864002076304</v>
      </c>
    </row>
    <row r="351" spans="1:6" ht="12.75">
      <c r="A351" s="353"/>
      <c r="B351" s="367" t="s">
        <v>1271</v>
      </c>
      <c r="C351" s="295">
        <v>74460</v>
      </c>
      <c r="D351" s="295">
        <v>82334</v>
      </c>
      <c r="E351" s="295">
        <v>79109</v>
      </c>
      <c r="F351" s="574">
        <f t="shared" si="12"/>
        <v>0.9608302766779216</v>
      </c>
    </row>
    <row r="352" spans="1:6" ht="12.75">
      <c r="A352" s="353"/>
      <c r="B352" s="589" t="s">
        <v>217</v>
      </c>
      <c r="C352" s="295"/>
      <c r="D352" s="590">
        <v>1188</v>
      </c>
      <c r="E352" s="590">
        <v>1188</v>
      </c>
      <c r="F352" s="574">
        <f t="shared" si="12"/>
        <v>1</v>
      </c>
    </row>
    <row r="353" spans="1:6" ht="12.75">
      <c r="A353" s="353"/>
      <c r="B353" s="367" t="s">
        <v>1274</v>
      </c>
      <c r="C353" s="295"/>
      <c r="D353" s="295"/>
      <c r="E353" s="295"/>
      <c r="F353" s="574"/>
    </row>
    <row r="354" spans="1:6" ht="13.5" thickBot="1">
      <c r="A354" s="353"/>
      <c r="B354" s="368" t="s">
        <v>1275</v>
      </c>
      <c r="C354" s="382"/>
      <c r="D354" s="382"/>
      <c r="E354" s="382"/>
      <c r="F354" s="576"/>
    </row>
    <row r="355" spans="1:6" ht="13.5" thickBot="1">
      <c r="A355" s="353"/>
      <c r="B355" s="369" t="s">
        <v>868</v>
      </c>
      <c r="C355" s="386">
        <f>SUM(C349:C354)</f>
        <v>215383</v>
      </c>
      <c r="D355" s="386">
        <f>SUM(D349:D354)-D352</f>
        <v>229646</v>
      </c>
      <c r="E355" s="386">
        <f>SUM(E349:E354)-E352</f>
        <v>224362</v>
      </c>
      <c r="F355" s="938">
        <f t="shared" si="12"/>
        <v>0.9769906726004371</v>
      </c>
    </row>
    <row r="356" spans="1:6" ht="12.75">
      <c r="A356" s="353"/>
      <c r="B356" s="367" t="s">
        <v>1276</v>
      </c>
      <c r="C356" s="295"/>
      <c r="D356" s="295"/>
      <c r="E356" s="295">
        <v>317</v>
      </c>
      <c r="F356" s="574"/>
    </row>
    <row r="357" spans="1:6" ht="12.75">
      <c r="A357" s="353"/>
      <c r="B357" s="367" t="s">
        <v>1277</v>
      </c>
      <c r="C357" s="295"/>
      <c r="D357" s="295">
        <v>435</v>
      </c>
      <c r="E357" s="295">
        <v>236</v>
      </c>
      <c r="F357" s="574">
        <f t="shared" si="12"/>
        <v>0.542528735632184</v>
      </c>
    </row>
    <row r="358" spans="1:6" ht="13.5" thickBot="1">
      <c r="A358" s="353"/>
      <c r="B358" s="370" t="s">
        <v>1278</v>
      </c>
      <c r="C358" s="382"/>
      <c r="D358" s="382"/>
      <c r="E358" s="382"/>
      <c r="F358" s="576"/>
    </row>
    <row r="359" spans="1:6" ht="13.5" thickBot="1">
      <c r="A359" s="353"/>
      <c r="B359" s="372" t="s">
        <v>874</v>
      </c>
      <c r="C359" s="381"/>
      <c r="D359" s="386">
        <f>SUM(D357:D358)</f>
        <v>435</v>
      </c>
      <c r="E359" s="386">
        <f>SUM(E356:E358)</f>
        <v>553</v>
      </c>
      <c r="F359" s="938">
        <f t="shared" si="12"/>
        <v>1.271264367816092</v>
      </c>
    </row>
    <row r="360" spans="1:6" ht="13.5" thickBot="1">
      <c r="A360" s="353"/>
      <c r="B360" s="613" t="s">
        <v>236</v>
      </c>
      <c r="C360" s="381"/>
      <c r="D360" s="381"/>
      <c r="E360" s="381">
        <v>-446</v>
      </c>
      <c r="F360" s="942"/>
    </row>
    <row r="361" spans="1:6" ht="15.75" thickBot="1">
      <c r="A361" s="371"/>
      <c r="B361" s="354" t="s">
        <v>890</v>
      </c>
      <c r="C361" s="388">
        <f>SUM(C355+C359)</f>
        <v>215383</v>
      </c>
      <c r="D361" s="388">
        <f>SUM(D355+D359)</f>
        <v>230081</v>
      </c>
      <c r="E361" s="388">
        <f>SUM(E355+E359+E360)</f>
        <v>224469</v>
      </c>
      <c r="F361" s="938">
        <f t="shared" si="12"/>
        <v>0.9756085900182979</v>
      </c>
    </row>
    <row r="362" spans="1:6" ht="15">
      <c r="A362" s="373">
        <v>2512</v>
      </c>
      <c r="B362" s="374" t="s">
        <v>1289</v>
      </c>
      <c r="C362" s="295"/>
      <c r="D362" s="295"/>
      <c r="E362" s="295"/>
      <c r="F362" s="574"/>
    </row>
    <row r="363" spans="1:6" ht="12.75">
      <c r="A363" s="355"/>
      <c r="B363" s="356" t="s">
        <v>1256</v>
      </c>
      <c r="C363" s="295">
        <v>200</v>
      </c>
      <c r="D363" s="295">
        <v>169</v>
      </c>
      <c r="E363" s="295">
        <v>169</v>
      </c>
      <c r="F363" s="574">
        <f t="shared" si="12"/>
        <v>1</v>
      </c>
    </row>
    <row r="364" spans="1:6" ht="12.75">
      <c r="A364" s="355"/>
      <c r="B364" s="356" t="s">
        <v>1257</v>
      </c>
      <c r="C364" s="295">
        <v>958</v>
      </c>
      <c r="D364" s="295">
        <v>1664</v>
      </c>
      <c r="E364" s="295">
        <v>1664</v>
      </c>
      <c r="F364" s="574">
        <f t="shared" si="12"/>
        <v>1</v>
      </c>
    </row>
    <row r="365" spans="1:6" ht="12.75">
      <c r="A365" s="355"/>
      <c r="B365" s="356" t="s">
        <v>1258</v>
      </c>
      <c r="C365" s="295"/>
      <c r="D365" s="295"/>
      <c r="E365" s="295"/>
      <c r="F365" s="574"/>
    </row>
    <row r="366" spans="1:6" ht="12.75">
      <c r="A366" s="355"/>
      <c r="B366" s="356" t="s">
        <v>1259</v>
      </c>
      <c r="C366" s="295">
        <v>500</v>
      </c>
      <c r="D366" s="295">
        <v>795</v>
      </c>
      <c r="E366" s="295">
        <v>795</v>
      </c>
      <c r="F366" s="574">
        <f t="shared" si="12"/>
        <v>1</v>
      </c>
    </row>
    <row r="367" spans="1:6" ht="12.75">
      <c r="A367" s="355"/>
      <c r="B367" s="356" t="s">
        <v>1260</v>
      </c>
      <c r="C367" s="295">
        <v>394</v>
      </c>
      <c r="D367" s="295">
        <v>591</v>
      </c>
      <c r="E367" s="295">
        <v>591</v>
      </c>
      <c r="F367" s="574">
        <f t="shared" si="12"/>
        <v>1</v>
      </c>
    </row>
    <row r="368" spans="1:6" ht="13.5" thickBot="1">
      <c r="A368" s="355"/>
      <c r="B368" s="358" t="s">
        <v>1261</v>
      </c>
      <c r="C368" s="382"/>
      <c r="D368" s="382"/>
      <c r="E368" s="382"/>
      <c r="F368" s="576"/>
    </row>
    <row r="369" spans="1:6" ht="13.5" thickBot="1">
      <c r="A369" s="355"/>
      <c r="B369" s="359" t="s">
        <v>1249</v>
      </c>
      <c r="C369" s="386">
        <f>SUM(C363:C368)</f>
        <v>2052</v>
      </c>
      <c r="D369" s="386">
        <f>SUM(D363:D368)</f>
        <v>3219</v>
      </c>
      <c r="E369" s="386">
        <f>SUM(E363:E368)</f>
        <v>3219</v>
      </c>
      <c r="F369" s="938">
        <f t="shared" si="12"/>
        <v>1</v>
      </c>
    </row>
    <row r="370" spans="1:6" ht="12.75">
      <c r="A370" s="355"/>
      <c r="B370" s="356" t="s">
        <v>1262</v>
      </c>
      <c r="C370" s="295">
        <v>110547</v>
      </c>
      <c r="D370" s="295">
        <v>63670</v>
      </c>
      <c r="E370" s="295">
        <v>63403</v>
      </c>
      <c r="F370" s="574">
        <f t="shared" si="12"/>
        <v>0.9958065022773677</v>
      </c>
    </row>
    <row r="371" spans="1:6" ht="12.75">
      <c r="A371" s="355"/>
      <c r="B371" s="356" t="s">
        <v>1263</v>
      </c>
      <c r="C371" s="295">
        <v>6377</v>
      </c>
      <c r="D371" s="295">
        <v>4372</v>
      </c>
      <c r="E371" s="295">
        <v>4639</v>
      </c>
      <c r="F371" s="574">
        <f t="shared" si="12"/>
        <v>1.0610704483074107</v>
      </c>
    </row>
    <row r="372" spans="1:6" ht="13.5" thickBot="1">
      <c r="A372" s="355"/>
      <c r="B372" s="356" t="s">
        <v>1264</v>
      </c>
      <c r="C372" s="382"/>
      <c r="D372" s="382"/>
      <c r="E372" s="382"/>
      <c r="F372" s="576"/>
    </row>
    <row r="373" spans="1:6" ht="13.5" thickBot="1">
      <c r="A373" s="360"/>
      <c r="B373" s="361" t="s">
        <v>1252</v>
      </c>
      <c r="C373" s="298">
        <f>SUM(C370:C372)</f>
        <v>116924</v>
      </c>
      <c r="D373" s="298">
        <f>SUM(D370:D372)</f>
        <v>68042</v>
      </c>
      <c r="E373" s="298">
        <f>SUM(E370:E372)</f>
        <v>68042</v>
      </c>
      <c r="F373" s="938">
        <f t="shared" si="12"/>
        <v>1</v>
      </c>
    </row>
    <row r="374" spans="1:6" ht="13.5" thickBot="1">
      <c r="A374" s="357"/>
      <c r="B374" s="362" t="s">
        <v>1253</v>
      </c>
      <c r="C374" s="381"/>
      <c r="D374" s="386">
        <v>100</v>
      </c>
      <c r="E374" s="386">
        <v>100</v>
      </c>
      <c r="F374" s="938">
        <f t="shared" si="12"/>
        <v>1</v>
      </c>
    </row>
    <row r="375" spans="1:6" ht="13.5" thickBot="1">
      <c r="A375" s="357"/>
      <c r="B375" s="233" t="s">
        <v>237</v>
      </c>
      <c r="C375" s="381"/>
      <c r="D375" s="386">
        <v>160</v>
      </c>
      <c r="E375" s="386">
        <v>160</v>
      </c>
      <c r="F375" s="938">
        <f t="shared" si="12"/>
        <v>1</v>
      </c>
    </row>
    <row r="376" spans="1:6" ht="13.5" thickBot="1">
      <c r="A376" s="357"/>
      <c r="B376" s="362" t="s">
        <v>234</v>
      </c>
      <c r="C376" s="381"/>
      <c r="D376" s="381"/>
      <c r="E376" s="381">
        <v>4919</v>
      </c>
      <c r="F376" s="942"/>
    </row>
    <row r="377" spans="1:6" ht="13.5" thickBot="1">
      <c r="A377" s="357"/>
      <c r="B377" s="363" t="s">
        <v>1254</v>
      </c>
      <c r="C377" s="386">
        <f>SUM(C373+C369+C374)</f>
        <v>118976</v>
      </c>
      <c r="D377" s="386">
        <f>SUM(D373+D369+D374+D375)</f>
        <v>71521</v>
      </c>
      <c r="E377" s="386">
        <f>SUM(E373+E369+E374+E375+E376)</f>
        <v>76440</v>
      </c>
      <c r="F377" s="938">
        <f t="shared" si="12"/>
        <v>1.0687770025586891</v>
      </c>
    </row>
    <row r="378" spans="1:6" ht="13.5" thickBot="1">
      <c r="A378" s="355"/>
      <c r="B378" s="359" t="s">
        <v>1267</v>
      </c>
      <c r="C378" s="381"/>
      <c r="D378" s="381"/>
      <c r="E378" s="381"/>
      <c r="F378" s="942"/>
    </row>
    <row r="379" spans="1:6" ht="12.75">
      <c r="A379" s="355"/>
      <c r="B379" s="356" t="s">
        <v>1265</v>
      </c>
      <c r="C379" s="295"/>
      <c r="D379" s="295">
        <v>6191</v>
      </c>
      <c r="E379" s="295">
        <v>6191</v>
      </c>
      <c r="F379" s="574">
        <f t="shared" si="12"/>
        <v>1</v>
      </c>
    </row>
    <row r="380" spans="1:6" ht="13.5" thickBot="1">
      <c r="A380" s="355"/>
      <c r="B380" s="364" t="s">
        <v>1266</v>
      </c>
      <c r="C380" s="382"/>
      <c r="D380" s="382"/>
      <c r="E380" s="382"/>
      <c r="F380" s="576"/>
    </row>
    <row r="381" spans="1:6" ht="13.5" thickBot="1">
      <c r="A381" s="365"/>
      <c r="B381" s="362" t="s">
        <v>1255</v>
      </c>
      <c r="C381" s="382"/>
      <c r="D381" s="298">
        <f>SUM(D379:D380)</f>
        <v>6191</v>
      </c>
      <c r="E381" s="298">
        <f>SUM(E379:E380)</f>
        <v>6191</v>
      </c>
      <c r="F381" s="938">
        <f t="shared" si="12"/>
        <v>1</v>
      </c>
    </row>
    <row r="382" spans="1:6" ht="15.75" thickBot="1">
      <c r="A382" s="365"/>
      <c r="B382" s="366" t="s">
        <v>1268</v>
      </c>
      <c r="C382" s="388">
        <f>SUM(C377+C378+C381)</f>
        <v>118976</v>
      </c>
      <c r="D382" s="388">
        <f>SUM(D377+D378+D381)</f>
        <v>77712</v>
      </c>
      <c r="E382" s="388">
        <f>SUM(E377+E378+E381)</f>
        <v>82631</v>
      </c>
      <c r="F382" s="938">
        <f t="shared" si="12"/>
        <v>1.06329781758287</v>
      </c>
    </row>
    <row r="383" spans="1:6" ht="12.75">
      <c r="A383" s="353"/>
      <c r="B383" s="367" t="s">
        <v>1269</v>
      </c>
      <c r="C383" s="295">
        <v>64961</v>
      </c>
      <c r="D383" s="295">
        <v>35733</v>
      </c>
      <c r="E383" s="295">
        <v>35733</v>
      </c>
      <c r="F383" s="574">
        <f t="shared" si="12"/>
        <v>1</v>
      </c>
    </row>
    <row r="384" spans="1:6" ht="12.75">
      <c r="A384" s="353"/>
      <c r="B384" s="367" t="s">
        <v>1270</v>
      </c>
      <c r="C384" s="295">
        <v>16915</v>
      </c>
      <c r="D384" s="295">
        <v>8858</v>
      </c>
      <c r="E384" s="295">
        <v>8858</v>
      </c>
      <c r="F384" s="574">
        <f t="shared" si="12"/>
        <v>1</v>
      </c>
    </row>
    <row r="385" spans="1:6" ht="12.75">
      <c r="A385" s="353"/>
      <c r="B385" s="367" t="s">
        <v>1271</v>
      </c>
      <c r="C385" s="295">
        <v>37100</v>
      </c>
      <c r="D385" s="295">
        <v>33111</v>
      </c>
      <c r="E385" s="295">
        <v>33111</v>
      </c>
      <c r="F385" s="574">
        <f t="shared" si="12"/>
        <v>1</v>
      </c>
    </row>
    <row r="386" spans="1:6" ht="12.75">
      <c r="A386" s="353"/>
      <c r="B386" s="367" t="s">
        <v>1274</v>
      </c>
      <c r="C386" s="295"/>
      <c r="D386" s="295">
        <v>10</v>
      </c>
      <c r="E386" s="295">
        <v>10</v>
      </c>
      <c r="F386" s="574">
        <f t="shared" si="12"/>
        <v>1</v>
      </c>
    </row>
    <row r="387" spans="1:6" ht="13.5" thickBot="1">
      <c r="A387" s="353"/>
      <c r="B387" s="368" t="s">
        <v>1275</v>
      </c>
      <c r="C387" s="382"/>
      <c r="D387" s="382"/>
      <c r="E387" s="382"/>
      <c r="F387" s="576"/>
    </row>
    <row r="388" spans="1:6" ht="13.5" thickBot="1">
      <c r="A388" s="353"/>
      <c r="B388" s="369" t="s">
        <v>868</v>
      </c>
      <c r="C388" s="386">
        <f>SUM(C383:C387)</f>
        <v>118976</v>
      </c>
      <c r="D388" s="386">
        <f>SUM(D383:D387)</f>
        <v>77712</v>
      </c>
      <c r="E388" s="386">
        <f>SUM(E383:E387)</f>
        <v>77712</v>
      </c>
      <c r="F388" s="938">
        <f t="shared" si="12"/>
        <v>1</v>
      </c>
    </row>
    <row r="389" spans="1:6" ht="12.75">
      <c r="A389" s="353"/>
      <c r="B389" s="367" t="s">
        <v>1276</v>
      </c>
      <c r="C389" s="295"/>
      <c r="D389" s="295"/>
      <c r="E389" s="295"/>
      <c r="F389" s="574"/>
    </row>
    <row r="390" spans="1:6" ht="12.75">
      <c r="A390" s="353"/>
      <c r="B390" s="367" t="s">
        <v>1277</v>
      </c>
      <c r="C390" s="295"/>
      <c r="D390" s="295"/>
      <c r="E390" s="295"/>
      <c r="F390" s="574"/>
    </row>
    <row r="391" spans="1:6" ht="13.5" thickBot="1">
      <c r="A391" s="353"/>
      <c r="B391" s="370" t="s">
        <v>1278</v>
      </c>
      <c r="C391" s="382"/>
      <c r="D391" s="382"/>
      <c r="E391" s="382"/>
      <c r="F391" s="576"/>
    </row>
    <row r="392" spans="1:6" ht="13.5" thickBot="1">
      <c r="A392" s="353"/>
      <c r="B392" s="372" t="s">
        <v>874</v>
      </c>
      <c r="C392" s="381"/>
      <c r="D392" s="381"/>
      <c r="E392" s="381"/>
      <c r="F392" s="942"/>
    </row>
    <row r="393" spans="1:6" ht="13.5" thickBot="1">
      <c r="A393" s="353"/>
      <c r="B393" s="615" t="s">
        <v>238</v>
      </c>
      <c r="C393" s="381"/>
      <c r="D393" s="381"/>
      <c r="E393" s="381">
        <v>-316</v>
      </c>
      <c r="F393" s="942"/>
    </row>
    <row r="394" spans="1:6" ht="15.75" thickBot="1">
      <c r="A394" s="371"/>
      <c r="B394" s="354" t="s">
        <v>890</v>
      </c>
      <c r="C394" s="388">
        <f>SUM(C388+C392)</f>
        <v>118976</v>
      </c>
      <c r="D394" s="388">
        <f>SUM(D388+D392)</f>
        <v>77712</v>
      </c>
      <c r="E394" s="388">
        <f>SUM(E388+E392+E393)</f>
        <v>77396</v>
      </c>
      <c r="F394" s="938">
        <f t="shared" si="12"/>
        <v>0.9959337039324686</v>
      </c>
    </row>
    <row r="395" spans="1:6" ht="15">
      <c r="A395" s="373">
        <v>2515</v>
      </c>
      <c r="B395" s="374" t="s">
        <v>1290</v>
      </c>
      <c r="C395" s="295"/>
      <c r="D395" s="295"/>
      <c r="E395" s="295"/>
      <c r="F395" s="574"/>
    </row>
    <row r="396" spans="1:6" ht="12.75">
      <c r="A396" s="355"/>
      <c r="B396" s="356" t="s">
        <v>1256</v>
      </c>
      <c r="C396" s="295"/>
      <c r="D396" s="295"/>
      <c r="E396" s="295"/>
      <c r="F396" s="574"/>
    </row>
    <row r="397" spans="1:6" ht="12.75">
      <c r="A397" s="355"/>
      <c r="B397" s="356" t="s">
        <v>1257</v>
      </c>
      <c r="C397" s="295"/>
      <c r="D397" s="295"/>
      <c r="E397" s="295"/>
      <c r="F397" s="574"/>
    </row>
    <row r="398" spans="1:6" ht="12.75">
      <c r="A398" s="355"/>
      <c r="B398" s="356" t="s">
        <v>1258</v>
      </c>
      <c r="C398" s="295">
        <v>244</v>
      </c>
      <c r="D398" s="295">
        <v>695</v>
      </c>
      <c r="E398" s="295">
        <v>695</v>
      </c>
      <c r="F398" s="574">
        <f aca="true" t="shared" si="13" ref="F398:F458">SUM(E398/D398)</f>
        <v>1</v>
      </c>
    </row>
    <row r="399" spans="1:6" ht="12.75">
      <c r="A399" s="355"/>
      <c r="B399" s="356" t="s">
        <v>1259</v>
      </c>
      <c r="C399" s="295">
        <v>820</v>
      </c>
      <c r="D399" s="295">
        <v>1057</v>
      </c>
      <c r="E399" s="295">
        <v>1263</v>
      </c>
      <c r="F399" s="574">
        <f t="shared" si="13"/>
        <v>1.194891201513718</v>
      </c>
    </row>
    <row r="400" spans="1:6" ht="12.75">
      <c r="A400" s="355"/>
      <c r="B400" s="356" t="s">
        <v>1260</v>
      </c>
      <c r="C400" s="295"/>
      <c r="D400" s="295">
        <v>791</v>
      </c>
      <c r="E400" s="295"/>
      <c r="F400" s="574">
        <f t="shared" si="13"/>
        <v>0</v>
      </c>
    </row>
    <row r="401" spans="1:6" ht="13.5" thickBot="1">
      <c r="A401" s="355"/>
      <c r="B401" s="358" t="s">
        <v>1261</v>
      </c>
      <c r="C401" s="382"/>
      <c r="D401" s="382"/>
      <c r="E401" s="382"/>
      <c r="F401" s="576"/>
    </row>
    <row r="402" spans="1:6" ht="13.5" thickBot="1">
      <c r="A402" s="355"/>
      <c r="B402" s="359" t="s">
        <v>1249</v>
      </c>
      <c r="C402" s="386">
        <f>SUM(C396:C401)</f>
        <v>1064</v>
      </c>
      <c r="D402" s="386">
        <f>SUM(D396:D401)</f>
        <v>2543</v>
      </c>
      <c r="E402" s="386">
        <f>SUM(E396:E401)</f>
        <v>1958</v>
      </c>
      <c r="F402" s="938">
        <f t="shared" si="13"/>
        <v>0.7699567440031458</v>
      </c>
    </row>
    <row r="403" spans="1:6" ht="12.75">
      <c r="A403" s="355"/>
      <c r="B403" s="356" t="s">
        <v>1262</v>
      </c>
      <c r="C403" s="295">
        <v>174337</v>
      </c>
      <c r="D403" s="295">
        <v>226960</v>
      </c>
      <c r="E403" s="295">
        <v>201674</v>
      </c>
      <c r="F403" s="574">
        <f t="shared" si="13"/>
        <v>0.8885882974973563</v>
      </c>
    </row>
    <row r="404" spans="1:6" ht="12.75">
      <c r="A404" s="355"/>
      <c r="B404" s="356" t="s">
        <v>1263</v>
      </c>
      <c r="C404" s="295">
        <v>14627</v>
      </c>
      <c r="D404" s="295">
        <v>16632</v>
      </c>
      <c r="E404" s="295">
        <v>12513</v>
      </c>
      <c r="F404" s="574">
        <f t="shared" si="13"/>
        <v>0.7523448773448773</v>
      </c>
    </row>
    <row r="405" spans="1:6" ht="13.5" thickBot="1">
      <c r="A405" s="355"/>
      <c r="B405" s="356" t="s">
        <v>1264</v>
      </c>
      <c r="C405" s="382"/>
      <c r="D405" s="382"/>
      <c r="E405" s="382"/>
      <c r="F405" s="576"/>
    </row>
    <row r="406" spans="1:6" ht="13.5" thickBot="1">
      <c r="A406" s="360"/>
      <c r="B406" s="361" t="s">
        <v>1252</v>
      </c>
      <c r="C406" s="298">
        <f>SUM(C403:C405)</f>
        <v>188964</v>
      </c>
      <c r="D406" s="298">
        <f>SUM(D403:D405)</f>
        <v>243592</v>
      </c>
      <c r="E406" s="298">
        <f>SUM(E403:E405)</f>
        <v>214187</v>
      </c>
      <c r="F406" s="938">
        <f t="shared" si="13"/>
        <v>0.8792858550362902</v>
      </c>
    </row>
    <row r="407" spans="1:6" ht="13.5" thickBot="1">
      <c r="A407" s="357"/>
      <c r="B407" s="362" t="s">
        <v>1253</v>
      </c>
      <c r="C407" s="381"/>
      <c r="D407" s="386">
        <v>543</v>
      </c>
      <c r="E407" s="386">
        <v>792</v>
      </c>
      <c r="F407" s="938">
        <f t="shared" si="13"/>
        <v>1.4585635359116023</v>
      </c>
    </row>
    <row r="408" spans="1:6" ht="13.5" thickBot="1">
      <c r="A408" s="357"/>
      <c r="B408" s="362" t="s">
        <v>234</v>
      </c>
      <c r="C408" s="381"/>
      <c r="D408" s="381"/>
      <c r="E408" s="381">
        <v>9020</v>
      </c>
      <c r="F408" s="942"/>
    </row>
    <row r="409" spans="1:6" ht="13.5" thickBot="1">
      <c r="A409" s="357"/>
      <c r="B409" s="363" t="s">
        <v>1254</v>
      </c>
      <c r="C409" s="386">
        <f>SUM(C406+C402+C407)</f>
        <v>190028</v>
      </c>
      <c r="D409" s="386">
        <f>SUM(D406+D402+D407)</f>
        <v>246678</v>
      </c>
      <c r="E409" s="386">
        <f>SUM(E406+E402+E407+E408)</f>
        <v>225957</v>
      </c>
      <c r="F409" s="938">
        <f t="shared" si="13"/>
        <v>0.9159998054143458</v>
      </c>
    </row>
    <row r="410" spans="1:6" ht="13.5" thickBot="1">
      <c r="A410" s="355"/>
      <c r="B410" s="359" t="s">
        <v>1267</v>
      </c>
      <c r="C410" s="381"/>
      <c r="D410" s="381"/>
      <c r="E410" s="381"/>
      <c r="F410" s="942"/>
    </row>
    <row r="411" spans="1:6" ht="12.75">
      <c r="A411" s="355"/>
      <c r="B411" s="356" t="s">
        <v>1265</v>
      </c>
      <c r="C411" s="295"/>
      <c r="D411" s="295">
        <v>9532</v>
      </c>
      <c r="E411" s="295">
        <v>9532</v>
      </c>
      <c r="F411" s="574">
        <f t="shared" si="13"/>
        <v>1</v>
      </c>
    </row>
    <row r="412" spans="1:6" ht="13.5" thickBot="1">
      <c r="A412" s="355"/>
      <c r="B412" s="364" t="s">
        <v>1266</v>
      </c>
      <c r="C412" s="382"/>
      <c r="D412" s="382"/>
      <c r="E412" s="382"/>
      <c r="F412" s="576"/>
    </row>
    <row r="413" spans="1:6" ht="13.5" thickBot="1">
      <c r="A413" s="365"/>
      <c r="B413" s="362" t="s">
        <v>1255</v>
      </c>
      <c r="C413" s="382"/>
      <c r="D413" s="298">
        <f>SUM(D411:D412)</f>
        <v>9532</v>
      </c>
      <c r="E413" s="298">
        <f>SUM(E411:E412)</f>
        <v>9532</v>
      </c>
      <c r="F413" s="938">
        <f t="shared" si="13"/>
        <v>1</v>
      </c>
    </row>
    <row r="414" spans="1:6" ht="15.75" thickBot="1">
      <c r="A414" s="365"/>
      <c r="B414" s="366" t="s">
        <v>1268</v>
      </c>
      <c r="C414" s="388">
        <f>SUM(C409+C410+C413)</f>
        <v>190028</v>
      </c>
      <c r="D414" s="388">
        <f>SUM(D409+D410+D413)</f>
        <v>256210</v>
      </c>
      <c r="E414" s="388">
        <f>SUM(E409+E410+E413)</f>
        <v>235489</v>
      </c>
      <c r="F414" s="938">
        <f t="shared" si="13"/>
        <v>0.9191249365754655</v>
      </c>
    </row>
    <row r="415" spans="1:6" ht="12.75">
      <c r="A415" s="353"/>
      <c r="B415" s="367" t="s">
        <v>1269</v>
      </c>
      <c r="C415" s="295">
        <v>111908</v>
      </c>
      <c r="D415" s="295">
        <v>137969</v>
      </c>
      <c r="E415" s="295">
        <v>132535</v>
      </c>
      <c r="F415" s="574">
        <f t="shared" si="13"/>
        <v>0.9606143409026665</v>
      </c>
    </row>
    <row r="416" spans="1:6" ht="12.75">
      <c r="A416" s="353"/>
      <c r="B416" s="367" t="s">
        <v>1270</v>
      </c>
      <c r="C416" s="295">
        <v>29607</v>
      </c>
      <c r="D416" s="295">
        <v>37164</v>
      </c>
      <c r="E416" s="295">
        <v>35318</v>
      </c>
      <c r="F416" s="574">
        <f t="shared" si="13"/>
        <v>0.950328274674416</v>
      </c>
    </row>
    <row r="417" spans="1:6" ht="12.75">
      <c r="A417" s="353"/>
      <c r="B417" s="367" t="s">
        <v>1271</v>
      </c>
      <c r="C417" s="295">
        <v>48513</v>
      </c>
      <c r="D417" s="295">
        <v>80825</v>
      </c>
      <c r="E417" s="295">
        <v>55653</v>
      </c>
      <c r="F417" s="574">
        <f t="shared" si="13"/>
        <v>0.6885617073925147</v>
      </c>
    </row>
    <row r="418" spans="1:6" ht="12.75">
      <c r="A418" s="353"/>
      <c r="B418" s="367" t="s">
        <v>1274</v>
      </c>
      <c r="C418" s="295"/>
      <c r="D418" s="295"/>
      <c r="E418" s="295">
        <v>168</v>
      </c>
      <c r="F418" s="574"/>
    </row>
    <row r="419" spans="1:6" ht="13.5" thickBot="1">
      <c r="A419" s="353"/>
      <c r="B419" s="368" t="s">
        <v>1275</v>
      </c>
      <c r="C419" s="382"/>
      <c r="D419" s="382">
        <v>252</v>
      </c>
      <c r="E419" s="382">
        <v>252</v>
      </c>
      <c r="F419" s="576">
        <f t="shared" si="13"/>
        <v>1</v>
      </c>
    </row>
    <row r="420" spans="1:6" ht="13.5" thickBot="1">
      <c r="A420" s="353"/>
      <c r="B420" s="369" t="s">
        <v>868</v>
      </c>
      <c r="C420" s="386">
        <f>SUM(C415:C419)</f>
        <v>190028</v>
      </c>
      <c r="D420" s="386">
        <f>SUM(D415:D419)</f>
        <v>256210</v>
      </c>
      <c r="E420" s="386">
        <f>SUM(E415:E419)</f>
        <v>223926</v>
      </c>
      <c r="F420" s="938">
        <f t="shared" si="13"/>
        <v>0.8739939893056478</v>
      </c>
    </row>
    <row r="421" spans="1:6" ht="12.75">
      <c r="A421" s="353"/>
      <c r="B421" s="367" t="s">
        <v>1276</v>
      </c>
      <c r="C421" s="295"/>
      <c r="D421" s="295"/>
      <c r="E421" s="295"/>
      <c r="F421" s="574"/>
    </row>
    <row r="422" spans="1:6" ht="12.75">
      <c r="A422" s="353"/>
      <c r="B422" s="367" t="s">
        <v>1277</v>
      </c>
      <c r="C422" s="295"/>
      <c r="D422" s="295"/>
      <c r="E422" s="295"/>
      <c r="F422" s="574"/>
    </row>
    <row r="423" spans="1:6" ht="13.5" thickBot="1">
      <c r="A423" s="353"/>
      <c r="B423" s="370" t="s">
        <v>1278</v>
      </c>
      <c r="C423" s="382"/>
      <c r="D423" s="382"/>
      <c r="E423" s="382"/>
      <c r="F423" s="576"/>
    </row>
    <row r="424" spans="1:6" ht="13.5" thickBot="1">
      <c r="A424" s="353"/>
      <c r="B424" s="372" t="s">
        <v>874</v>
      </c>
      <c r="C424" s="381"/>
      <c r="D424" s="381"/>
      <c r="E424" s="381"/>
      <c r="F424" s="942"/>
    </row>
    <row r="425" spans="1:6" ht="13.5" thickBot="1">
      <c r="A425" s="353"/>
      <c r="B425" s="615" t="s">
        <v>238</v>
      </c>
      <c r="C425" s="381"/>
      <c r="D425" s="381"/>
      <c r="E425" s="381">
        <v>2207</v>
      </c>
      <c r="F425" s="942"/>
    </row>
    <row r="426" spans="1:6" ht="15.75" thickBot="1">
      <c r="A426" s="371"/>
      <c r="B426" s="354" t="s">
        <v>890</v>
      </c>
      <c r="C426" s="388">
        <f>SUM(C420+C424)</f>
        <v>190028</v>
      </c>
      <c r="D426" s="388">
        <f>SUM(D420+D424)</f>
        <v>256210</v>
      </c>
      <c r="E426" s="388">
        <f>SUM(E420+E424+E425)</f>
        <v>226133</v>
      </c>
      <c r="F426" s="938">
        <f t="shared" si="13"/>
        <v>0.8826080168611685</v>
      </c>
    </row>
    <row r="427" spans="1:6" ht="15">
      <c r="A427" s="373">
        <v>2520</v>
      </c>
      <c r="B427" s="374" t="s">
        <v>1291</v>
      </c>
      <c r="C427" s="295"/>
      <c r="D427" s="295"/>
      <c r="E427" s="295"/>
      <c r="F427" s="574"/>
    </row>
    <row r="428" spans="1:6" ht="12.75">
      <c r="A428" s="355"/>
      <c r="B428" s="356" t="s">
        <v>1256</v>
      </c>
      <c r="C428" s="295">
        <v>500</v>
      </c>
      <c r="D428" s="295"/>
      <c r="E428" s="295"/>
      <c r="F428" s="574"/>
    </row>
    <row r="429" spans="1:6" ht="12.75">
      <c r="A429" s="355"/>
      <c r="B429" s="356" t="s">
        <v>1257</v>
      </c>
      <c r="C429" s="295">
        <v>2329</v>
      </c>
      <c r="D429" s="295">
        <v>4329</v>
      </c>
      <c r="E429" s="295">
        <v>5474</v>
      </c>
      <c r="F429" s="574">
        <f t="shared" si="13"/>
        <v>1.2644952644952645</v>
      </c>
    </row>
    <row r="430" spans="1:6" ht="12.75">
      <c r="A430" s="355"/>
      <c r="B430" s="356" t="s">
        <v>1258</v>
      </c>
      <c r="C430" s="295"/>
      <c r="D430" s="295"/>
      <c r="E430" s="295"/>
      <c r="F430" s="574"/>
    </row>
    <row r="431" spans="1:6" ht="12.75">
      <c r="A431" s="355"/>
      <c r="B431" s="356" t="s">
        <v>1259</v>
      </c>
      <c r="C431" s="295">
        <v>3430</v>
      </c>
      <c r="D431" s="295">
        <v>5348</v>
      </c>
      <c r="E431" s="295">
        <v>4266</v>
      </c>
      <c r="F431" s="574">
        <f t="shared" si="13"/>
        <v>0.7976813762154076</v>
      </c>
    </row>
    <row r="432" spans="1:6" ht="12.75">
      <c r="A432" s="355"/>
      <c r="B432" s="356" t="s">
        <v>1260</v>
      </c>
      <c r="C432" s="295">
        <v>1555</v>
      </c>
      <c r="D432" s="295">
        <v>855</v>
      </c>
      <c r="E432" s="295">
        <v>832</v>
      </c>
      <c r="F432" s="574">
        <f t="shared" si="13"/>
        <v>0.9730994152046784</v>
      </c>
    </row>
    <row r="433" spans="1:6" ht="13.5" thickBot="1">
      <c r="A433" s="355"/>
      <c r="B433" s="358" t="s">
        <v>1261</v>
      </c>
      <c r="C433" s="382"/>
      <c r="D433" s="382"/>
      <c r="E433" s="382"/>
      <c r="F433" s="576"/>
    </row>
    <row r="434" spans="1:6" ht="13.5" thickBot="1">
      <c r="A434" s="355"/>
      <c r="B434" s="359" t="s">
        <v>1249</v>
      </c>
      <c r="C434" s="386">
        <f>SUM(C428:C433)</f>
        <v>7814</v>
      </c>
      <c r="D434" s="386">
        <f>SUM(D428:D433)</f>
        <v>10532</v>
      </c>
      <c r="E434" s="386">
        <f>SUM(E428:E433)</f>
        <v>10572</v>
      </c>
      <c r="F434" s="938">
        <f t="shared" si="13"/>
        <v>1.003797949107482</v>
      </c>
    </row>
    <row r="435" spans="1:6" ht="12.75">
      <c r="A435" s="355"/>
      <c r="B435" s="356" t="s">
        <v>1262</v>
      </c>
      <c r="C435" s="295">
        <v>234695</v>
      </c>
      <c r="D435" s="295">
        <v>247813</v>
      </c>
      <c r="E435" s="295">
        <v>241772</v>
      </c>
      <c r="F435" s="574">
        <f t="shared" si="13"/>
        <v>0.9756227477977346</v>
      </c>
    </row>
    <row r="436" spans="1:6" ht="12.75">
      <c r="A436" s="355"/>
      <c r="B436" s="356" t="s">
        <v>1263</v>
      </c>
      <c r="C436" s="295">
        <v>8788</v>
      </c>
      <c r="D436" s="295">
        <v>8788</v>
      </c>
      <c r="E436" s="295">
        <v>10809</v>
      </c>
      <c r="F436" s="574">
        <f t="shared" si="13"/>
        <v>1.2299726900318617</v>
      </c>
    </row>
    <row r="437" spans="1:6" ht="13.5" thickBot="1">
      <c r="A437" s="355"/>
      <c r="B437" s="356" t="s">
        <v>1264</v>
      </c>
      <c r="C437" s="382"/>
      <c r="D437" s="382"/>
      <c r="E437" s="382"/>
      <c r="F437" s="576"/>
    </row>
    <row r="438" spans="1:6" ht="13.5" thickBot="1">
      <c r="A438" s="360"/>
      <c r="B438" s="361" t="s">
        <v>1252</v>
      </c>
      <c r="C438" s="298">
        <f>SUM(C435:C437)</f>
        <v>243483</v>
      </c>
      <c r="D438" s="298">
        <f>SUM(D435:D437)</f>
        <v>256601</v>
      </c>
      <c r="E438" s="298">
        <f>SUM(E435:E437)</f>
        <v>252581</v>
      </c>
      <c r="F438" s="938">
        <f t="shared" si="13"/>
        <v>0.9843336541946446</v>
      </c>
    </row>
    <row r="439" spans="1:6" ht="13.5" thickBot="1">
      <c r="A439" s="357"/>
      <c r="B439" s="362" t="s">
        <v>1253</v>
      </c>
      <c r="C439" s="381"/>
      <c r="D439" s="381">
        <v>680</v>
      </c>
      <c r="E439" s="381">
        <v>1281</v>
      </c>
      <c r="F439" s="942">
        <f t="shared" si="13"/>
        <v>1.8838235294117647</v>
      </c>
    </row>
    <row r="440" spans="1:6" ht="13.5" thickBot="1">
      <c r="A440" s="357"/>
      <c r="B440" s="233" t="s">
        <v>237</v>
      </c>
      <c r="C440" s="381"/>
      <c r="D440" s="381"/>
      <c r="E440" s="381">
        <v>100</v>
      </c>
      <c r="F440" s="942"/>
    </row>
    <row r="441" spans="1:6" ht="13.5" thickBot="1">
      <c r="A441" s="357"/>
      <c r="B441" s="393" t="s">
        <v>1254</v>
      </c>
      <c r="C441" s="386">
        <f>SUM(C438+C434+C439)</f>
        <v>251297</v>
      </c>
      <c r="D441" s="386">
        <f>SUM(D438+D434+D439)</f>
        <v>267813</v>
      </c>
      <c r="E441" s="386">
        <f>SUM(E438+E434+E439+E440)</f>
        <v>264534</v>
      </c>
      <c r="F441" s="938">
        <f t="shared" si="13"/>
        <v>0.9877563822517951</v>
      </c>
    </row>
    <row r="442" spans="1:6" ht="13.5" thickBot="1">
      <c r="A442" s="355"/>
      <c r="B442" s="394" t="s">
        <v>1267</v>
      </c>
      <c r="C442" s="381"/>
      <c r="D442" s="381"/>
      <c r="E442" s="381"/>
      <c r="F442" s="942"/>
    </row>
    <row r="443" spans="1:6" ht="12.75">
      <c r="A443" s="355"/>
      <c r="B443" s="356" t="s">
        <v>1265</v>
      </c>
      <c r="C443" s="295"/>
      <c r="D443" s="295">
        <v>4070</v>
      </c>
      <c r="E443" s="295">
        <v>4070</v>
      </c>
      <c r="F443" s="574">
        <f t="shared" si="13"/>
        <v>1</v>
      </c>
    </row>
    <row r="444" spans="1:6" ht="13.5" thickBot="1">
      <c r="A444" s="355"/>
      <c r="B444" s="364" t="s">
        <v>1266</v>
      </c>
      <c r="C444" s="382"/>
      <c r="D444" s="382"/>
      <c r="E444" s="382"/>
      <c r="F444" s="576"/>
    </row>
    <row r="445" spans="1:6" ht="13.5" thickBot="1">
      <c r="A445" s="365"/>
      <c r="B445" s="362" t="s">
        <v>1255</v>
      </c>
      <c r="C445" s="382"/>
      <c r="D445" s="298">
        <f>SUM(D443:D444)</f>
        <v>4070</v>
      </c>
      <c r="E445" s="298">
        <f>SUM(E443:E444)</f>
        <v>4070</v>
      </c>
      <c r="F445" s="938">
        <f t="shared" si="13"/>
        <v>1</v>
      </c>
    </row>
    <row r="446" spans="1:6" ht="15.75" thickBot="1">
      <c r="A446" s="365"/>
      <c r="B446" s="366" t="s">
        <v>1268</v>
      </c>
      <c r="C446" s="388">
        <f>SUM(C441+C442+C445)</f>
        <v>251297</v>
      </c>
      <c r="D446" s="388">
        <f>SUM(D441+D442+D445)</f>
        <v>271883</v>
      </c>
      <c r="E446" s="388">
        <f>SUM(E441+E442+E445)</f>
        <v>268604</v>
      </c>
      <c r="F446" s="938">
        <f t="shared" si="13"/>
        <v>0.987939665223644</v>
      </c>
    </row>
    <row r="447" spans="1:6" ht="12.75">
      <c r="A447" s="353"/>
      <c r="B447" s="367" t="s">
        <v>1269</v>
      </c>
      <c r="C447" s="295">
        <v>164457</v>
      </c>
      <c r="D447" s="295">
        <v>175872</v>
      </c>
      <c r="E447" s="295">
        <v>172053</v>
      </c>
      <c r="F447" s="574">
        <f t="shared" si="13"/>
        <v>0.9782853438864629</v>
      </c>
    </row>
    <row r="448" spans="1:6" ht="12.75">
      <c r="A448" s="353"/>
      <c r="B448" s="367" t="s">
        <v>1270</v>
      </c>
      <c r="C448" s="295">
        <v>42857</v>
      </c>
      <c r="D448" s="295">
        <v>46295</v>
      </c>
      <c r="E448" s="295">
        <v>46027</v>
      </c>
      <c r="F448" s="574">
        <f t="shared" si="13"/>
        <v>0.9942110379090614</v>
      </c>
    </row>
    <row r="449" spans="1:6" ht="12.75">
      <c r="A449" s="353"/>
      <c r="B449" s="367" t="s">
        <v>1271</v>
      </c>
      <c r="C449" s="295">
        <v>43983</v>
      </c>
      <c r="D449" s="295">
        <v>49716</v>
      </c>
      <c r="E449" s="295">
        <v>44278</v>
      </c>
      <c r="F449" s="574">
        <f t="shared" si="13"/>
        <v>0.8906187142972082</v>
      </c>
    </row>
    <row r="450" spans="1:6" ht="12.75">
      <c r="A450" s="353"/>
      <c r="B450" s="367" t="s">
        <v>1274</v>
      </c>
      <c r="C450" s="295"/>
      <c r="D450" s="295"/>
      <c r="E450" s="295">
        <v>2529</v>
      </c>
      <c r="F450" s="574"/>
    </row>
    <row r="451" spans="1:6" ht="13.5" thickBot="1">
      <c r="A451" s="353"/>
      <c r="B451" s="368" t="s">
        <v>1275</v>
      </c>
      <c r="C451" s="382"/>
      <c r="D451" s="382"/>
      <c r="E451" s="382"/>
      <c r="F451" s="576"/>
    </row>
    <row r="452" spans="1:6" ht="13.5" thickBot="1">
      <c r="A452" s="353"/>
      <c r="B452" s="369" t="s">
        <v>868</v>
      </c>
      <c r="C452" s="386">
        <f>SUM(C447:C451)</f>
        <v>251297</v>
      </c>
      <c r="D452" s="386">
        <f>SUM(D447:D451)</f>
        <v>271883</v>
      </c>
      <c r="E452" s="386">
        <f>SUM(E447:E451)</f>
        <v>264887</v>
      </c>
      <c r="F452" s="938">
        <f t="shared" si="13"/>
        <v>0.974268343368287</v>
      </c>
    </row>
    <row r="453" spans="1:6" ht="12.75">
      <c r="A453" s="353"/>
      <c r="B453" s="367" t="s">
        <v>1276</v>
      </c>
      <c r="C453" s="295"/>
      <c r="D453" s="295"/>
      <c r="E453" s="295"/>
      <c r="F453" s="574"/>
    </row>
    <row r="454" spans="1:6" ht="12.75">
      <c r="A454" s="353"/>
      <c r="B454" s="367" t="s">
        <v>1277</v>
      </c>
      <c r="C454" s="295"/>
      <c r="D454" s="295"/>
      <c r="E454" s="295">
        <v>597</v>
      </c>
      <c r="F454" s="574"/>
    </row>
    <row r="455" spans="1:6" ht="13.5" thickBot="1">
      <c r="A455" s="353"/>
      <c r="B455" s="370" t="s">
        <v>1278</v>
      </c>
      <c r="C455" s="382"/>
      <c r="D455" s="382"/>
      <c r="E455" s="382"/>
      <c r="F455" s="576"/>
    </row>
    <row r="456" spans="1:6" ht="13.5" thickBot="1">
      <c r="A456" s="353"/>
      <c r="B456" s="372" t="s">
        <v>874</v>
      </c>
      <c r="C456" s="381"/>
      <c r="D456" s="381"/>
      <c r="E456" s="386">
        <f>SUM(E454:E455)</f>
        <v>597</v>
      </c>
      <c r="F456" s="942"/>
    </row>
    <row r="457" spans="1:6" ht="13.5" thickBot="1">
      <c r="A457" s="353"/>
      <c r="B457" s="615" t="s">
        <v>238</v>
      </c>
      <c r="C457" s="381"/>
      <c r="D457" s="381"/>
      <c r="E457" s="381">
        <v>2563</v>
      </c>
      <c r="F457" s="942"/>
    </row>
    <row r="458" spans="1:6" ht="15.75" thickBot="1">
      <c r="A458" s="371"/>
      <c r="B458" s="354" t="s">
        <v>890</v>
      </c>
      <c r="C458" s="388">
        <f>SUM(C452+C456)</f>
        <v>251297</v>
      </c>
      <c r="D458" s="388">
        <f>SUM(D452+D456)</f>
        <v>271883</v>
      </c>
      <c r="E458" s="388">
        <f>SUM(E452+E456+E457)</f>
        <v>268047</v>
      </c>
      <c r="F458" s="576">
        <f t="shared" si="13"/>
        <v>0.9858909898743209</v>
      </c>
    </row>
    <row r="459" spans="1:6" ht="15">
      <c r="A459" s="373">
        <v>2530</v>
      </c>
      <c r="B459" s="374" t="s">
        <v>1292</v>
      </c>
      <c r="C459" s="295"/>
      <c r="D459" s="295"/>
      <c r="E459" s="295"/>
      <c r="F459" s="574"/>
    </row>
    <row r="460" spans="1:6" ht="12.75">
      <c r="A460" s="355"/>
      <c r="B460" s="356" t="s">
        <v>1256</v>
      </c>
      <c r="C460" s="295"/>
      <c r="D460" s="295"/>
      <c r="E460" s="295"/>
      <c r="F460" s="574"/>
    </row>
    <row r="461" spans="1:6" ht="12.75">
      <c r="A461" s="355"/>
      <c r="B461" s="356" t="s">
        <v>1257</v>
      </c>
      <c r="C461" s="295">
        <v>2244</v>
      </c>
      <c r="D461" s="295">
        <v>2244</v>
      </c>
      <c r="E461" s="295">
        <v>2367</v>
      </c>
      <c r="F461" s="574">
        <f aca="true" t="shared" si="14" ref="F461:F523">SUM(E461/D461)</f>
        <v>1.054812834224599</v>
      </c>
    </row>
    <row r="462" spans="1:6" ht="12.75">
      <c r="A462" s="355"/>
      <c r="B462" s="356" t="s">
        <v>1258</v>
      </c>
      <c r="C462" s="295">
        <v>1260</v>
      </c>
      <c r="D462" s="295">
        <v>2860</v>
      </c>
      <c r="E462" s="295">
        <v>2750</v>
      </c>
      <c r="F462" s="574">
        <f t="shared" si="14"/>
        <v>0.9615384615384616</v>
      </c>
    </row>
    <row r="463" spans="1:6" ht="12.75">
      <c r="A463" s="355"/>
      <c r="B463" s="356" t="s">
        <v>1259</v>
      </c>
      <c r="C463" s="295">
        <v>9022</v>
      </c>
      <c r="D463" s="295">
        <v>9022</v>
      </c>
      <c r="E463" s="295">
        <v>12854</v>
      </c>
      <c r="F463" s="574">
        <f t="shared" si="14"/>
        <v>1.424739525604079</v>
      </c>
    </row>
    <row r="464" spans="1:6" ht="12.75">
      <c r="A464" s="355"/>
      <c r="B464" s="356" t="s">
        <v>1260</v>
      </c>
      <c r="C464" s="295">
        <v>5106</v>
      </c>
      <c r="D464" s="295">
        <v>5106</v>
      </c>
      <c r="E464" s="295">
        <v>5533</v>
      </c>
      <c r="F464" s="574">
        <f t="shared" si="14"/>
        <v>1.0836271053662359</v>
      </c>
    </row>
    <row r="465" spans="1:6" ht="13.5" thickBot="1">
      <c r="A465" s="355"/>
      <c r="B465" s="358" t="s">
        <v>1261</v>
      </c>
      <c r="C465" s="382"/>
      <c r="D465" s="382"/>
      <c r="E465" s="382"/>
      <c r="F465" s="576"/>
    </row>
    <row r="466" spans="1:6" ht="13.5" thickBot="1">
      <c r="A466" s="355"/>
      <c r="B466" s="359" t="s">
        <v>1249</v>
      </c>
      <c r="C466" s="386">
        <f>SUM(C460:C465)</f>
        <v>17632</v>
      </c>
      <c r="D466" s="386">
        <f>SUM(D460:D465)</f>
        <v>19232</v>
      </c>
      <c r="E466" s="386">
        <f>SUM(E460:E465)</f>
        <v>23504</v>
      </c>
      <c r="F466" s="938">
        <f t="shared" si="14"/>
        <v>1.2221297836938436</v>
      </c>
    </row>
    <row r="467" spans="1:6" ht="12.75">
      <c r="A467" s="355"/>
      <c r="B467" s="356" t="s">
        <v>1262</v>
      </c>
      <c r="C467" s="295">
        <v>171685</v>
      </c>
      <c r="D467" s="295">
        <v>181142</v>
      </c>
      <c r="E467" s="295">
        <v>179470</v>
      </c>
      <c r="F467" s="574">
        <f t="shared" si="14"/>
        <v>0.9907696724116991</v>
      </c>
    </row>
    <row r="468" spans="1:6" ht="12.75">
      <c r="A468" s="355"/>
      <c r="B468" s="356" t="s">
        <v>1263</v>
      </c>
      <c r="C468" s="295">
        <v>14970</v>
      </c>
      <c r="D468" s="295">
        <v>14970</v>
      </c>
      <c r="E468" s="295">
        <v>18870</v>
      </c>
      <c r="F468" s="574">
        <f t="shared" si="14"/>
        <v>1.2605210420841684</v>
      </c>
    </row>
    <row r="469" spans="1:6" ht="13.5" thickBot="1">
      <c r="A469" s="355"/>
      <c r="B469" s="356" t="s">
        <v>1264</v>
      </c>
      <c r="C469" s="382"/>
      <c r="D469" s="382"/>
      <c r="E469" s="382"/>
      <c r="F469" s="576"/>
    </row>
    <row r="470" spans="1:6" ht="13.5" thickBot="1">
      <c r="A470" s="360"/>
      <c r="B470" s="361" t="s">
        <v>1252</v>
      </c>
      <c r="C470" s="298">
        <f>SUM(C467:C469)</f>
        <v>186655</v>
      </c>
      <c r="D470" s="298">
        <f>SUM(D467:D469)</f>
        <v>196112</v>
      </c>
      <c r="E470" s="298">
        <f>SUM(E467:E469)</f>
        <v>198340</v>
      </c>
      <c r="F470" s="941">
        <f t="shared" si="14"/>
        <v>1.0113608550216202</v>
      </c>
    </row>
    <row r="471" spans="1:6" ht="13.5" thickBot="1">
      <c r="A471" s="357"/>
      <c r="B471" s="362" t="s">
        <v>1253</v>
      </c>
      <c r="C471" s="381"/>
      <c r="D471" s="381">
        <v>770</v>
      </c>
      <c r="E471" s="381">
        <v>1753</v>
      </c>
      <c r="F471" s="942">
        <f t="shared" si="14"/>
        <v>2.2766233766233768</v>
      </c>
    </row>
    <row r="472" spans="1:6" ht="13.5" thickBot="1">
      <c r="A472" s="357"/>
      <c r="B472" s="362" t="s">
        <v>234</v>
      </c>
      <c r="C472" s="381"/>
      <c r="D472" s="381"/>
      <c r="E472" s="381">
        <v>1323</v>
      </c>
      <c r="F472" s="942"/>
    </row>
    <row r="473" spans="1:6" ht="13.5" thickBot="1">
      <c r="A473" s="357"/>
      <c r="B473" s="363" t="s">
        <v>1254</v>
      </c>
      <c r="C473" s="386">
        <f>SUM(C470+C466+C471)</f>
        <v>204287</v>
      </c>
      <c r="D473" s="386">
        <f>SUM(D470+D466+D471)</f>
        <v>216114</v>
      </c>
      <c r="E473" s="386">
        <f>SUM(E470+E466+E471+E472)</f>
        <v>224920</v>
      </c>
      <c r="F473" s="938">
        <f t="shared" si="14"/>
        <v>1.0407470131504668</v>
      </c>
    </row>
    <row r="474" spans="1:6" ht="13.5" thickBot="1">
      <c r="A474" s="355"/>
      <c r="B474" s="395" t="s">
        <v>1267</v>
      </c>
      <c r="C474" s="381"/>
      <c r="D474" s="381"/>
      <c r="E474" s="381"/>
      <c r="F474" s="942"/>
    </row>
    <row r="475" spans="1:6" ht="12.75">
      <c r="A475" s="355"/>
      <c r="B475" s="356" t="s">
        <v>1265</v>
      </c>
      <c r="C475" s="295"/>
      <c r="D475" s="295">
        <v>2973</v>
      </c>
      <c r="E475" s="295">
        <v>2973</v>
      </c>
      <c r="F475" s="574">
        <f t="shared" si="14"/>
        <v>1</v>
      </c>
    </row>
    <row r="476" spans="1:6" ht="13.5" thickBot="1">
      <c r="A476" s="355"/>
      <c r="B476" s="364" t="s">
        <v>1266</v>
      </c>
      <c r="C476" s="382"/>
      <c r="D476" s="382"/>
      <c r="E476" s="382"/>
      <c r="F476" s="576"/>
    </row>
    <row r="477" spans="1:6" ht="13.5" thickBot="1">
      <c r="A477" s="365"/>
      <c r="B477" s="362" t="s">
        <v>1255</v>
      </c>
      <c r="C477" s="382"/>
      <c r="D477" s="298">
        <f>SUM(D475:D476)</f>
        <v>2973</v>
      </c>
      <c r="E477" s="298">
        <f>SUM(E475:E476)</f>
        <v>2973</v>
      </c>
      <c r="F477" s="938">
        <f t="shared" si="14"/>
        <v>1</v>
      </c>
    </row>
    <row r="478" spans="1:6" ht="13.5" thickBot="1">
      <c r="A478" s="365"/>
      <c r="B478" s="614" t="s">
        <v>235</v>
      </c>
      <c r="C478" s="382"/>
      <c r="D478" s="298"/>
      <c r="E478" s="298"/>
      <c r="F478" s="942"/>
    </row>
    <row r="479" spans="1:6" ht="15.75" thickBot="1">
      <c r="A479" s="365"/>
      <c r="B479" s="366" t="s">
        <v>1268</v>
      </c>
      <c r="C479" s="388">
        <f>SUM(C473+C474+C477)</f>
        <v>204287</v>
      </c>
      <c r="D479" s="388">
        <f>SUM(D473+D474+D477)</f>
        <v>219087</v>
      </c>
      <c r="E479" s="388">
        <f>SUM(E473+E474+E477)</f>
        <v>227893</v>
      </c>
      <c r="F479" s="938">
        <f t="shared" si="14"/>
        <v>1.040194078151602</v>
      </c>
    </row>
    <row r="480" spans="1:6" ht="12.75">
      <c r="A480" s="353"/>
      <c r="B480" s="367" t="s">
        <v>1269</v>
      </c>
      <c r="C480" s="295">
        <v>118564</v>
      </c>
      <c r="D480" s="295">
        <v>125278</v>
      </c>
      <c r="E480" s="295">
        <v>121349</v>
      </c>
      <c r="F480" s="574">
        <f t="shared" si="14"/>
        <v>0.96863774964479</v>
      </c>
    </row>
    <row r="481" spans="1:6" ht="12.75">
      <c r="A481" s="353"/>
      <c r="B481" s="367" t="s">
        <v>1270</v>
      </c>
      <c r="C481" s="295">
        <v>31223</v>
      </c>
      <c r="D481" s="295">
        <v>31723</v>
      </c>
      <c r="E481" s="295">
        <v>31532</v>
      </c>
      <c r="F481" s="574">
        <f t="shared" si="14"/>
        <v>0.9939791318601645</v>
      </c>
    </row>
    <row r="482" spans="1:6" ht="12.75">
      <c r="A482" s="353"/>
      <c r="B482" s="367" t="s">
        <v>1271</v>
      </c>
      <c r="C482" s="295">
        <v>54500</v>
      </c>
      <c r="D482" s="295">
        <v>61935</v>
      </c>
      <c r="E482" s="295">
        <v>65135</v>
      </c>
      <c r="F482" s="574">
        <f t="shared" si="14"/>
        <v>1.0516670703156534</v>
      </c>
    </row>
    <row r="483" spans="1:6" ht="12.75">
      <c r="A483" s="353"/>
      <c r="B483" s="367" t="s">
        <v>1274</v>
      </c>
      <c r="C483" s="295"/>
      <c r="D483" s="295"/>
      <c r="E483" s="295">
        <v>1830</v>
      </c>
      <c r="F483" s="574"/>
    </row>
    <row r="484" spans="1:6" ht="13.5" thickBot="1">
      <c r="A484" s="353"/>
      <c r="B484" s="368" t="s">
        <v>1275</v>
      </c>
      <c r="C484" s="382"/>
      <c r="D484" s="382"/>
      <c r="E484" s="382">
        <v>983</v>
      </c>
      <c r="F484" s="576"/>
    </row>
    <row r="485" spans="1:6" ht="13.5" thickBot="1">
      <c r="A485" s="353"/>
      <c r="B485" s="369" t="s">
        <v>868</v>
      </c>
      <c r="C485" s="386">
        <f>SUM(C480:C484)</f>
        <v>204287</v>
      </c>
      <c r="D485" s="386">
        <f>SUM(D480:D484)</f>
        <v>218936</v>
      </c>
      <c r="E485" s="386">
        <f>SUM(E480:E484)</f>
        <v>220829</v>
      </c>
      <c r="F485" s="938">
        <f t="shared" si="14"/>
        <v>1.0086463624072788</v>
      </c>
    </row>
    <row r="486" spans="1:6" ht="12.75">
      <c r="A486" s="353"/>
      <c r="B486" s="367" t="s">
        <v>1276</v>
      </c>
      <c r="C486" s="295"/>
      <c r="D486" s="295"/>
      <c r="E486" s="295"/>
      <c r="F486" s="574"/>
    </row>
    <row r="487" spans="1:6" ht="12.75">
      <c r="A487" s="353"/>
      <c r="B487" s="367" t="s">
        <v>1277</v>
      </c>
      <c r="C487" s="295"/>
      <c r="D487" s="295">
        <v>151</v>
      </c>
      <c r="E487" s="295">
        <v>1210</v>
      </c>
      <c r="F487" s="574">
        <f t="shared" si="14"/>
        <v>8.013245033112582</v>
      </c>
    </row>
    <row r="488" spans="1:6" ht="13.5" thickBot="1">
      <c r="A488" s="353"/>
      <c r="B488" s="370" t="s">
        <v>1278</v>
      </c>
      <c r="C488" s="382"/>
      <c r="D488" s="382"/>
      <c r="E488" s="382"/>
      <c r="F488" s="576"/>
    </row>
    <row r="489" spans="1:6" ht="13.5" thickBot="1">
      <c r="A489" s="353"/>
      <c r="B489" s="372" t="s">
        <v>874</v>
      </c>
      <c r="C489" s="381"/>
      <c r="D489" s="386">
        <f>SUM(D487:D488)</f>
        <v>151</v>
      </c>
      <c r="E489" s="386">
        <f>SUM(E487:E488)</f>
        <v>1210</v>
      </c>
      <c r="F489" s="938">
        <f t="shared" si="14"/>
        <v>8.013245033112582</v>
      </c>
    </row>
    <row r="490" spans="1:6" ht="13.5" thickBot="1">
      <c r="A490" s="353"/>
      <c r="B490" s="615" t="s">
        <v>238</v>
      </c>
      <c r="C490" s="381"/>
      <c r="D490" s="381"/>
      <c r="E490" s="381">
        <v>-613</v>
      </c>
      <c r="F490" s="942"/>
    </row>
    <row r="491" spans="1:6" ht="15.75" thickBot="1">
      <c r="A491" s="371"/>
      <c r="B491" s="354" t="s">
        <v>890</v>
      </c>
      <c r="C491" s="388">
        <f>SUM(C485+C489)</f>
        <v>204287</v>
      </c>
      <c r="D491" s="388">
        <f>SUM(D485+D489)</f>
        <v>219087</v>
      </c>
      <c r="E491" s="388">
        <f>SUM(E485+E489+E490)</f>
        <v>221426</v>
      </c>
      <c r="F491" s="938">
        <f t="shared" si="14"/>
        <v>1.01067612409682</v>
      </c>
    </row>
    <row r="492" spans="1:6" ht="15">
      <c r="A492" s="373">
        <v>2540</v>
      </c>
      <c r="B492" s="374" t="s">
        <v>1293</v>
      </c>
      <c r="C492" s="295"/>
      <c r="D492" s="295"/>
      <c r="E492" s="295"/>
      <c r="F492" s="574"/>
    </row>
    <row r="493" spans="1:6" ht="12.75">
      <c r="A493" s="355"/>
      <c r="B493" s="356" t="s">
        <v>1256</v>
      </c>
      <c r="C493" s="295"/>
      <c r="D493" s="295"/>
      <c r="E493" s="295"/>
      <c r="F493" s="574"/>
    </row>
    <row r="494" spans="1:6" ht="12.75">
      <c r="A494" s="355"/>
      <c r="B494" s="356" t="s">
        <v>1257</v>
      </c>
      <c r="C494" s="295">
        <v>700</v>
      </c>
      <c r="D494" s="295">
        <v>1095</v>
      </c>
      <c r="E494" s="295">
        <v>1567</v>
      </c>
      <c r="F494" s="574">
        <f t="shared" si="14"/>
        <v>1.4310502283105022</v>
      </c>
    </row>
    <row r="495" spans="1:6" ht="12.75">
      <c r="A495" s="355"/>
      <c r="B495" s="356" t="s">
        <v>1258</v>
      </c>
      <c r="C495" s="295">
        <v>1662</v>
      </c>
      <c r="D495" s="295">
        <v>1817</v>
      </c>
      <c r="E495" s="295">
        <v>2280</v>
      </c>
      <c r="F495" s="574">
        <f t="shared" si="14"/>
        <v>1.2548156301596038</v>
      </c>
    </row>
    <row r="496" spans="1:6" ht="12.75">
      <c r="A496" s="355"/>
      <c r="B496" s="356" t="s">
        <v>1259</v>
      </c>
      <c r="C496" s="295">
        <v>13057</v>
      </c>
      <c r="D496" s="295">
        <v>18372</v>
      </c>
      <c r="E496" s="295">
        <v>18566</v>
      </c>
      <c r="F496" s="574">
        <f t="shared" si="14"/>
        <v>1.0105595471369475</v>
      </c>
    </row>
    <row r="497" spans="1:6" ht="12.75">
      <c r="A497" s="355"/>
      <c r="B497" s="356" t="s">
        <v>1260</v>
      </c>
      <c r="C497" s="295">
        <v>3714</v>
      </c>
      <c r="D497" s="295">
        <v>3771</v>
      </c>
      <c r="E497" s="295">
        <v>4280</v>
      </c>
      <c r="F497" s="574">
        <f t="shared" si="14"/>
        <v>1.1349774595597986</v>
      </c>
    </row>
    <row r="498" spans="1:6" ht="13.5" thickBot="1">
      <c r="A498" s="355"/>
      <c r="B498" s="358" t="s">
        <v>1261</v>
      </c>
      <c r="C498" s="382"/>
      <c r="D498" s="382"/>
      <c r="E498" s="382"/>
      <c r="F498" s="576"/>
    </row>
    <row r="499" spans="1:6" ht="13.5" thickBot="1">
      <c r="A499" s="355"/>
      <c r="B499" s="359" t="s">
        <v>1249</v>
      </c>
      <c r="C499" s="386">
        <f>SUM(C493:C498)</f>
        <v>19133</v>
      </c>
      <c r="D499" s="386">
        <f>SUM(D493:D498)</f>
        <v>25055</v>
      </c>
      <c r="E499" s="386">
        <f>SUM(E493:E498)</f>
        <v>26693</v>
      </c>
      <c r="F499" s="938">
        <f t="shared" si="14"/>
        <v>1.0653761724206745</v>
      </c>
    </row>
    <row r="500" spans="1:6" ht="12.75">
      <c r="A500" s="355"/>
      <c r="B500" s="356" t="s">
        <v>1262</v>
      </c>
      <c r="C500" s="295">
        <v>186139</v>
      </c>
      <c r="D500" s="295">
        <v>196129</v>
      </c>
      <c r="E500" s="295">
        <v>190313</v>
      </c>
      <c r="F500" s="574">
        <f t="shared" si="14"/>
        <v>0.9703460477542841</v>
      </c>
    </row>
    <row r="501" spans="1:6" ht="12.75">
      <c r="A501" s="355"/>
      <c r="B501" s="356" t="s">
        <v>1263</v>
      </c>
      <c r="C501" s="295">
        <v>19514</v>
      </c>
      <c r="D501" s="295">
        <v>19514</v>
      </c>
      <c r="E501" s="295">
        <v>20891</v>
      </c>
      <c r="F501" s="574">
        <f t="shared" si="14"/>
        <v>1.0705647227631445</v>
      </c>
    </row>
    <row r="502" spans="1:6" ht="13.5" thickBot="1">
      <c r="A502" s="355"/>
      <c r="B502" s="356" t="s">
        <v>1264</v>
      </c>
      <c r="C502" s="382"/>
      <c r="D502" s="382"/>
      <c r="E502" s="382"/>
      <c r="F502" s="576"/>
    </row>
    <row r="503" spans="1:6" ht="13.5" thickBot="1">
      <c r="A503" s="360"/>
      <c r="B503" s="361" t="s">
        <v>1252</v>
      </c>
      <c r="C503" s="298">
        <f>SUM(C500:C502)</f>
        <v>205653</v>
      </c>
      <c r="D503" s="298">
        <f>SUM(D500:D502)</f>
        <v>215643</v>
      </c>
      <c r="E503" s="298">
        <f>SUM(E500:E502)</f>
        <v>211204</v>
      </c>
      <c r="F503" s="938">
        <f t="shared" si="14"/>
        <v>0.9794150517290151</v>
      </c>
    </row>
    <row r="504" spans="1:6" ht="13.5" thickBot="1">
      <c r="A504" s="357"/>
      <c r="B504" s="362" t="s">
        <v>1253</v>
      </c>
      <c r="C504" s="381"/>
      <c r="D504" s="386">
        <v>715</v>
      </c>
      <c r="E504" s="386">
        <v>715</v>
      </c>
      <c r="F504" s="938">
        <f t="shared" si="14"/>
        <v>1</v>
      </c>
    </row>
    <row r="505" spans="1:6" ht="13.5" thickBot="1">
      <c r="A505" s="357"/>
      <c r="B505" s="233" t="s">
        <v>237</v>
      </c>
      <c r="C505" s="381"/>
      <c r="D505" s="386">
        <v>1058</v>
      </c>
      <c r="E505" s="386">
        <v>1158</v>
      </c>
      <c r="F505" s="938">
        <f t="shared" si="14"/>
        <v>1.0945179584120983</v>
      </c>
    </row>
    <row r="506" spans="1:6" ht="13.5" thickBot="1">
      <c r="A506" s="357"/>
      <c r="B506" s="363" t="s">
        <v>1254</v>
      </c>
      <c r="C506" s="386">
        <f>SUM(C503+C499+C504)</f>
        <v>224786</v>
      </c>
      <c r="D506" s="386">
        <f>SUM(D503+D499+D504+D505)</f>
        <v>242471</v>
      </c>
      <c r="E506" s="386">
        <f>SUM(E503+E499+E504+E505)</f>
        <v>239770</v>
      </c>
      <c r="F506" s="938">
        <f t="shared" si="14"/>
        <v>0.9888605235265249</v>
      </c>
    </row>
    <row r="507" spans="1:6" ht="13.5" thickBot="1">
      <c r="A507" s="355"/>
      <c r="B507" s="359" t="s">
        <v>1267</v>
      </c>
      <c r="C507" s="381"/>
      <c r="D507" s="381"/>
      <c r="E507" s="381"/>
      <c r="F507" s="942"/>
    </row>
    <row r="508" spans="1:6" ht="12.75">
      <c r="A508" s="355"/>
      <c r="B508" s="356" t="s">
        <v>1265</v>
      </c>
      <c r="C508" s="295"/>
      <c r="D508" s="295">
        <v>1625</v>
      </c>
      <c r="E508" s="295">
        <v>1625</v>
      </c>
      <c r="F508" s="574">
        <f t="shared" si="14"/>
        <v>1</v>
      </c>
    </row>
    <row r="509" spans="1:6" ht="13.5" thickBot="1">
      <c r="A509" s="355"/>
      <c r="B509" s="364" t="s">
        <v>1266</v>
      </c>
      <c r="C509" s="382"/>
      <c r="D509" s="382"/>
      <c r="E509" s="382"/>
      <c r="F509" s="576"/>
    </row>
    <row r="510" spans="1:6" ht="13.5" thickBot="1">
      <c r="A510" s="365"/>
      <c r="B510" s="362" t="s">
        <v>1255</v>
      </c>
      <c r="C510" s="382"/>
      <c r="D510" s="298">
        <f>SUM(D508:D509)</f>
        <v>1625</v>
      </c>
      <c r="E510" s="298">
        <f>SUM(E508:E509)</f>
        <v>1625</v>
      </c>
      <c r="F510" s="938">
        <f t="shared" si="14"/>
        <v>1</v>
      </c>
    </row>
    <row r="511" spans="1:6" ht="15.75" thickBot="1">
      <c r="A511" s="365"/>
      <c r="B511" s="366" t="s">
        <v>1268</v>
      </c>
      <c r="C511" s="388">
        <f>SUM(C506+C507+C510)</f>
        <v>224786</v>
      </c>
      <c r="D511" s="388">
        <f>SUM(D506+D507+D510)</f>
        <v>244096</v>
      </c>
      <c r="E511" s="388">
        <f>SUM(E506+E507+E510)</f>
        <v>241395</v>
      </c>
      <c r="F511" s="938">
        <f t="shared" si="14"/>
        <v>0.9889346814368117</v>
      </c>
    </row>
    <row r="512" spans="1:6" ht="12.75">
      <c r="A512" s="353"/>
      <c r="B512" s="367" t="s">
        <v>1269</v>
      </c>
      <c r="C512" s="295">
        <v>113439</v>
      </c>
      <c r="D512" s="295">
        <v>123064</v>
      </c>
      <c r="E512" s="295">
        <v>120700</v>
      </c>
      <c r="F512" s="574">
        <f t="shared" si="14"/>
        <v>0.980790483000715</v>
      </c>
    </row>
    <row r="513" spans="1:6" ht="12.75">
      <c r="A513" s="353"/>
      <c r="B513" s="367" t="s">
        <v>1270</v>
      </c>
      <c r="C513" s="295">
        <v>29072</v>
      </c>
      <c r="D513" s="295">
        <v>32584</v>
      </c>
      <c r="E513" s="295">
        <v>31907</v>
      </c>
      <c r="F513" s="574">
        <f t="shared" si="14"/>
        <v>0.9792229315001227</v>
      </c>
    </row>
    <row r="514" spans="1:6" ht="12.75">
      <c r="A514" s="353"/>
      <c r="B514" s="367" t="s">
        <v>1271</v>
      </c>
      <c r="C514" s="295">
        <v>81386</v>
      </c>
      <c r="D514" s="295">
        <v>87544</v>
      </c>
      <c r="E514" s="295">
        <v>86535</v>
      </c>
      <c r="F514" s="574">
        <f t="shared" si="14"/>
        <v>0.9884743671753633</v>
      </c>
    </row>
    <row r="515" spans="1:6" ht="12.75">
      <c r="A515" s="353"/>
      <c r="B515" s="367" t="s">
        <v>1274</v>
      </c>
      <c r="C515" s="295"/>
      <c r="D515" s="295"/>
      <c r="E515" s="295"/>
      <c r="F515" s="574"/>
    </row>
    <row r="516" spans="1:6" ht="13.5" thickBot="1">
      <c r="A516" s="353"/>
      <c r="B516" s="368" t="s">
        <v>1275</v>
      </c>
      <c r="C516" s="382"/>
      <c r="D516" s="382"/>
      <c r="E516" s="382"/>
      <c r="F516" s="576"/>
    </row>
    <row r="517" spans="1:6" ht="13.5" thickBot="1">
      <c r="A517" s="353"/>
      <c r="B517" s="369" t="s">
        <v>868</v>
      </c>
      <c r="C517" s="386">
        <f>SUM(C512:C516)</f>
        <v>223897</v>
      </c>
      <c r="D517" s="386">
        <f>SUM(D512:D516)</f>
        <v>243192</v>
      </c>
      <c r="E517" s="386">
        <f>SUM(E512:E516)</f>
        <v>239142</v>
      </c>
      <c r="F517" s="938">
        <f t="shared" si="14"/>
        <v>0.9833464916609099</v>
      </c>
    </row>
    <row r="518" spans="1:6" ht="12.75">
      <c r="A518" s="353"/>
      <c r="B518" s="367" t="s">
        <v>1276</v>
      </c>
      <c r="C518" s="295">
        <v>508</v>
      </c>
      <c r="D518" s="295">
        <v>508</v>
      </c>
      <c r="E518" s="295"/>
      <c r="F518" s="574">
        <f t="shared" si="14"/>
        <v>0</v>
      </c>
    </row>
    <row r="519" spans="1:6" ht="12.75">
      <c r="A519" s="353"/>
      <c r="B519" s="367" t="s">
        <v>1277</v>
      </c>
      <c r="C519" s="295">
        <v>381</v>
      </c>
      <c r="D519" s="295">
        <v>396</v>
      </c>
      <c r="E519" s="295">
        <v>1210</v>
      </c>
      <c r="F519" s="574">
        <f t="shared" si="14"/>
        <v>3.0555555555555554</v>
      </c>
    </row>
    <row r="520" spans="1:6" ht="13.5" thickBot="1">
      <c r="A520" s="353"/>
      <c r="B520" s="370" t="s">
        <v>1278</v>
      </c>
      <c r="C520" s="382"/>
      <c r="D520" s="382"/>
      <c r="E520" s="382"/>
      <c r="F520" s="576"/>
    </row>
    <row r="521" spans="1:6" ht="13.5" thickBot="1">
      <c r="A521" s="353"/>
      <c r="B521" s="372" t="s">
        <v>874</v>
      </c>
      <c r="C521" s="386">
        <f>SUM(C518:C520)</f>
        <v>889</v>
      </c>
      <c r="D521" s="386">
        <f>SUM(D518:D520)</f>
        <v>904</v>
      </c>
      <c r="E521" s="386">
        <f>SUM(E518:E520)</f>
        <v>1210</v>
      </c>
      <c r="F521" s="938">
        <f t="shared" si="14"/>
        <v>1.3384955752212389</v>
      </c>
    </row>
    <row r="522" spans="1:6" ht="13.5" thickBot="1">
      <c r="A522" s="353"/>
      <c r="B522" s="613" t="s">
        <v>233</v>
      </c>
      <c r="C522" s="386"/>
      <c r="D522" s="386"/>
      <c r="E522" s="381">
        <v>43</v>
      </c>
      <c r="F522" s="942"/>
    </row>
    <row r="523" spans="1:6" ht="15.75" thickBot="1">
      <c r="A523" s="371"/>
      <c r="B523" s="354" t="s">
        <v>890</v>
      </c>
      <c r="C523" s="388">
        <f>SUM(C517+C521)</f>
        <v>224786</v>
      </c>
      <c r="D523" s="388">
        <f>SUM(D517+D521)</f>
        <v>244096</v>
      </c>
      <c r="E523" s="388">
        <f>SUM(E517+E521+E522)</f>
        <v>240395</v>
      </c>
      <c r="F523" s="938">
        <f t="shared" si="14"/>
        <v>0.9848379326166754</v>
      </c>
    </row>
    <row r="524" spans="1:6" ht="15">
      <c r="A524" s="373">
        <v>2560</v>
      </c>
      <c r="B524" s="378" t="s">
        <v>1294</v>
      </c>
      <c r="C524" s="295"/>
      <c r="D524" s="295"/>
      <c r="E524" s="295"/>
      <c r="F524" s="574"/>
    </row>
    <row r="525" spans="1:6" ht="12.75">
      <c r="A525" s="355"/>
      <c r="B525" s="356" t="s">
        <v>1256</v>
      </c>
      <c r="C525" s="295"/>
      <c r="D525" s="295"/>
      <c r="E525" s="295"/>
      <c r="F525" s="574"/>
    </row>
    <row r="526" spans="1:8" ht="12.75">
      <c r="A526" s="355"/>
      <c r="B526" s="356" t="s">
        <v>1257</v>
      </c>
      <c r="C526" s="295">
        <v>4200</v>
      </c>
      <c r="D526" s="295">
        <v>5200</v>
      </c>
      <c r="E526" s="295">
        <v>5444</v>
      </c>
      <c r="F526" s="574">
        <f aca="true" t="shared" si="15" ref="F526:F587">SUM(E526/D526)</f>
        <v>1.0469230769230768</v>
      </c>
      <c r="G526" s="617"/>
      <c r="H526" s="618"/>
    </row>
    <row r="527" spans="1:8" ht="12.75">
      <c r="A527" s="355"/>
      <c r="B527" s="356" t="s">
        <v>1258</v>
      </c>
      <c r="C527" s="295">
        <v>3874</v>
      </c>
      <c r="D527" s="295">
        <v>5374</v>
      </c>
      <c r="E527" s="295">
        <v>5806</v>
      </c>
      <c r="F527" s="574">
        <f t="shared" si="15"/>
        <v>1.0803870487532565</v>
      </c>
      <c r="G527" s="616"/>
      <c r="H527" s="618"/>
    </row>
    <row r="528" spans="1:8" ht="12.75">
      <c r="A528" s="355"/>
      <c r="B528" s="356" t="s">
        <v>1259</v>
      </c>
      <c r="C528" s="295">
        <v>7926</v>
      </c>
      <c r="D528" s="295">
        <v>8513</v>
      </c>
      <c r="E528" s="295">
        <v>9222</v>
      </c>
      <c r="F528" s="574">
        <f t="shared" si="15"/>
        <v>1.0832843885821684</v>
      </c>
      <c r="G528" s="617"/>
      <c r="H528" s="618"/>
    </row>
    <row r="529" spans="1:8" ht="12.75">
      <c r="A529" s="355"/>
      <c r="B529" s="356" t="s">
        <v>1260</v>
      </c>
      <c r="C529" s="295">
        <v>2900</v>
      </c>
      <c r="D529" s="295">
        <v>2900</v>
      </c>
      <c r="E529" s="295">
        <v>3061</v>
      </c>
      <c r="F529" s="574">
        <f t="shared" si="15"/>
        <v>1.0555172413793104</v>
      </c>
      <c r="H529" s="618"/>
    </row>
    <row r="530" spans="1:6" ht="13.5" thickBot="1">
      <c r="A530" s="355"/>
      <c r="B530" s="358" t="s">
        <v>1261</v>
      </c>
      <c r="C530" s="382"/>
      <c r="D530" s="382"/>
      <c r="E530" s="382"/>
      <c r="F530" s="576"/>
    </row>
    <row r="531" spans="1:6" ht="13.5" thickBot="1">
      <c r="A531" s="355"/>
      <c r="B531" s="359" t="s">
        <v>1249</v>
      </c>
      <c r="C531" s="386">
        <f>SUM(C525:C530)</f>
        <v>18900</v>
      </c>
      <c r="D531" s="386">
        <f>SUM(D525:D530)</f>
        <v>21987</v>
      </c>
      <c r="E531" s="386">
        <f>SUM(E525:E530)</f>
        <v>23533</v>
      </c>
      <c r="F531" s="938">
        <f t="shared" si="15"/>
        <v>1.0703142766180016</v>
      </c>
    </row>
    <row r="532" spans="1:6" ht="12.75">
      <c r="A532" s="355"/>
      <c r="B532" s="356" t="s">
        <v>1262</v>
      </c>
      <c r="C532" s="295">
        <v>177835</v>
      </c>
      <c r="D532" s="295">
        <v>191773</v>
      </c>
      <c r="E532" s="295">
        <v>186375</v>
      </c>
      <c r="F532" s="574">
        <f t="shared" si="15"/>
        <v>0.9718521376836156</v>
      </c>
    </row>
    <row r="533" spans="1:6" ht="12.75">
      <c r="A533" s="355"/>
      <c r="B533" s="356" t="s">
        <v>1263</v>
      </c>
      <c r="C533" s="295">
        <v>22081</v>
      </c>
      <c r="D533" s="295">
        <v>22081</v>
      </c>
      <c r="E533" s="295">
        <v>26557</v>
      </c>
      <c r="F533" s="574">
        <f t="shared" si="15"/>
        <v>1.2027082106788642</v>
      </c>
    </row>
    <row r="534" spans="1:6" ht="13.5" thickBot="1">
      <c r="A534" s="355"/>
      <c r="B534" s="356" t="s">
        <v>1264</v>
      </c>
      <c r="C534" s="382"/>
      <c r="D534" s="382"/>
      <c r="E534" s="382"/>
      <c r="F534" s="576"/>
    </row>
    <row r="535" spans="1:6" ht="13.5" thickBot="1">
      <c r="A535" s="360"/>
      <c r="B535" s="361" t="s">
        <v>1252</v>
      </c>
      <c r="C535" s="298">
        <f>SUM(C532:C534)</f>
        <v>199916</v>
      </c>
      <c r="D535" s="298">
        <f>SUM(D532:D534)</f>
        <v>213854</v>
      </c>
      <c r="E535" s="298">
        <f>SUM(E532:E534)</f>
        <v>212932</v>
      </c>
      <c r="F535" s="938">
        <f t="shared" si="15"/>
        <v>0.9956886473949517</v>
      </c>
    </row>
    <row r="536" spans="1:6" ht="13.5" thickBot="1">
      <c r="A536" s="357"/>
      <c r="B536" s="362" t="s">
        <v>1253</v>
      </c>
      <c r="C536" s="381"/>
      <c r="D536" s="381">
        <v>1076</v>
      </c>
      <c r="E536" s="381">
        <v>1260</v>
      </c>
      <c r="F536" s="942">
        <f t="shared" si="15"/>
        <v>1.171003717472119</v>
      </c>
    </row>
    <row r="537" spans="1:6" ht="13.5" thickBot="1">
      <c r="A537" s="357"/>
      <c r="B537" s="363" t="s">
        <v>1254</v>
      </c>
      <c r="C537" s="386">
        <f>SUM(C535+C531+C536)</f>
        <v>218816</v>
      </c>
      <c r="D537" s="386">
        <f>SUM(D535+D531+D536)</f>
        <v>236917</v>
      </c>
      <c r="E537" s="386">
        <f>SUM(E535+E531+E536)</f>
        <v>237725</v>
      </c>
      <c r="F537" s="938">
        <f t="shared" si="15"/>
        <v>1.0034104770869123</v>
      </c>
    </row>
    <row r="538" spans="1:6" ht="13.5" thickBot="1">
      <c r="A538" s="355"/>
      <c r="B538" s="359" t="s">
        <v>1267</v>
      </c>
      <c r="C538" s="381"/>
      <c r="D538" s="381"/>
      <c r="E538" s="381"/>
      <c r="F538" s="942"/>
    </row>
    <row r="539" spans="1:6" ht="12.75">
      <c r="A539" s="355"/>
      <c r="B539" s="356" t="s">
        <v>1265</v>
      </c>
      <c r="C539" s="295"/>
      <c r="D539" s="295">
        <v>4420</v>
      </c>
      <c r="E539" s="295">
        <v>4420</v>
      </c>
      <c r="F539" s="574">
        <f t="shared" si="15"/>
        <v>1</v>
      </c>
    </row>
    <row r="540" spans="1:6" ht="13.5" thickBot="1">
      <c r="A540" s="355"/>
      <c r="B540" s="364" t="s">
        <v>1266</v>
      </c>
      <c r="C540" s="382"/>
      <c r="D540" s="382"/>
      <c r="E540" s="382"/>
      <c r="F540" s="576"/>
    </row>
    <row r="541" spans="1:6" ht="13.5" thickBot="1">
      <c r="A541" s="365"/>
      <c r="B541" s="362" t="s">
        <v>1255</v>
      </c>
      <c r="C541" s="382"/>
      <c r="D541" s="298">
        <f>SUM(D539:D540)</f>
        <v>4420</v>
      </c>
      <c r="E541" s="298">
        <f>SUM(E539:E540)</f>
        <v>4420</v>
      </c>
      <c r="F541" s="938">
        <f t="shared" si="15"/>
        <v>1</v>
      </c>
    </row>
    <row r="542" spans="1:6" ht="15.75" thickBot="1">
      <c r="A542" s="365"/>
      <c r="B542" s="366" t="s">
        <v>1268</v>
      </c>
      <c r="C542" s="388">
        <f>SUM(C537+C538+C541)</f>
        <v>218816</v>
      </c>
      <c r="D542" s="388">
        <f>SUM(D537+D538+D541)</f>
        <v>241337</v>
      </c>
      <c r="E542" s="388">
        <f>SUM(E537+E538+E541)</f>
        <v>242145</v>
      </c>
      <c r="F542" s="938">
        <f t="shared" si="15"/>
        <v>1.0033480154307048</v>
      </c>
    </row>
    <row r="543" spans="1:6" ht="12.75">
      <c r="A543" s="353"/>
      <c r="B543" s="367" t="s">
        <v>1269</v>
      </c>
      <c r="C543" s="295">
        <v>103131</v>
      </c>
      <c r="D543" s="295">
        <v>113534</v>
      </c>
      <c r="E543" s="295">
        <v>113455</v>
      </c>
      <c r="F543" s="574">
        <f t="shared" si="15"/>
        <v>0.9993041731992178</v>
      </c>
    </row>
    <row r="544" spans="1:6" ht="12.75">
      <c r="A544" s="353"/>
      <c r="B544" s="367" t="s">
        <v>1270</v>
      </c>
      <c r="C544" s="295">
        <v>27061</v>
      </c>
      <c r="D544" s="295">
        <v>29257</v>
      </c>
      <c r="E544" s="295">
        <v>29299</v>
      </c>
      <c r="F544" s="574">
        <f t="shared" si="15"/>
        <v>1.0014355538845405</v>
      </c>
    </row>
    <row r="545" spans="1:6" ht="12.75">
      <c r="A545" s="353"/>
      <c r="B545" s="367" t="s">
        <v>1271</v>
      </c>
      <c r="C545" s="295">
        <v>88624</v>
      </c>
      <c r="D545" s="295">
        <v>97975</v>
      </c>
      <c r="E545" s="295">
        <v>97742</v>
      </c>
      <c r="F545" s="574">
        <f t="shared" si="15"/>
        <v>0.9976218423067109</v>
      </c>
    </row>
    <row r="546" spans="1:6" ht="12.75">
      <c r="A546" s="353"/>
      <c r="B546" s="367" t="s">
        <v>1274</v>
      </c>
      <c r="C546" s="295"/>
      <c r="D546" s="295"/>
      <c r="E546" s="295"/>
      <c r="F546" s="574"/>
    </row>
    <row r="547" spans="1:6" ht="13.5" thickBot="1">
      <c r="A547" s="353"/>
      <c r="B547" s="368" t="s">
        <v>1275</v>
      </c>
      <c r="C547" s="382"/>
      <c r="D547" s="382">
        <v>400</v>
      </c>
      <c r="E547" s="382">
        <v>462</v>
      </c>
      <c r="F547" s="576">
        <f t="shared" si="15"/>
        <v>1.155</v>
      </c>
    </row>
    <row r="548" spans="1:6" ht="13.5" thickBot="1">
      <c r="A548" s="353"/>
      <c r="B548" s="369" t="s">
        <v>868</v>
      </c>
      <c r="C548" s="386">
        <f>SUM(C543:C547)</f>
        <v>218816</v>
      </c>
      <c r="D548" s="386">
        <f>SUM(D543:D547)</f>
        <v>241166</v>
      </c>
      <c r="E548" s="386">
        <f>SUM(E543:E547)</f>
        <v>240958</v>
      </c>
      <c r="F548" s="938">
        <f t="shared" si="15"/>
        <v>0.9991375235315094</v>
      </c>
    </row>
    <row r="549" spans="1:6" ht="12.75">
      <c r="A549" s="353"/>
      <c r="B549" s="367" t="s">
        <v>1276</v>
      </c>
      <c r="C549" s="295"/>
      <c r="D549" s="295"/>
      <c r="E549" s="295"/>
      <c r="F549" s="574"/>
    </row>
    <row r="550" spans="1:6" ht="12.75">
      <c r="A550" s="353"/>
      <c r="B550" s="367" t="s">
        <v>1277</v>
      </c>
      <c r="C550" s="295"/>
      <c r="D550" s="295">
        <v>171</v>
      </c>
      <c r="E550" s="295">
        <v>610</v>
      </c>
      <c r="F550" s="574">
        <f t="shared" si="15"/>
        <v>3.5672514619883042</v>
      </c>
    </row>
    <row r="551" spans="1:6" ht="13.5" thickBot="1">
      <c r="A551" s="353"/>
      <c r="B551" s="370" t="s">
        <v>1278</v>
      </c>
      <c r="C551" s="382"/>
      <c r="D551" s="382"/>
      <c r="E551" s="382"/>
      <c r="F551" s="576"/>
    </row>
    <row r="552" spans="1:6" ht="13.5" thickBot="1">
      <c r="A552" s="353"/>
      <c r="B552" s="372" t="s">
        <v>874</v>
      </c>
      <c r="C552" s="381"/>
      <c r="D552" s="386">
        <f>SUM(D550:D551)</f>
        <v>171</v>
      </c>
      <c r="E552" s="386">
        <f>SUM(E550:E551)</f>
        <v>610</v>
      </c>
      <c r="F552" s="938">
        <f t="shared" si="15"/>
        <v>3.5672514619883042</v>
      </c>
    </row>
    <row r="553" spans="1:6" ht="13.5" thickBot="1">
      <c r="A553" s="353"/>
      <c r="B553" s="613" t="s">
        <v>233</v>
      </c>
      <c r="C553" s="386"/>
      <c r="D553" s="386"/>
      <c r="E553" s="381">
        <v>-3053</v>
      </c>
      <c r="F553" s="942"/>
    </row>
    <row r="554" spans="1:6" ht="15.75" thickBot="1">
      <c r="A554" s="371"/>
      <c r="B554" s="354" t="s">
        <v>890</v>
      </c>
      <c r="C554" s="388">
        <f>SUM(C548+C552)</f>
        <v>218816</v>
      </c>
      <c r="D554" s="388">
        <f>SUM(D548+D552)</f>
        <v>241337</v>
      </c>
      <c r="E554" s="388">
        <f>SUM(E548+E552+E553)</f>
        <v>238515</v>
      </c>
      <c r="F554" s="938">
        <f t="shared" si="15"/>
        <v>0.9883068074932563</v>
      </c>
    </row>
    <row r="555" spans="1:6" ht="15">
      <c r="A555" s="379">
        <v>2599</v>
      </c>
      <c r="B555" s="374" t="s">
        <v>1295</v>
      </c>
      <c r="C555" s="384"/>
      <c r="D555" s="384"/>
      <c r="E555" s="384"/>
      <c r="F555" s="574"/>
    </row>
    <row r="556" spans="1:6" ht="12.75">
      <c r="A556" s="355"/>
      <c r="B556" s="356" t="s">
        <v>1256</v>
      </c>
      <c r="C556" s="384">
        <f aca="true" t="shared" si="16" ref="C556:D561">SUM(C329+C363+C396+C428+C460+C493+C525)</f>
        <v>700</v>
      </c>
      <c r="D556" s="384">
        <f t="shared" si="16"/>
        <v>169</v>
      </c>
      <c r="E556" s="384">
        <f aca="true" t="shared" si="17" ref="E556:E561">SUM(E329+E363+E396+E428+E460+E493+E525)</f>
        <v>169</v>
      </c>
      <c r="F556" s="574">
        <f t="shared" si="15"/>
        <v>1</v>
      </c>
    </row>
    <row r="557" spans="1:6" ht="12.75">
      <c r="A557" s="355"/>
      <c r="B557" s="356" t="s">
        <v>1257</v>
      </c>
      <c r="C557" s="384">
        <f t="shared" si="16"/>
        <v>12931</v>
      </c>
      <c r="D557" s="384">
        <f t="shared" si="16"/>
        <v>17032</v>
      </c>
      <c r="E557" s="384">
        <f t="shared" si="17"/>
        <v>19610</v>
      </c>
      <c r="F557" s="574">
        <f t="shared" si="15"/>
        <v>1.1513621418506341</v>
      </c>
    </row>
    <row r="558" spans="1:6" ht="12.75">
      <c r="A558" s="355"/>
      <c r="B558" s="356" t="s">
        <v>1258</v>
      </c>
      <c r="C558" s="384">
        <f t="shared" si="16"/>
        <v>7040</v>
      </c>
      <c r="D558" s="384">
        <f t="shared" si="16"/>
        <v>12241</v>
      </c>
      <c r="E558" s="384">
        <f t="shared" si="17"/>
        <v>15146</v>
      </c>
      <c r="F558" s="574">
        <f t="shared" si="15"/>
        <v>1.2373172126460257</v>
      </c>
    </row>
    <row r="559" spans="1:6" ht="12.75">
      <c r="A559" s="355"/>
      <c r="B559" s="356" t="s">
        <v>1259</v>
      </c>
      <c r="C559" s="384">
        <f t="shared" si="16"/>
        <v>49755</v>
      </c>
      <c r="D559" s="384">
        <f t="shared" si="16"/>
        <v>57162</v>
      </c>
      <c r="E559" s="384">
        <f t="shared" si="17"/>
        <v>58033</v>
      </c>
      <c r="F559" s="574">
        <f t="shared" si="15"/>
        <v>1.0152373954725167</v>
      </c>
    </row>
    <row r="560" spans="1:6" ht="12.75">
      <c r="A560" s="355"/>
      <c r="B560" s="356" t="s">
        <v>1260</v>
      </c>
      <c r="C560" s="384">
        <f t="shared" si="16"/>
        <v>17369</v>
      </c>
      <c r="D560" s="384">
        <f t="shared" si="16"/>
        <v>17714</v>
      </c>
      <c r="E560" s="384">
        <f t="shared" si="17"/>
        <v>18556</v>
      </c>
      <c r="F560" s="574">
        <f t="shared" si="15"/>
        <v>1.0475330247262054</v>
      </c>
    </row>
    <row r="561" spans="1:6" ht="13.5" thickBot="1">
      <c r="A561" s="355"/>
      <c r="B561" s="358" t="s">
        <v>1261</v>
      </c>
      <c r="C561" s="385">
        <f t="shared" si="16"/>
        <v>0</v>
      </c>
      <c r="D561" s="385">
        <f t="shared" si="16"/>
        <v>0</v>
      </c>
      <c r="E561" s="385">
        <f t="shared" si="17"/>
        <v>0</v>
      </c>
      <c r="F561" s="576"/>
    </row>
    <row r="562" spans="1:6" ht="13.5" thickBot="1">
      <c r="A562" s="355"/>
      <c r="B562" s="359" t="s">
        <v>1249</v>
      </c>
      <c r="C562" s="390">
        <f>SUM(C556:C561)</f>
        <v>87795</v>
      </c>
      <c r="D562" s="390">
        <f>SUM(D556:D561)</f>
        <v>104318</v>
      </c>
      <c r="E562" s="390">
        <f>SUM(E556:E561)</f>
        <v>111514</v>
      </c>
      <c r="F562" s="938">
        <f t="shared" si="15"/>
        <v>1.068981383845549</v>
      </c>
    </row>
    <row r="563" spans="1:6" ht="12.75">
      <c r="A563" s="355"/>
      <c r="B563" s="356" t="s">
        <v>1262</v>
      </c>
      <c r="C563" s="384">
        <f aca="true" t="shared" si="18" ref="C563:D567">SUM(C336+C370+C403+C435+C467+C500+C532)</f>
        <v>1234421</v>
      </c>
      <c r="D563" s="384">
        <f t="shared" si="18"/>
        <v>1297427</v>
      </c>
      <c r="E563" s="384">
        <f>SUM(E336+E370+E403+E435+E467+E500+E532)</f>
        <v>1245898</v>
      </c>
      <c r="F563" s="574">
        <f t="shared" si="15"/>
        <v>0.9602836999692468</v>
      </c>
    </row>
    <row r="564" spans="1:6" ht="12.75">
      <c r="A564" s="355"/>
      <c r="B564" s="356" t="s">
        <v>1263</v>
      </c>
      <c r="C564" s="384">
        <f t="shared" si="18"/>
        <v>101357</v>
      </c>
      <c r="D564" s="384">
        <f t="shared" si="18"/>
        <v>101357</v>
      </c>
      <c r="E564" s="384">
        <f>SUM(E337+E371+E404+E436+E468+E501+E533)</f>
        <v>111958</v>
      </c>
      <c r="F564" s="574">
        <f t="shared" si="15"/>
        <v>1.1045907041447556</v>
      </c>
    </row>
    <row r="565" spans="1:6" ht="13.5" thickBot="1">
      <c r="A565" s="355"/>
      <c r="B565" s="356" t="s">
        <v>1264</v>
      </c>
      <c r="C565" s="385">
        <f t="shared" si="18"/>
        <v>0</v>
      </c>
      <c r="D565" s="385">
        <f t="shared" si="18"/>
        <v>0</v>
      </c>
      <c r="E565" s="385">
        <f>SUM(E338+E372+E405+E437+E469+E502+E534)</f>
        <v>0</v>
      </c>
      <c r="F565" s="576"/>
    </row>
    <row r="566" spans="1:6" ht="13.5" thickBot="1">
      <c r="A566" s="360"/>
      <c r="B566" s="361" t="s">
        <v>1252</v>
      </c>
      <c r="C566" s="390">
        <f t="shared" si="18"/>
        <v>1335778</v>
      </c>
      <c r="D566" s="390">
        <f t="shared" si="18"/>
        <v>1398784</v>
      </c>
      <c r="E566" s="390">
        <f>SUM(E339+E373+E406+E438+E470+E503+E535)</f>
        <v>1357856</v>
      </c>
      <c r="F566" s="938">
        <f t="shared" si="15"/>
        <v>0.9707403001464129</v>
      </c>
    </row>
    <row r="567" spans="1:6" ht="13.5" thickBot="1">
      <c r="A567" s="357"/>
      <c r="B567" s="362" t="s">
        <v>1253</v>
      </c>
      <c r="C567" s="383">
        <f t="shared" si="18"/>
        <v>0</v>
      </c>
      <c r="D567" s="390">
        <f t="shared" si="18"/>
        <v>5199</v>
      </c>
      <c r="E567" s="390">
        <f>SUM(E340+E374+E407+E439+E471+E504+E536)</f>
        <v>7216</v>
      </c>
      <c r="F567" s="938">
        <f t="shared" si="15"/>
        <v>1.387959222927486</v>
      </c>
    </row>
    <row r="568" spans="1:6" ht="13.5" thickBot="1">
      <c r="A568" s="357"/>
      <c r="B568" s="233" t="s">
        <v>237</v>
      </c>
      <c r="C568" s="383"/>
      <c r="D568" s="390">
        <f>SUM(D505+D375+D341)</f>
        <v>1633</v>
      </c>
      <c r="E568" s="390">
        <f>SUM(E505+E375+E341+E440)</f>
        <v>1833</v>
      </c>
      <c r="F568" s="938">
        <f t="shared" si="15"/>
        <v>1.1224739742804655</v>
      </c>
    </row>
    <row r="569" spans="1:6" ht="13.5" thickBot="1">
      <c r="A569" s="357"/>
      <c r="B569" s="362" t="s">
        <v>234</v>
      </c>
      <c r="C569" s="383"/>
      <c r="D569" s="390">
        <f>SUM(D472+D408+D376)</f>
        <v>0</v>
      </c>
      <c r="E569" s="390">
        <f>SUM(E472+E408+E376)</f>
        <v>15262</v>
      </c>
      <c r="F569" s="942"/>
    </row>
    <row r="570" spans="1:6" ht="13.5" thickBot="1">
      <c r="A570" s="357"/>
      <c r="B570" s="363" t="s">
        <v>1254</v>
      </c>
      <c r="C570" s="390">
        <f aca="true" t="shared" si="19" ref="C570:D574">SUM(C342+C377+C409+C441+C473+C506+C537)</f>
        <v>1423573</v>
      </c>
      <c r="D570" s="390">
        <f t="shared" si="19"/>
        <v>1509934</v>
      </c>
      <c r="E570" s="390">
        <f>SUM(E342+E377+E409+E441+E473+E506+E537)</f>
        <v>1493681</v>
      </c>
      <c r="F570" s="938">
        <f t="shared" si="15"/>
        <v>0.9892359533595508</v>
      </c>
    </row>
    <row r="571" spans="1:6" ht="13.5" thickBot="1">
      <c r="A571" s="355"/>
      <c r="B571" s="359" t="s">
        <v>1267</v>
      </c>
      <c r="C571" s="383">
        <f t="shared" si="19"/>
        <v>0</v>
      </c>
      <c r="D571" s="383">
        <f t="shared" si="19"/>
        <v>0</v>
      </c>
      <c r="E571" s="383">
        <f>SUM(E343+E378+E410+E442+E474+E507+E538)</f>
        <v>0</v>
      </c>
      <c r="F571" s="942"/>
    </row>
    <row r="572" spans="1:6" ht="12.75">
      <c r="A572" s="355"/>
      <c r="B572" s="356" t="s">
        <v>1265</v>
      </c>
      <c r="C572" s="384">
        <f t="shared" si="19"/>
        <v>0</v>
      </c>
      <c r="D572" s="384">
        <f t="shared" si="19"/>
        <v>30472</v>
      </c>
      <c r="E572" s="384">
        <f>SUM(E344+E379+E411+E443+E475+E508+E539)</f>
        <v>30472</v>
      </c>
      <c r="F572" s="574">
        <f t="shared" si="15"/>
        <v>1</v>
      </c>
    </row>
    <row r="573" spans="1:6" ht="13.5" thickBot="1">
      <c r="A573" s="355"/>
      <c r="B573" s="364" t="s">
        <v>1266</v>
      </c>
      <c r="C573" s="385">
        <f t="shared" si="19"/>
        <v>0</v>
      </c>
      <c r="D573" s="385">
        <f t="shared" si="19"/>
        <v>0</v>
      </c>
      <c r="E573" s="385">
        <f>SUM(E345+E380+E412+E444+E476+E509+E540)</f>
        <v>0</v>
      </c>
      <c r="F573" s="576"/>
    </row>
    <row r="574" spans="1:6" ht="13.5" thickBot="1">
      <c r="A574" s="365"/>
      <c r="B574" s="362" t="s">
        <v>1255</v>
      </c>
      <c r="C574" s="390">
        <f t="shared" si="19"/>
        <v>0</v>
      </c>
      <c r="D574" s="390">
        <f t="shared" si="19"/>
        <v>30472</v>
      </c>
      <c r="E574" s="390">
        <f>SUM(E346+E381+E413+E445+E477+E510+E541)</f>
        <v>30472</v>
      </c>
      <c r="F574" s="942">
        <f t="shared" si="15"/>
        <v>1</v>
      </c>
    </row>
    <row r="575" spans="1:6" ht="13.5" thickBot="1">
      <c r="A575" s="365"/>
      <c r="B575" s="614" t="s">
        <v>235</v>
      </c>
      <c r="C575" s="390"/>
      <c r="D575" s="383">
        <f>SUM(D478+D347)</f>
        <v>0</v>
      </c>
      <c r="E575" s="383">
        <f>SUM(E478+E347)</f>
        <v>-10</v>
      </c>
      <c r="F575" s="942"/>
    </row>
    <row r="576" spans="1:6" ht="15.75" thickBot="1">
      <c r="A576" s="365"/>
      <c r="B576" s="366" t="s">
        <v>1268</v>
      </c>
      <c r="C576" s="392">
        <f>SUM(C570+C571+C574)</f>
        <v>1423573</v>
      </c>
      <c r="D576" s="392">
        <f>SUM(D570+D571+D574+D575)</f>
        <v>1540406</v>
      </c>
      <c r="E576" s="392">
        <f>SUM(E570+E571+E574+E575)</f>
        <v>1524143</v>
      </c>
      <c r="F576" s="938">
        <f t="shared" si="15"/>
        <v>0.9894423937585286</v>
      </c>
    </row>
    <row r="577" spans="1:6" ht="12.75">
      <c r="A577" s="353"/>
      <c r="B577" s="367" t="s">
        <v>1269</v>
      </c>
      <c r="C577" s="384">
        <f aca="true" t="shared" si="20" ref="C577:D579">SUM(C349+C383+C415+C447+C480+C512+C543)</f>
        <v>788062</v>
      </c>
      <c r="D577" s="384">
        <f t="shared" si="20"/>
        <v>827938</v>
      </c>
      <c r="E577" s="384">
        <f>SUM(E349+E383+E415+E447+E480+E512+E543)</f>
        <v>810538</v>
      </c>
      <c r="F577" s="574">
        <f t="shared" si="15"/>
        <v>0.9789839335795676</v>
      </c>
    </row>
    <row r="578" spans="1:6" ht="12.75">
      <c r="A578" s="353"/>
      <c r="B578" s="367" t="s">
        <v>1270</v>
      </c>
      <c r="C578" s="384">
        <f t="shared" si="20"/>
        <v>206056</v>
      </c>
      <c r="D578" s="384">
        <f t="shared" si="20"/>
        <v>216705</v>
      </c>
      <c r="E578" s="384">
        <f>SUM(E350+E384+E416+E448+E481+E513+E544)</f>
        <v>213481</v>
      </c>
      <c r="F578" s="574">
        <f t="shared" si="15"/>
        <v>0.9851226321496966</v>
      </c>
    </row>
    <row r="579" spans="1:6" ht="12.75">
      <c r="A579" s="353"/>
      <c r="B579" s="367" t="s">
        <v>1271</v>
      </c>
      <c r="C579" s="384">
        <f t="shared" si="20"/>
        <v>428566</v>
      </c>
      <c r="D579" s="384">
        <f t="shared" si="20"/>
        <v>493440</v>
      </c>
      <c r="E579" s="384">
        <f>SUM(E351+E385+E417+E449+E482+E514+E545)</f>
        <v>461563</v>
      </c>
      <c r="F579" s="574">
        <f t="shared" si="15"/>
        <v>0.9353984273670558</v>
      </c>
    </row>
    <row r="580" spans="1:6" ht="12.75">
      <c r="A580" s="353"/>
      <c r="B580" s="589" t="s">
        <v>217</v>
      </c>
      <c r="C580" s="295"/>
      <c r="D580" s="590">
        <v>1189</v>
      </c>
      <c r="E580" s="590">
        <v>1189</v>
      </c>
      <c r="F580" s="574">
        <f t="shared" si="15"/>
        <v>1</v>
      </c>
    </row>
    <row r="581" spans="1:6" ht="12.75">
      <c r="A581" s="353"/>
      <c r="B581" s="367" t="s">
        <v>1274</v>
      </c>
      <c r="C581" s="384">
        <f aca="true" t="shared" si="21" ref="C581:E582">SUM(C353+C386+C418+C450+C483+C515+C546)</f>
        <v>0</v>
      </c>
      <c r="D581" s="384">
        <f t="shared" si="21"/>
        <v>10</v>
      </c>
      <c r="E581" s="384">
        <f t="shared" si="21"/>
        <v>4537</v>
      </c>
      <c r="F581" s="574">
        <f t="shared" si="15"/>
        <v>453.7</v>
      </c>
    </row>
    <row r="582" spans="1:6" ht="13.5" thickBot="1">
      <c r="A582" s="353"/>
      <c r="B582" s="368" t="s">
        <v>1275</v>
      </c>
      <c r="C582" s="385">
        <f t="shared" si="21"/>
        <v>0</v>
      </c>
      <c r="D582" s="385">
        <f t="shared" si="21"/>
        <v>652</v>
      </c>
      <c r="E582" s="385">
        <f t="shared" si="21"/>
        <v>1697</v>
      </c>
      <c r="F582" s="576">
        <f t="shared" si="15"/>
        <v>2.602760736196319</v>
      </c>
    </row>
    <row r="583" spans="1:6" ht="13.5" thickBot="1">
      <c r="A583" s="353"/>
      <c r="B583" s="369" t="s">
        <v>868</v>
      </c>
      <c r="C583" s="390">
        <f>SUM(C577:C582)</f>
        <v>1422684</v>
      </c>
      <c r="D583" s="390">
        <f>SUM(D577:D582)-D580</f>
        <v>1538745</v>
      </c>
      <c r="E583" s="390">
        <f>SUM(E577:E582)-E580</f>
        <v>1491816</v>
      </c>
      <c r="F583" s="938">
        <f t="shared" si="15"/>
        <v>0.9695017692990067</v>
      </c>
    </row>
    <row r="584" spans="1:6" ht="12.75">
      <c r="A584" s="353"/>
      <c r="B584" s="367" t="s">
        <v>1276</v>
      </c>
      <c r="C584" s="384">
        <f aca="true" t="shared" si="22" ref="C584:D586">SUM(C356+C389+C421+C453+C486+C518+C549)</f>
        <v>508</v>
      </c>
      <c r="D584" s="384">
        <f t="shared" si="22"/>
        <v>508</v>
      </c>
      <c r="E584" s="384">
        <f>SUM(E356+E389+E421+E453+E486+E518+E549)</f>
        <v>317</v>
      </c>
      <c r="F584" s="574">
        <f t="shared" si="15"/>
        <v>0.6240157480314961</v>
      </c>
    </row>
    <row r="585" spans="1:6" ht="12.75">
      <c r="A585" s="353"/>
      <c r="B585" s="367" t="s">
        <v>1277</v>
      </c>
      <c r="C585" s="384">
        <f t="shared" si="22"/>
        <v>381</v>
      </c>
      <c r="D585" s="384">
        <f t="shared" si="22"/>
        <v>1153</v>
      </c>
      <c r="E585" s="384">
        <f>SUM(E357+E390+E422+E454+E487+E519+E550)</f>
        <v>3863</v>
      </c>
      <c r="F585" s="574">
        <f t="shared" si="15"/>
        <v>3.3503902862098873</v>
      </c>
    </row>
    <row r="586" spans="1:6" ht="13.5" thickBot="1">
      <c r="A586" s="353"/>
      <c r="B586" s="370" t="s">
        <v>1278</v>
      </c>
      <c r="C586" s="385">
        <f t="shared" si="22"/>
        <v>0</v>
      </c>
      <c r="D586" s="385">
        <f t="shared" si="22"/>
        <v>0</v>
      </c>
      <c r="E586" s="385">
        <f>SUM(E358+E391+E423+E455+E488+E520+E551)</f>
        <v>0</v>
      </c>
      <c r="F586" s="576"/>
    </row>
    <row r="587" spans="1:6" ht="13.5" thickBot="1">
      <c r="A587" s="353"/>
      <c r="B587" s="372" t="s">
        <v>874</v>
      </c>
      <c r="C587" s="390">
        <f>SUM(C584:C586)</f>
        <v>889</v>
      </c>
      <c r="D587" s="390">
        <f>SUM(D584:D586)</f>
        <v>1661</v>
      </c>
      <c r="E587" s="390">
        <f>SUM(E584:E586)</f>
        <v>4180</v>
      </c>
      <c r="F587" s="938">
        <f t="shared" si="15"/>
        <v>2.5165562913907285</v>
      </c>
    </row>
    <row r="588" spans="1:6" ht="13.5" thickBot="1">
      <c r="A588" s="353"/>
      <c r="B588" s="613" t="s">
        <v>233</v>
      </c>
      <c r="C588" s="390"/>
      <c r="D588" s="383">
        <f>SUM(D553+D522+D490+D457+D393+D360)</f>
        <v>0</v>
      </c>
      <c r="E588" s="383">
        <f>SUM(E553+E522+E490+E457+E393+E360+E425)</f>
        <v>385</v>
      </c>
      <c r="F588" s="942"/>
    </row>
    <row r="589" spans="1:6" ht="15.75" thickBot="1">
      <c r="A589" s="371"/>
      <c r="B589" s="354" t="s">
        <v>890</v>
      </c>
      <c r="C589" s="392">
        <f>SUM(C361+C394+C426+C458+C491+C523+C554)</f>
        <v>1423573</v>
      </c>
      <c r="D589" s="392">
        <f>SUM(D361+D394+D426+D458+D491+D523+D554)</f>
        <v>1540406</v>
      </c>
      <c r="E589" s="392">
        <f>SUM(E361+E394+E426+E458+E491+E523+E554)</f>
        <v>1496381</v>
      </c>
      <c r="F589" s="938">
        <f aca="true" t="shared" si="23" ref="F589:F651">SUM(E589/D589)</f>
        <v>0.9714198724232442</v>
      </c>
    </row>
    <row r="590" spans="1:6" ht="15">
      <c r="A590" s="373">
        <v>2630</v>
      </c>
      <c r="B590" s="389" t="s">
        <v>239</v>
      </c>
      <c r="C590" s="295"/>
      <c r="D590" s="295"/>
      <c r="E590" s="295"/>
      <c r="F590" s="574"/>
    </row>
    <row r="591" spans="1:6" ht="12.75">
      <c r="A591" s="355"/>
      <c r="B591" s="356" t="s">
        <v>1256</v>
      </c>
      <c r="C591" s="295"/>
      <c r="D591" s="295"/>
      <c r="E591" s="295"/>
      <c r="F591" s="574"/>
    </row>
    <row r="592" spans="1:6" ht="12.75">
      <c r="A592" s="355"/>
      <c r="B592" s="356" t="s">
        <v>1257</v>
      </c>
      <c r="C592" s="295"/>
      <c r="D592" s="295">
        <v>178</v>
      </c>
      <c r="E592" s="295">
        <v>194</v>
      </c>
      <c r="F592" s="574">
        <f t="shared" si="23"/>
        <v>1.0898876404494382</v>
      </c>
    </row>
    <row r="593" spans="1:6" ht="12.75">
      <c r="A593" s="355"/>
      <c r="B593" s="356" t="s">
        <v>1258</v>
      </c>
      <c r="C593" s="295">
        <v>5000</v>
      </c>
      <c r="D593" s="295">
        <v>5000</v>
      </c>
      <c r="E593" s="295">
        <v>5382</v>
      </c>
      <c r="F593" s="574">
        <f t="shared" si="23"/>
        <v>1.0764</v>
      </c>
    </row>
    <row r="594" spans="1:6" ht="12.75">
      <c r="A594" s="355"/>
      <c r="B594" s="356" t="s">
        <v>1259</v>
      </c>
      <c r="C594" s="295">
        <v>20000</v>
      </c>
      <c r="D594" s="295">
        <v>25385</v>
      </c>
      <c r="E594" s="295">
        <v>22613</v>
      </c>
      <c r="F594" s="574">
        <f t="shared" si="23"/>
        <v>0.8908016545203861</v>
      </c>
    </row>
    <row r="595" spans="1:6" ht="12.75">
      <c r="A595" s="355"/>
      <c r="B595" s="356" t="s">
        <v>1260</v>
      </c>
      <c r="C595" s="295">
        <v>5000</v>
      </c>
      <c r="D595" s="295">
        <v>5704</v>
      </c>
      <c r="E595" s="295">
        <v>7075</v>
      </c>
      <c r="F595" s="574">
        <f t="shared" si="23"/>
        <v>1.2403576437587658</v>
      </c>
    </row>
    <row r="596" spans="1:6" ht="13.5" thickBot="1">
      <c r="A596" s="355"/>
      <c r="B596" s="358" t="s">
        <v>1261</v>
      </c>
      <c r="C596" s="382"/>
      <c r="D596" s="382"/>
      <c r="E596" s="382">
        <v>25</v>
      </c>
      <c r="F596" s="576"/>
    </row>
    <row r="597" spans="1:6" ht="13.5" thickBot="1">
      <c r="A597" s="355"/>
      <c r="B597" s="359" t="s">
        <v>1249</v>
      </c>
      <c r="C597" s="386">
        <f>SUM(C591:C596)</f>
        <v>30000</v>
      </c>
      <c r="D597" s="386">
        <f>SUM(D591:D596)</f>
        <v>36267</v>
      </c>
      <c r="E597" s="386">
        <f>SUM(E591:E596)</f>
        <v>35289</v>
      </c>
      <c r="F597" s="938">
        <f t="shared" si="23"/>
        <v>0.9730333360906609</v>
      </c>
    </row>
    <row r="598" spans="1:6" ht="12.75">
      <c r="A598" s="355"/>
      <c r="B598" s="356" t="s">
        <v>1262</v>
      </c>
      <c r="C598" s="295">
        <v>306547</v>
      </c>
      <c r="D598" s="295">
        <v>324478</v>
      </c>
      <c r="E598" s="295">
        <v>318808</v>
      </c>
      <c r="F598" s="574">
        <f t="shared" si="23"/>
        <v>0.9825257798679725</v>
      </c>
    </row>
    <row r="599" spans="1:6" ht="12.75">
      <c r="A599" s="355"/>
      <c r="B599" s="356" t="s">
        <v>1263</v>
      </c>
      <c r="C599" s="295">
        <v>16000</v>
      </c>
      <c r="D599" s="295">
        <v>16000</v>
      </c>
      <c r="E599" s="295">
        <v>21536</v>
      </c>
      <c r="F599" s="574">
        <f t="shared" si="23"/>
        <v>1.346</v>
      </c>
    </row>
    <row r="600" spans="1:6" ht="13.5" thickBot="1">
      <c r="A600" s="355"/>
      <c r="B600" s="356" t="s">
        <v>1264</v>
      </c>
      <c r="C600" s="382"/>
      <c r="D600" s="382"/>
      <c r="E600" s="382"/>
      <c r="F600" s="576"/>
    </row>
    <row r="601" spans="1:6" ht="13.5" thickBot="1">
      <c r="A601" s="360"/>
      <c r="B601" s="361" t="s">
        <v>1252</v>
      </c>
      <c r="C601" s="298">
        <f>SUM(C598:C600)</f>
        <v>322547</v>
      </c>
      <c r="D601" s="298">
        <f>SUM(D598:D600)</f>
        <v>340478</v>
      </c>
      <c r="E601" s="298">
        <f>SUM(E598:E600)</f>
        <v>340344</v>
      </c>
      <c r="F601" s="938">
        <f t="shared" si="23"/>
        <v>0.9996064356581041</v>
      </c>
    </row>
    <row r="602" spans="1:6" ht="13.5" thickBot="1">
      <c r="A602" s="357"/>
      <c r="B602" s="362" t="s">
        <v>1253</v>
      </c>
      <c r="C602" s="381"/>
      <c r="D602" s="386">
        <v>2880</v>
      </c>
      <c r="E602" s="386">
        <v>5791</v>
      </c>
      <c r="F602" s="938">
        <f t="shared" si="23"/>
        <v>2.010763888888889</v>
      </c>
    </row>
    <row r="603" spans="1:6" ht="13.5" thickBot="1">
      <c r="A603" s="357"/>
      <c r="B603" s="233" t="s">
        <v>237</v>
      </c>
      <c r="C603" s="381"/>
      <c r="D603" s="950"/>
      <c r="E603" s="950">
        <v>9153</v>
      </c>
      <c r="F603" s="942"/>
    </row>
    <row r="604" spans="1:6" ht="13.5" thickBot="1">
      <c r="A604" s="357"/>
      <c r="B604" s="362" t="s">
        <v>234</v>
      </c>
      <c r="C604" s="381"/>
      <c r="D604" s="619"/>
      <c r="E604" s="950">
        <v>3168</v>
      </c>
      <c r="F604" s="942"/>
    </row>
    <row r="605" spans="1:6" ht="13.5" thickBot="1">
      <c r="A605" s="357"/>
      <c r="B605" s="363" t="s">
        <v>1254</v>
      </c>
      <c r="C605" s="386">
        <f>SUM(C601+C597+C602)</f>
        <v>352547</v>
      </c>
      <c r="D605" s="386">
        <f>SUM(D601+D597+D602)</f>
        <v>379625</v>
      </c>
      <c r="E605" s="386">
        <f>SUM(E601+E597+E602+E603+E604)</f>
        <v>393745</v>
      </c>
      <c r="F605" s="938">
        <f t="shared" si="23"/>
        <v>1.0371945999341456</v>
      </c>
    </row>
    <row r="606" spans="1:6" ht="13.5" thickBot="1">
      <c r="A606" s="357"/>
      <c r="B606" s="614" t="s">
        <v>260</v>
      </c>
      <c r="C606" s="386"/>
      <c r="D606" s="381">
        <v>2911</v>
      </c>
      <c r="E606" s="381"/>
      <c r="F606" s="942">
        <f t="shared" si="23"/>
        <v>0</v>
      </c>
    </row>
    <row r="607" spans="1:6" ht="13.5" thickBot="1">
      <c r="A607" s="355"/>
      <c r="B607" s="359" t="s">
        <v>1267</v>
      </c>
      <c r="C607" s="381"/>
      <c r="D607" s="386">
        <f>SUM(D606)</f>
        <v>2911</v>
      </c>
      <c r="E607" s="386">
        <f>SUM(E606)</f>
        <v>0</v>
      </c>
      <c r="F607" s="938">
        <f t="shared" si="23"/>
        <v>0</v>
      </c>
    </row>
    <row r="608" spans="1:6" ht="12.75">
      <c r="A608" s="355"/>
      <c r="B608" s="356" t="s">
        <v>1265</v>
      </c>
      <c r="C608" s="295"/>
      <c r="D608" s="295">
        <v>5870</v>
      </c>
      <c r="E608" s="295">
        <v>5870</v>
      </c>
      <c r="F608" s="574">
        <f t="shared" si="23"/>
        <v>1</v>
      </c>
    </row>
    <row r="609" spans="1:6" ht="13.5" thickBot="1">
      <c r="A609" s="355"/>
      <c r="B609" s="364" t="s">
        <v>1266</v>
      </c>
      <c r="C609" s="382"/>
      <c r="D609" s="382"/>
      <c r="E609" s="382"/>
      <c r="F609" s="576"/>
    </row>
    <row r="610" spans="1:6" ht="13.5" thickBot="1">
      <c r="A610" s="365"/>
      <c r="B610" s="362" t="s">
        <v>1255</v>
      </c>
      <c r="C610" s="382"/>
      <c r="D610" s="298">
        <f>SUM(D608:D609)</f>
        <v>5870</v>
      </c>
      <c r="E610" s="298">
        <f>SUM(E608:E609)</f>
        <v>5870</v>
      </c>
      <c r="F610" s="938">
        <f t="shared" si="23"/>
        <v>1</v>
      </c>
    </row>
    <row r="611" spans="1:6" ht="13.5" thickBot="1">
      <c r="A611" s="365"/>
      <c r="B611" s="614" t="s">
        <v>235</v>
      </c>
      <c r="C611" s="382"/>
      <c r="D611" s="298"/>
      <c r="E611" s="298"/>
      <c r="F611" s="942"/>
    </row>
    <row r="612" spans="1:6" ht="15.75" thickBot="1">
      <c r="A612" s="365"/>
      <c r="B612" s="366" t="s">
        <v>1268</v>
      </c>
      <c r="C612" s="388">
        <f>SUM(C605+C607+C610)</f>
        <v>352547</v>
      </c>
      <c r="D612" s="388">
        <f>SUM(D605+D607+D610)</f>
        <v>388406</v>
      </c>
      <c r="E612" s="388">
        <f>SUM(E605+E607+E610)</f>
        <v>399615</v>
      </c>
      <c r="F612" s="941">
        <f t="shared" si="23"/>
        <v>1.0288589774617283</v>
      </c>
    </row>
    <row r="613" spans="1:6" ht="12.75">
      <c r="A613" s="353"/>
      <c r="B613" s="367" t="s">
        <v>1269</v>
      </c>
      <c r="C613" s="295">
        <v>211346</v>
      </c>
      <c r="D613" s="295">
        <v>221141</v>
      </c>
      <c r="E613" s="295">
        <v>218585</v>
      </c>
      <c r="F613" s="574">
        <f t="shared" si="23"/>
        <v>0.9884417633998218</v>
      </c>
    </row>
    <row r="614" spans="1:6" ht="12.75">
      <c r="A614" s="353"/>
      <c r="B614" s="367" t="s">
        <v>1270</v>
      </c>
      <c r="C614" s="295">
        <v>55864</v>
      </c>
      <c r="D614" s="295">
        <v>58712</v>
      </c>
      <c r="E614" s="295">
        <v>57193</v>
      </c>
      <c r="F614" s="574">
        <f t="shared" si="23"/>
        <v>0.9741279465867284</v>
      </c>
    </row>
    <row r="615" spans="1:6" ht="12.75">
      <c r="A615" s="353"/>
      <c r="B615" s="367" t="s">
        <v>1271</v>
      </c>
      <c r="C615" s="295">
        <v>84437</v>
      </c>
      <c r="D615" s="295">
        <v>100490</v>
      </c>
      <c r="E615" s="295">
        <v>108008</v>
      </c>
      <c r="F615" s="574">
        <f t="shared" si="23"/>
        <v>1.0748134142700767</v>
      </c>
    </row>
    <row r="616" spans="1:6" ht="12.75">
      <c r="A616" s="353"/>
      <c r="B616" s="367" t="s">
        <v>1274</v>
      </c>
      <c r="C616" s="295"/>
      <c r="D616" s="295"/>
      <c r="E616" s="295">
        <v>1240</v>
      </c>
      <c r="F616" s="574"/>
    </row>
    <row r="617" spans="1:6" ht="13.5" thickBot="1">
      <c r="A617" s="353"/>
      <c r="B617" s="368" t="s">
        <v>1275</v>
      </c>
      <c r="C617" s="382"/>
      <c r="D617" s="382"/>
      <c r="E617" s="382">
        <v>3</v>
      </c>
      <c r="F617" s="576"/>
    </row>
    <row r="618" spans="1:6" ht="13.5" thickBot="1">
      <c r="A618" s="353"/>
      <c r="B618" s="369" t="s">
        <v>868</v>
      </c>
      <c r="C618" s="386">
        <f>SUM(C613:C617)</f>
        <v>351647</v>
      </c>
      <c r="D618" s="386">
        <f>SUM(D613:D617)</f>
        <v>380343</v>
      </c>
      <c r="E618" s="386">
        <f>SUM(E613:E617)</f>
        <v>385029</v>
      </c>
      <c r="F618" s="941">
        <f t="shared" si="23"/>
        <v>1.0123204581128087</v>
      </c>
    </row>
    <row r="619" spans="1:6" ht="12.75">
      <c r="A619" s="353"/>
      <c r="B619" s="367" t="s">
        <v>1276</v>
      </c>
      <c r="C619" s="295"/>
      <c r="D619" s="295"/>
      <c r="E619" s="295">
        <v>3881</v>
      </c>
      <c r="F619" s="574"/>
    </row>
    <row r="620" spans="1:6" ht="12.75">
      <c r="A620" s="353"/>
      <c r="B620" s="367" t="s">
        <v>1277</v>
      </c>
      <c r="C620" s="295">
        <v>900</v>
      </c>
      <c r="D620" s="295">
        <v>8063</v>
      </c>
      <c r="E620" s="295">
        <v>301</v>
      </c>
      <c r="F620" s="574">
        <f t="shared" si="23"/>
        <v>0.03733101823142751</v>
      </c>
    </row>
    <row r="621" spans="1:6" ht="13.5" thickBot="1">
      <c r="A621" s="353"/>
      <c r="B621" s="370" t="s">
        <v>1278</v>
      </c>
      <c r="C621" s="382"/>
      <c r="D621" s="382"/>
      <c r="E621" s="382"/>
      <c r="F621" s="576"/>
    </row>
    <row r="622" spans="1:6" ht="13.5" thickBot="1">
      <c r="A622" s="353"/>
      <c r="B622" s="372" t="s">
        <v>874</v>
      </c>
      <c r="C622" s="386">
        <f>SUM(C620:C621)</f>
        <v>900</v>
      </c>
      <c r="D622" s="386">
        <f>SUM(D620:D621)</f>
        <v>8063</v>
      </c>
      <c r="E622" s="386">
        <f>SUM(E619:E621)</f>
        <v>4182</v>
      </c>
      <c r="F622" s="938">
        <f t="shared" si="23"/>
        <v>0.5186655091157137</v>
      </c>
    </row>
    <row r="623" spans="1:6" ht="13.5" thickBot="1">
      <c r="A623" s="353"/>
      <c r="B623" s="613" t="s">
        <v>233</v>
      </c>
      <c r="C623" s="386"/>
      <c r="D623" s="386"/>
      <c r="E623" s="381">
        <v>-438</v>
      </c>
      <c r="F623" s="942"/>
    </row>
    <row r="624" spans="1:6" ht="15.75" thickBot="1">
      <c r="A624" s="371"/>
      <c r="B624" s="354" t="s">
        <v>890</v>
      </c>
      <c r="C624" s="388">
        <f>SUM(C618+C622)</f>
        <v>352547</v>
      </c>
      <c r="D624" s="388">
        <f>SUM(D618+D622)</f>
        <v>388406</v>
      </c>
      <c r="E624" s="388">
        <f>SUM(E618+E622+E623)</f>
        <v>388773</v>
      </c>
      <c r="F624" s="938">
        <f t="shared" si="23"/>
        <v>1.0009448875661036</v>
      </c>
    </row>
    <row r="625" spans="1:6" ht="15">
      <c r="A625" s="373">
        <v>2640</v>
      </c>
      <c r="B625" s="374" t="s">
        <v>1297</v>
      </c>
      <c r="C625" s="295"/>
      <c r="D625" s="295"/>
      <c r="E625" s="295"/>
      <c r="F625" s="574"/>
    </row>
    <row r="626" spans="1:6" ht="12.75">
      <c r="A626" s="355"/>
      <c r="B626" s="356" t="s">
        <v>1256</v>
      </c>
      <c r="C626" s="295"/>
      <c r="D626" s="295"/>
      <c r="E626" s="295"/>
      <c r="F626" s="574"/>
    </row>
    <row r="627" spans="1:6" ht="12.75">
      <c r="A627" s="355"/>
      <c r="B627" s="356" t="s">
        <v>1257</v>
      </c>
      <c r="C627" s="295"/>
      <c r="D627" s="295"/>
      <c r="E627" s="295"/>
      <c r="F627" s="574"/>
    </row>
    <row r="628" spans="1:6" ht="12.75">
      <c r="A628" s="355"/>
      <c r="B628" s="356" t="s">
        <v>1258</v>
      </c>
      <c r="C628" s="295">
        <v>2692</v>
      </c>
      <c r="D628" s="295">
        <v>2692</v>
      </c>
      <c r="E628" s="295">
        <v>2661</v>
      </c>
      <c r="F628" s="574">
        <f t="shared" si="23"/>
        <v>0.9884843982169391</v>
      </c>
    </row>
    <row r="629" spans="1:6" ht="12.75">
      <c r="A629" s="355"/>
      <c r="B629" s="356" t="s">
        <v>1259</v>
      </c>
      <c r="C629" s="295">
        <v>8874</v>
      </c>
      <c r="D629" s="295">
        <v>8874</v>
      </c>
      <c r="E629" s="295">
        <v>7269</v>
      </c>
      <c r="F629" s="574">
        <f t="shared" si="23"/>
        <v>0.8191345503718729</v>
      </c>
    </row>
    <row r="630" spans="1:6" ht="12.75">
      <c r="A630" s="355"/>
      <c r="B630" s="356" t="s">
        <v>1260</v>
      </c>
      <c r="C630" s="295">
        <v>1438</v>
      </c>
      <c r="D630" s="295">
        <v>1438</v>
      </c>
      <c r="E630" s="295">
        <v>1255</v>
      </c>
      <c r="F630" s="574">
        <f t="shared" si="23"/>
        <v>0.872739916550765</v>
      </c>
    </row>
    <row r="631" spans="1:6" ht="13.5" thickBot="1">
      <c r="A631" s="355"/>
      <c r="B631" s="358" t="s">
        <v>1261</v>
      </c>
      <c r="C631" s="382"/>
      <c r="D631" s="382"/>
      <c r="E631" s="382"/>
      <c r="F631" s="576"/>
    </row>
    <row r="632" spans="1:6" ht="13.5" thickBot="1">
      <c r="A632" s="355"/>
      <c r="B632" s="359" t="s">
        <v>1249</v>
      </c>
      <c r="C632" s="386">
        <f>SUM(C626:C631)</f>
        <v>13004</v>
      </c>
      <c r="D632" s="386">
        <f>SUM(D626:D631)</f>
        <v>13004</v>
      </c>
      <c r="E632" s="386">
        <f>SUM(E626:E631)</f>
        <v>11185</v>
      </c>
      <c r="F632" s="938">
        <f t="shared" si="23"/>
        <v>0.8601199630882805</v>
      </c>
    </row>
    <row r="633" spans="1:6" ht="12.75">
      <c r="A633" s="355"/>
      <c r="B633" s="356" t="s">
        <v>1262</v>
      </c>
      <c r="C633" s="295">
        <v>292231</v>
      </c>
      <c r="D633" s="295">
        <v>303468</v>
      </c>
      <c r="E633" s="295">
        <v>299472</v>
      </c>
      <c r="F633" s="574">
        <f t="shared" si="23"/>
        <v>0.9868322195420934</v>
      </c>
    </row>
    <row r="634" spans="1:6" ht="12.75">
      <c r="A634" s="355"/>
      <c r="B634" s="356" t="s">
        <v>1263</v>
      </c>
      <c r="C634" s="295">
        <v>13735</v>
      </c>
      <c r="D634" s="295">
        <v>13735</v>
      </c>
      <c r="E634" s="295">
        <v>18033</v>
      </c>
      <c r="F634" s="574">
        <f t="shared" si="23"/>
        <v>1.312923188933382</v>
      </c>
    </row>
    <row r="635" spans="1:6" ht="13.5" thickBot="1">
      <c r="A635" s="355"/>
      <c r="B635" s="356" t="s">
        <v>1264</v>
      </c>
      <c r="C635" s="382"/>
      <c r="D635" s="382"/>
      <c r="E635" s="382"/>
      <c r="F635" s="576"/>
    </row>
    <row r="636" spans="1:6" ht="13.5" thickBot="1">
      <c r="A636" s="360"/>
      <c r="B636" s="361" t="s">
        <v>1252</v>
      </c>
      <c r="C636" s="298">
        <f>SUM(C633:C635)</f>
        <v>305966</v>
      </c>
      <c r="D636" s="298">
        <f>SUM(D633:D635)</f>
        <v>317203</v>
      </c>
      <c r="E636" s="298">
        <f>SUM(E633:E635)</f>
        <v>317505</v>
      </c>
      <c r="F636" s="938">
        <f t="shared" si="23"/>
        <v>1.0009520717017177</v>
      </c>
    </row>
    <row r="637" spans="1:6" ht="13.5" thickBot="1">
      <c r="A637" s="357"/>
      <c r="B637" s="362" t="s">
        <v>1253</v>
      </c>
      <c r="C637" s="381"/>
      <c r="D637" s="386">
        <v>2429</v>
      </c>
      <c r="E637" s="386">
        <v>2429</v>
      </c>
      <c r="F637" s="938">
        <f t="shared" si="23"/>
        <v>1</v>
      </c>
    </row>
    <row r="638" spans="1:6" ht="13.5" thickBot="1">
      <c r="A638" s="357"/>
      <c r="B638" s="362" t="s">
        <v>234</v>
      </c>
      <c r="C638" s="381"/>
      <c r="D638" s="381"/>
      <c r="E638" s="381">
        <v>161</v>
      </c>
      <c r="F638" s="942"/>
    </row>
    <row r="639" spans="1:6" ht="13.5" thickBot="1">
      <c r="A639" s="357"/>
      <c r="B639" s="363" t="s">
        <v>1254</v>
      </c>
      <c r="C639" s="386">
        <f>SUM(C636+C632+C637)</f>
        <v>318970</v>
      </c>
      <c r="D639" s="386">
        <f>SUM(D636+D632+D637)</f>
        <v>332636</v>
      </c>
      <c r="E639" s="386">
        <f>SUM(E636+E632+E637+E638)</f>
        <v>331280</v>
      </c>
      <c r="F639" s="938">
        <f t="shared" si="23"/>
        <v>0.9959234719032215</v>
      </c>
    </row>
    <row r="640" spans="1:6" ht="13.5" thickBot="1">
      <c r="A640" s="355"/>
      <c r="B640" s="359" t="s">
        <v>1267</v>
      </c>
      <c r="C640" s="381"/>
      <c r="D640" s="381"/>
      <c r="E640" s="381"/>
      <c r="F640" s="942"/>
    </row>
    <row r="641" spans="1:6" ht="12.75">
      <c r="A641" s="355"/>
      <c r="B641" s="356" t="s">
        <v>1265</v>
      </c>
      <c r="C641" s="295"/>
      <c r="D641" s="295">
        <v>3768</v>
      </c>
      <c r="E641" s="295">
        <v>3768</v>
      </c>
      <c r="F641" s="574">
        <f t="shared" si="23"/>
        <v>1</v>
      </c>
    </row>
    <row r="642" spans="1:6" ht="13.5" thickBot="1">
      <c r="A642" s="355"/>
      <c r="B642" s="364" t="s">
        <v>1266</v>
      </c>
      <c r="C642" s="382"/>
      <c r="D642" s="382"/>
      <c r="E642" s="382"/>
      <c r="F642" s="576"/>
    </row>
    <row r="643" spans="1:6" ht="13.5" thickBot="1">
      <c r="A643" s="365"/>
      <c r="B643" s="362" t="s">
        <v>1255</v>
      </c>
      <c r="C643" s="382"/>
      <c r="D643" s="298">
        <f>SUM(D641:D642)</f>
        <v>3768</v>
      </c>
      <c r="E643" s="298">
        <f>SUM(E641:E642)</f>
        <v>3768</v>
      </c>
      <c r="F643" s="938">
        <f t="shared" si="23"/>
        <v>1</v>
      </c>
    </row>
    <row r="644" spans="1:6" ht="13.5" thickBot="1">
      <c r="A644" s="365"/>
      <c r="B644" s="614" t="s">
        <v>235</v>
      </c>
      <c r="C644" s="382"/>
      <c r="D644" s="298"/>
      <c r="E644" s="298"/>
      <c r="F644" s="942"/>
    </row>
    <row r="645" spans="1:6" ht="15.75" thickBot="1">
      <c r="A645" s="365"/>
      <c r="B645" s="366" t="s">
        <v>1268</v>
      </c>
      <c r="C645" s="388">
        <f>SUM(C639+C640+C643)</f>
        <v>318970</v>
      </c>
      <c r="D645" s="388">
        <f>SUM(D639+D640+D643)</f>
        <v>336404</v>
      </c>
      <c r="E645" s="388">
        <f>SUM(E639+E640+E643)</f>
        <v>335048</v>
      </c>
      <c r="F645" s="938">
        <f t="shared" si="23"/>
        <v>0.9959691323527663</v>
      </c>
    </row>
    <row r="646" spans="1:6" ht="12.75">
      <c r="A646" s="353"/>
      <c r="B646" s="367" t="s">
        <v>1269</v>
      </c>
      <c r="C646" s="295">
        <v>192714</v>
      </c>
      <c r="D646" s="295">
        <v>186205</v>
      </c>
      <c r="E646" s="295">
        <v>185882</v>
      </c>
      <c r="F646" s="574">
        <f t="shared" si="23"/>
        <v>0.9982653527026664</v>
      </c>
    </row>
    <row r="647" spans="1:6" ht="12.75">
      <c r="A647" s="353"/>
      <c r="B647" s="367" t="s">
        <v>1270</v>
      </c>
      <c r="C647" s="295">
        <v>51373</v>
      </c>
      <c r="D647" s="295">
        <v>49480</v>
      </c>
      <c r="E647" s="295">
        <v>47831</v>
      </c>
      <c r="F647" s="574">
        <f t="shared" si="23"/>
        <v>0.9666734033953113</v>
      </c>
    </row>
    <row r="648" spans="1:6" ht="12.75">
      <c r="A648" s="353"/>
      <c r="B648" s="367" t="s">
        <v>1271</v>
      </c>
      <c r="C648" s="295">
        <v>74883</v>
      </c>
      <c r="D648" s="295">
        <v>94267</v>
      </c>
      <c r="E648" s="295">
        <v>94704</v>
      </c>
      <c r="F648" s="574">
        <f t="shared" si="23"/>
        <v>1.0046357686146796</v>
      </c>
    </row>
    <row r="649" spans="1:6" ht="12.75">
      <c r="A649" s="353"/>
      <c r="B649" s="367" t="s">
        <v>1274</v>
      </c>
      <c r="C649" s="295"/>
      <c r="D649" s="295"/>
      <c r="E649" s="295"/>
      <c r="F649" s="574"/>
    </row>
    <row r="650" spans="1:6" ht="13.5" thickBot="1">
      <c r="A650" s="353"/>
      <c r="B650" s="368" t="s">
        <v>1275</v>
      </c>
      <c r="C650" s="382"/>
      <c r="D650" s="382">
        <v>6452</v>
      </c>
      <c r="E650" s="382">
        <v>6452</v>
      </c>
      <c r="F650" s="576">
        <f t="shared" si="23"/>
        <v>1</v>
      </c>
    </row>
    <row r="651" spans="1:6" ht="13.5" thickBot="1">
      <c r="A651" s="353"/>
      <c r="B651" s="369" t="s">
        <v>868</v>
      </c>
      <c r="C651" s="386">
        <f>SUM(C646:C650)</f>
        <v>318970</v>
      </c>
      <c r="D651" s="386">
        <f>SUM(D646:D650)</f>
        <v>336404</v>
      </c>
      <c r="E651" s="386">
        <f>SUM(E646:E650)</f>
        <v>334869</v>
      </c>
      <c r="F651" s="938">
        <f t="shared" si="23"/>
        <v>0.9954370340424014</v>
      </c>
    </row>
    <row r="652" spans="1:6" ht="12.75">
      <c r="A652" s="353"/>
      <c r="B652" s="367" t="s">
        <v>1276</v>
      </c>
      <c r="C652" s="295"/>
      <c r="D652" s="295"/>
      <c r="E652" s="295"/>
      <c r="F652" s="574"/>
    </row>
    <row r="653" spans="1:6" ht="12.75">
      <c r="A653" s="353"/>
      <c r="B653" s="367" t="s">
        <v>1277</v>
      </c>
      <c r="C653" s="295"/>
      <c r="D653" s="295"/>
      <c r="E653" s="295"/>
      <c r="F653" s="574"/>
    </row>
    <row r="654" spans="1:6" ht="13.5" thickBot="1">
      <c r="A654" s="353"/>
      <c r="B654" s="370" t="s">
        <v>1278</v>
      </c>
      <c r="C654" s="382"/>
      <c r="D654" s="382"/>
      <c r="E654" s="382"/>
      <c r="F654" s="576"/>
    </row>
    <row r="655" spans="1:6" ht="13.5" thickBot="1">
      <c r="A655" s="353"/>
      <c r="B655" s="372" t="s">
        <v>874</v>
      </c>
      <c r="C655" s="381"/>
      <c r="D655" s="381"/>
      <c r="E655" s="381"/>
      <c r="F655" s="942"/>
    </row>
    <row r="656" spans="1:6" ht="13.5" thickBot="1">
      <c r="A656" s="353"/>
      <c r="B656" s="613" t="s">
        <v>233</v>
      </c>
      <c r="C656" s="381"/>
      <c r="D656" s="381"/>
      <c r="E656" s="381">
        <v>-532</v>
      </c>
      <c r="F656" s="942"/>
    </row>
    <row r="657" spans="1:6" ht="15.75" thickBot="1">
      <c r="A657" s="371"/>
      <c r="B657" s="354" t="s">
        <v>890</v>
      </c>
      <c r="C657" s="388">
        <f>SUM(C651+C655)</f>
        <v>318970</v>
      </c>
      <c r="D657" s="388">
        <f>SUM(D651+D655)</f>
        <v>336404</v>
      </c>
      <c r="E657" s="388">
        <f>SUM(E651+E655+E656)</f>
        <v>334337</v>
      </c>
      <c r="F657" s="938">
        <f aca="true" t="shared" si="24" ref="F657:F718">SUM(E657/D657)</f>
        <v>0.9938556021926017</v>
      </c>
    </row>
    <row r="658" spans="1:6" ht="15">
      <c r="A658" s="373">
        <v>2650</v>
      </c>
      <c r="B658" s="374" t="s">
        <v>1298</v>
      </c>
      <c r="C658" s="295"/>
      <c r="D658" s="295"/>
      <c r="E658" s="295"/>
      <c r="F658" s="574"/>
    </row>
    <row r="659" spans="1:6" ht="12.75">
      <c r="A659" s="355"/>
      <c r="B659" s="356" t="s">
        <v>1256</v>
      </c>
      <c r="C659" s="295">
        <v>11700</v>
      </c>
      <c r="D659" s="295">
        <v>1000</v>
      </c>
      <c r="E659" s="295">
        <v>1606</v>
      </c>
      <c r="F659" s="574">
        <f t="shared" si="24"/>
        <v>1.606</v>
      </c>
    </row>
    <row r="660" spans="1:6" ht="12.75">
      <c r="A660" s="355"/>
      <c r="B660" s="356" t="s">
        <v>1257</v>
      </c>
      <c r="C660" s="295">
        <v>2700</v>
      </c>
      <c r="D660" s="295">
        <v>2700</v>
      </c>
      <c r="E660" s="295">
        <v>2074</v>
      </c>
      <c r="F660" s="574">
        <f t="shared" si="24"/>
        <v>0.7681481481481481</v>
      </c>
    </row>
    <row r="661" spans="1:6" ht="12.75">
      <c r="A661" s="355"/>
      <c r="B661" s="356" t="s">
        <v>1258</v>
      </c>
      <c r="C661" s="295"/>
      <c r="D661" s="295">
        <v>26597</v>
      </c>
      <c r="E661" s="295">
        <v>23677</v>
      </c>
      <c r="F661" s="574">
        <f t="shared" si="24"/>
        <v>0.8902131819378125</v>
      </c>
    </row>
    <row r="662" spans="1:6" ht="12.75">
      <c r="A662" s="355"/>
      <c r="B662" s="356" t="s">
        <v>1259</v>
      </c>
      <c r="C662" s="295">
        <v>26950</v>
      </c>
      <c r="D662" s="295">
        <v>11053</v>
      </c>
      <c r="E662" s="295">
        <v>18059</v>
      </c>
      <c r="F662" s="574">
        <f t="shared" si="24"/>
        <v>1.6338550619741248</v>
      </c>
    </row>
    <row r="663" spans="1:6" ht="12.75">
      <c r="A663" s="355"/>
      <c r="B663" s="356" t="s">
        <v>1260</v>
      </c>
      <c r="C663" s="295">
        <v>4500</v>
      </c>
      <c r="D663" s="295">
        <v>4500</v>
      </c>
      <c r="E663" s="295">
        <v>4050</v>
      </c>
      <c r="F663" s="574">
        <f t="shared" si="24"/>
        <v>0.9</v>
      </c>
    </row>
    <row r="664" spans="1:6" ht="13.5" thickBot="1">
      <c r="A664" s="355"/>
      <c r="B664" s="358" t="s">
        <v>1261</v>
      </c>
      <c r="C664" s="382"/>
      <c r="D664" s="382"/>
      <c r="E664" s="382"/>
      <c r="F664" s="576"/>
    </row>
    <row r="665" spans="1:6" ht="13.5" thickBot="1">
      <c r="A665" s="355"/>
      <c r="B665" s="359" t="s">
        <v>1249</v>
      </c>
      <c r="C665" s="386">
        <f>SUM(C659:C664)</f>
        <v>45850</v>
      </c>
      <c r="D665" s="386">
        <f>SUM(D659:D664)</f>
        <v>45850</v>
      </c>
      <c r="E665" s="386">
        <f>SUM(E659:E664)</f>
        <v>49466</v>
      </c>
      <c r="F665" s="938">
        <f t="shared" si="24"/>
        <v>1.07886586695747</v>
      </c>
    </row>
    <row r="666" spans="1:6" ht="12.75">
      <c r="A666" s="355"/>
      <c r="B666" s="356" t="s">
        <v>1262</v>
      </c>
      <c r="C666" s="295">
        <v>365737</v>
      </c>
      <c r="D666" s="295">
        <v>386120</v>
      </c>
      <c r="E666" s="295">
        <v>366114</v>
      </c>
      <c r="F666" s="574">
        <f t="shared" si="24"/>
        <v>0.9481870920957215</v>
      </c>
    </row>
    <row r="667" spans="1:6" ht="12.75">
      <c r="A667" s="355"/>
      <c r="B667" s="356" t="s">
        <v>1263</v>
      </c>
      <c r="C667" s="295">
        <v>15900</v>
      </c>
      <c r="D667" s="295">
        <v>15900</v>
      </c>
      <c r="E667" s="295">
        <v>12055</v>
      </c>
      <c r="F667" s="574">
        <f t="shared" si="24"/>
        <v>0.7581761006289308</v>
      </c>
    </row>
    <row r="668" spans="1:6" ht="13.5" thickBot="1">
      <c r="A668" s="355"/>
      <c r="B668" s="356" t="s">
        <v>1264</v>
      </c>
      <c r="C668" s="382"/>
      <c r="D668" s="382"/>
      <c r="E668" s="382"/>
      <c r="F668" s="576"/>
    </row>
    <row r="669" spans="1:6" ht="13.5" thickBot="1">
      <c r="A669" s="360"/>
      <c r="B669" s="361" t="s">
        <v>1252</v>
      </c>
      <c r="C669" s="298">
        <f>SUM(C666:C668)</f>
        <v>381637</v>
      </c>
      <c r="D669" s="298">
        <f>SUM(D666:D668)</f>
        <v>402020</v>
      </c>
      <c r="E669" s="298">
        <f>SUM(E666:E668)</f>
        <v>378169</v>
      </c>
      <c r="F669" s="938">
        <f t="shared" si="24"/>
        <v>0.9406721058653799</v>
      </c>
    </row>
    <row r="670" spans="1:6" ht="13.5" thickBot="1">
      <c r="A670" s="357"/>
      <c r="B670" s="362" t="s">
        <v>1253</v>
      </c>
      <c r="C670" s="381"/>
      <c r="D670" s="381">
        <v>1555</v>
      </c>
      <c r="E670" s="381">
        <v>2453</v>
      </c>
      <c r="F670" s="942">
        <f t="shared" si="24"/>
        <v>1.577491961414791</v>
      </c>
    </row>
    <row r="671" spans="1:6" ht="13.5" thickBot="1">
      <c r="A671" s="357"/>
      <c r="B671" s="363" t="s">
        <v>1254</v>
      </c>
      <c r="C671" s="386">
        <f>SUM(C669+C665+C670)</f>
        <v>427487</v>
      </c>
      <c r="D671" s="386">
        <f>SUM(D669+D665+D670)</f>
        <v>449425</v>
      </c>
      <c r="E671" s="386">
        <f>SUM(E669+E665+E670)</f>
        <v>430088</v>
      </c>
      <c r="F671" s="938">
        <f t="shared" si="24"/>
        <v>0.9569739111086388</v>
      </c>
    </row>
    <row r="672" spans="1:6" ht="13.5" thickBot="1">
      <c r="A672" s="355"/>
      <c r="B672" s="359" t="s">
        <v>1267</v>
      </c>
      <c r="C672" s="381"/>
      <c r="D672" s="381"/>
      <c r="E672" s="381"/>
      <c r="F672" s="942"/>
    </row>
    <row r="673" spans="1:6" ht="12.75">
      <c r="A673" s="355"/>
      <c r="B673" s="356" t="s">
        <v>1265</v>
      </c>
      <c r="C673" s="295"/>
      <c r="D673" s="295">
        <v>20302</v>
      </c>
      <c r="E673" s="295">
        <v>20302</v>
      </c>
      <c r="F673" s="574">
        <f t="shared" si="24"/>
        <v>1</v>
      </c>
    </row>
    <row r="674" spans="1:6" ht="13.5" thickBot="1">
      <c r="A674" s="355"/>
      <c r="B674" s="364" t="s">
        <v>1266</v>
      </c>
      <c r="C674" s="382"/>
      <c r="D674" s="382"/>
      <c r="E674" s="382"/>
      <c r="F674" s="576"/>
    </row>
    <row r="675" spans="1:6" ht="13.5" thickBot="1">
      <c r="A675" s="365"/>
      <c r="B675" s="362" t="s">
        <v>1255</v>
      </c>
      <c r="C675" s="382"/>
      <c r="D675" s="298">
        <f>SUM(D673:D674)</f>
        <v>20302</v>
      </c>
      <c r="E675" s="298">
        <f>SUM(E673:E674)</f>
        <v>20302</v>
      </c>
      <c r="F675" s="938">
        <f t="shared" si="24"/>
        <v>1</v>
      </c>
    </row>
    <row r="676" spans="1:6" ht="15.75" thickBot="1">
      <c r="A676" s="365"/>
      <c r="B676" s="366" t="s">
        <v>1268</v>
      </c>
      <c r="C676" s="388">
        <f>SUM(C671+C672+C675)</f>
        <v>427487</v>
      </c>
      <c r="D676" s="388">
        <f>SUM(D671+D672+D675)</f>
        <v>469727</v>
      </c>
      <c r="E676" s="388">
        <f>SUM(E671+E672+E675)</f>
        <v>450390</v>
      </c>
      <c r="F676" s="938">
        <f t="shared" si="24"/>
        <v>0.9588335352236512</v>
      </c>
    </row>
    <row r="677" spans="1:6" ht="12.75">
      <c r="A677" s="353"/>
      <c r="B677" s="367" t="s">
        <v>1269</v>
      </c>
      <c r="C677" s="295">
        <v>240333</v>
      </c>
      <c r="D677" s="295">
        <v>251203</v>
      </c>
      <c r="E677" s="295">
        <v>232974</v>
      </c>
      <c r="F677" s="574">
        <f t="shared" si="24"/>
        <v>0.9274331914825859</v>
      </c>
    </row>
    <row r="678" spans="1:6" ht="12.75">
      <c r="A678" s="353"/>
      <c r="B678" s="367" t="s">
        <v>1270</v>
      </c>
      <c r="C678" s="295">
        <v>62897</v>
      </c>
      <c r="D678" s="295">
        <v>66264</v>
      </c>
      <c r="E678" s="295">
        <v>61292</v>
      </c>
      <c r="F678" s="574">
        <f t="shared" si="24"/>
        <v>0.9249667994687915</v>
      </c>
    </row>
    <row r="679" spans="1:6" ht="12.75">
      <c r="A679" s="353"/>
      <c r="B679" s="367" t="s">
        <v>1271</v>
      </c>
      <c r="C679" s="295">
        <v>124257</v>
      </c>
      <c r="D679" s="295">
        <v>151348</v>
      </c>
      <c r="E679" s="295">
        <v>151263</v>
      </c>
      <c r="F679" s="574">
        <f t="shared" si="24"/>
        <v>0.9994383804212807</v>
      </c>
    </row>
    <row r="680" spans="1:6" ht="12.75">
      <c r="A680" s="353"/>
      <c r="B680" s="589" t="s">
        <v>217</v>
      </c>
      <c r="C680" s="295"/>
      <c r="D680" s="590">
        <v>17499</v>
      </c>
      <c r="E680" s="590">
        <v>17499</v>
      </c>
      <c r="F680" s="574">
        <f t="shared" si="24"/>
        <v>1</v>
      </c>
    </row>
    <row r="681" spans="1:6" ht="12.75">
      <c r="A681" s="353"/>
      <c r="B681" s="367" t="s">
        <v>1274</v>
      </c>
      <c r="C681" s="295"/>
      <c r="D681" s="295"/>
      <c r="E681" s="295"/>
      <c r="F681" s="574"/>
    </row>
    <row r="682" spans="1:6" ht="13.5" thickBot="1">
      <c r="A682" s="353"/>
      <c r="B682" s="368" t="s">
        <v>1275</v>
      </c>
      <c r="C682" s="382"/>
      <c r="D682" s="382">
        <v>449</v>
      </c>
      <c r="E682" s="382">
        <v>1278</v>
      </c>
      <c r="F682" s="576">
        <f t="shared" si="24"/>
        <v>2.846325167037862</v>
      </c>
    </row>
    <row r="683" spans="1:6" ht="13.5" thickBot="1">
      <c r="A683" s="353"/>
      <c r="B683" s="369" t="s">
        <v>868</v>
      </c>
      <c r="C683" s="386">
        <f>SUM(C677:C682)</f>
        <v>427487</v>
      </c>
      <c r="D683" s="386">
        <f>SUM(D677:D682)-D680</f>
        <v>469264</v>
      </c>
      <c r="E683" s="386">
        <f>SUM(E677:E682)-E680</f>
        <v>446807</v>
      </c>
      <c r="F683" s="938">
        <f t="shared" si="24"/>
        <v>0.9521442088035732</v>
      </c>
    </row>
    <row r="684" spans="1:6" ht="12.75">
      <c r="A684" s="353"/>
      <c r="B684" s="367" t="s">
        <v>1276</v>
      </c>
      <c r="C684" s="295"/>
      <c r="D684" s="295"/>
      <c r="E684" s="295"/>
      <c r="F684" s="574"/>
    </row>
    <row r="685" spans="1:6" ht="12.75">
      <c r="A685" s="353"/>
      <c r="B685" s="367" t="s">
        <v>1277</v>
      </c>
      <c r="C685" s="295"/>
      <c r="D685" s="295">
        <v>463</v>
      </c>
      <c r="E685" s="295">
        <v>463</v>
      </c>
      <c r="F685" s="574">
        <f t="shared" si="24"/>
        <v>1</v>
      </c>
    </row>
    <row r="686" spans="1:6" ht="13.5" thickBot="1">
      <c r="A686" s="353"/>
      <c r="B686" s="370" t="s">
        <v>1278</v>
      </c>
      <c r="C686" s="382"/>
      <c r="D686" s="382"/>
      <c r="E686" s="382"/>
      <c r="F686" s="576"/>
    </row>
    <row r="687" spans="1:6" ht="13.5" thickBot="1">
      <c r="A687" s="353"/>
      <c r="B687" s="372" t="s">
        <v>874</v>
      </c>
      <c r="C687" s="381"/>
      <c r="D687" s="386">
        <f>SUM(D685:D686)</f>
        <v>463</v>
      </c>
      <c r="E687" s="386">
        <f>SUM(E685:E686)</f>
        <v>463</v>
      </c>
      <c r="F687" s="942">
        <f t="shared" si="24"/>
        <v>1</v>
      </c>
    </row>
    <row r="688" spans="1:6" ht="13.5" thickBot="1">
      <c r="A688" s="353"/>
      <c r="B688" s="613" t="s">
        <v>233</v>
      </c>
      <c r="C688" s="386"/>
      <c r="D688" s="386"/>
      <c r="E688" s="381">
        <v>-642</v>
      </c>
      <c r="F688" s="942"/>
    </row>
    <row r="689" spans="1:6" ht="15.75" thickBot="1">
      <c r="A689" s="371"/>
      <c r="B689" s="354" t="s">
        <v>890</v>
      </c>
      <c r="C689" s="388">
        <f>SUM(C683+C687)</f>
        <v>427487</v>
      </c>
      <c r="D689" s="388">
        <f>SUM(D683+D687)</f>
        <v>469727</v>
      </c>
      <c r="E689" s="388">
        <f>SUM(E683+E687+E688)</f>
        <v>446628</v>
      </c>
      <c r="F689" s="938">
        <f t="shared" si="24"/>
        <v>0.950824627922176</v>
      </c>
    </row>
    <row r="690" spans="1:6" ht="15">
      <c r="A690" s="379">
        <v>2699</v>
      </c>
      <c r="B690" s="374" t="s">
        <v>1299</v>
      </c>
      <c r="C690" s="384"/>
      <c r="D690" s="384"/>
      <c r="E690" s="384"/>
      <c r="F690" s="574"/>
    </row>
    <row r="691" spans="1:6" ht="12.75">
      <c r="A691" s="355"/>
      <c r="B691" s="356" t="s">
        <v>1256</v>
      </c>
      <c r="C691" s="384">
        <f aca="true" t="shared" si="25" ref="C691:E696">SUM(C659+C626+C591)</f>
        <v>11700</v>
      </c>
      <c r="D691" s="384">
        <f t="shared" si="25"/>
        <v>1000</v>
      </c>
      <c r="E691" s="384">
        <f t="shared" si="25"/>
        <v>1606</v>
      </c>
      <c r="F691" s="574">
        <f t="shared" si="24"/>
        <v>1.606</v>
      </c>
    </row>
    <row r="692" spans="1:6" ht="12.75">
      <c r="A692" s="355"/>
      <c r="B692" s="356" t="s">
        <v>1257</v>
      </c>
      <c r="C692" s="384">
        <f t="shared" si="25"/>
        <v>2700</v>
      </c>
      <c r="D692" s="384">
        <f t="shared" si="25"/>
        <v>2878</v>
      </c>
      <c r="E692" s="384">
        <f t="shared" si="25"/>
        <v>2268</v>
      </c>
      <c r="F692" s="574">
        <f t="shared" si="24"/>
        <v>0.788047255038221</v>
      </c>
    </row>
    <row r="693" spans="1:6" ht="12.75">
      <c r="A693" s="355"/>
      <c r="B693" s="356" t="s">
        <v>1258</v>
      </c>
      <c r="C693" s="384">
        <f t="shared" si="25"/>
        <v>7692</v>
      </c>
      <c r="D693" s="384">
        <f t="shared" si="25"/>
        <v>34289</v>
      </c>
      <c r="E693" s="384">
        <f t="shared" si="25"/>
        <v>31720</v>
      </c>
      <c r="F693" s="574">
        <f t="shared" si="24"/>
        <v>0.9250780133570533</v>
      </c>
    </row>
    <row r="694" spans="1:6" ht="12.75">
      <c r="A694" s="355"/>
      <c r="B694" s="356" t="s">
        <v>1259</v>
      </c>
      <c r="C694" s="384">
        <f t="shared" si="25"/>
        <v>55824</v>
      </c>
      <c r="D694" s="384">
        <f t="shared" si="25"/>
        <v>45312</v>
      </c>
      <c r="E694" s="384">
        <f t="shared" si="25"/>
        <v>47941</v>
      </c>
      <c r="F694" s="574">
        <f t="shared" si="24"/>
        <v>1.0580199505649717</v>
      </c>
    </row>
    <row r="695" spans="1:6" ht="12.75">
      <c r="A695" s="355"/>
      <c r="B695" s="356" t="s">
        <v>1260</v>
      </c>
      <c r="C695" s="384">
        <f t="shared" si="25"/>
        <v>10938</v>
      </c>
      <c r="D695" s="384">
        <f t="shared" si="25"/>
        <v>11642</v>
      </c>
      <c r="E695" s="384">
        <f t="shared" si="25"/>
        <v>12380</v>
      </c>
      <c r="F695" s="574">
        <f t="shared" si="24"/>
        <v>1.0633911699020786</v>
      </c>
    </row>
    <row r="696" spans="1:6" ht="13.5" thickBot="1">
      <c r="A696" s="355"/>
      <c r="B696" s="358" t="s">
        <v>1261</v>
      </c>
      <c r="C696" s="385">
        <f t="shared" si="25"/>
        <v>0</v>
      </c>
      <c r="D696" s="385">
        <f t="shared" si="25"/>
        <v>0</v>
      </c>
      <c r="E696" s="385">
        <f t="shared" si="25"/>
        <v>25</v>
      </c>
      <c r="F696" s="576"/>
    </row>
    <row r="697" spans="1:6" ht="13.5" thickBot="1">
      <c r="A697" s="355"/>
      <c r="B697" s="359" t="s">
        <v>1249</v>
      </c>
      <c r="C697" s="391">
        <f>SUM(C691:C696)</f>
        <v>88854</v>
      </c>
      <c r="D697" s="391">
        <f>SUM(D691:D696)</f>
        <v>95121</v>
      </c>
      <c r="E697" s="391">
        <f>SUM(E691:E696)</f>
        <v>95940</v>
      </c>
      <c r="F697" s="938">
        <f t="shared" si="24"/>
        <v>1.0086100861008611</v>
      </c>
    </row>
    <row r="698" spans="1:6" ht="12.75">
      <c r="A698" s="355"/>
      <c r="B698" s="356" t="s">
        <v>1262</v>
      </c>
      <c r="C698" s="384">
        <f aca="true" t="shared" si="26" ref="C698:E700">SUM(C666+C633+C598)</f>
        <v>964515</v>
      </c>
      <c r="D698" s="384">
        <f t="shared" si="26"/>
        <v>1014066</v>
      </c>
      <c r="E698" s="384">
        <f t="shared" si="26"/>
        <v>984394</v>
      </c>
      <c r="F698" s="574">
        <f t="shared" si="24"/>
        <v>0.9707395771083933</v>
      </c>
    </row>
    <row r="699" spans="1:6" ht="12.75">
      <c r="A699" s="355"/>
      <c r="B699" s="356" t="s">
        <v>1263</v>
      </c>
      <c r="C699" s="384">
        <f t="shared" si="26"/>
        <v>45635</v>
      </c>
      <c r="D699" s="384">
        <f t="shared" si="26"/>
        <v>45635</v>
      </c>
      <c r="E699" s="384">
        <f t="shared" si="26"/>
        <v>51624</v>
      </c>
      <c r="F699" s="574">
        <f t="shared" si="24"/>
        <v>1.1312369891530623</v>
      </c>
    </row>
    <row r="700" spans="1:6" ht="13.5" thickBot="1">
      <c r="A700" s="355"/>
      <c r="B700" s="356" t="s">
        <v>1264</v>
      </c>
      <c r="C700" s="385">
        <f t="shared" si="26"/>
        <v>0</v>
      </c>
      <c r="D700" s="385">
        <f t="shared" si="26"/>
        <v>0</v>
      </c>
      <c r="E700" s="385">
        <f t="shared" si="26"/>
        <v>0</v>
      </c>
      <c r="F700" s="576"/>
    </row>
    <row r="701" spans="1:6" ht="13.5" thickBot="1">
      <c r="A701" s="360"/>
      <c r="B701" s="361" t="s">
        <v>1252</v>
      </c>
      <c r="C701" s="391">
        <f>SUM(C698:C700)</f>
        <v>1010150</v>
      </c>
      <c r="D701" s="391">
        <f>SUM(D698:D700)</f>
        <v>1059701</v>
      </c>
      <c r="E701" s="391">
        <f>SUM(E698:E700)</f>
        <v>1036018</v>
      </c>
      <c r="F701" s="941">
        <f t="shared" si="24"/>
        <v>0.9776512431336764</v>
      </c>
    </row>
    <row r="702" spans="1:6" ht="13.5" thickBot="1">
      <c r="A702" s="357"/>
      <c r="B702" s="362" t="s">
        <v>1253</v>
      </c>
      <c r="C702" s="383">
        <f>SUM(C670+C637+C602)</f>
        <v>0</v>
      </c>
      <c r="D702" s="390">
        <f>SUM(D670+D637+D602)</f>
        <v>6864</v>
      </c>
      <c r="E702" s="390">
        <f>SUM(E670+E637+E602)</f>
        <v>10673</v>
      </c>
      <c r="F702" s="938">
        <f t="shared" si="24"/>
        <v>1.5549242424242424</v>
      </c>
    </row>
    <row r="703" spans="1:6" ht="13.5" thickBot="1">
      <c r="A703" s="357"/>
      <c r="B703" s="362" t="s">
        <v>237</v>
      </c>
      <c r="C703" s="383"/>
      <c r="D703" s="390"/>
      <c r="E703" s="390">
        <f>SUM(E603)</f>
        <v>9153</v>
      </c>
      <c r="F703" s="938"/>
    </row>
    <row r="704" spans="1:6" ht="13.5" thickBot="1">
      <c r="A704" s="357"/>
      <c r="B704" s="362" t="s">
        <v>234</v>
      </c>
      <c r="C704" s="383"/>
      <c r="D704" s="390">
        <f>SUM(D638+D604)</f>
        <v>0</v>
      </c>
      <c r="E704" s="390">
        <f>SUM(E638+E604)</f>
        <v>3329</v>
      </c>
      <c r="F704" s="942"/>
    </row>
    <row r="705" spans="1:6" ht="13.5" thickBot="1">
      <c r="A705" s="357"/>
      <c r="B705" s="363" t="s">
        <v>1254</v>
      </c>
      <c r="C705" s="390">
        <f>SUM(C671+C639+C605)</f>
        <v>1099004</v>
      </c>
      <c r="D705" s="390">
        <f>SUM(D671+D639+D605)</f>
        <v>1161686</v>
      </c>
      <c r="E705" s="390">
        <f>SUM(E671+E639+E605)</f>
        <v>1155113</v>
      </c>
      <c r="F705" s="941">
        <f t="shared" si="24"/>
        <v>0.9943418445259734</v>
      </c>
    </row>
    <row r="706" spans="1:6" ht="13.5" thickBot="1">
      <c r="A706" s="357"/>
      <c r="B706" s="614" t="s">
        <v>260</v>
      </c>
      <c r="C706" s="390"/>
      <c r="D706" s="383">
        <f>SUM(D606)</f>
        <v>2911</v>
      </c>
      <c r="E706" s="383">
        <f>SUM(E606)</f>
        <v>0</v>
      </c>
      <c r="F706" s="942">
        <f t="shared" si="24"/>
        <v>0</v>
      </c>
    </row>
    <row r="707" spans="1:6" ht="13.5" thickBot="1">
      <c r="A707" s="355"/>
      <c r="B707" s="395" t="s">
        <v>1267</v>
      </c>
      <c r="C707" s="383">
        <f>SUM(C672+C640+C607)</f>
        <v>0</v>
      </c>
      <c r="D707" s="390">
        <f>SUM(D706)</f>
        <v>2911</v>
      </c>
      <c r="E707" s="390">
        <f>SUM(E706)</f>
        <v>0</v>
      </c>
      <c r="F707" s="938">
        <f t="shared" si="24"/>
        <v>0</v>
      </c>
    </row>
    <row r="708" spans="1:6" ht="12.75">
      <c r="A708" s="355"/>
      <c r="B708" s="356" t="s">
        <v>1265</v>
      </c>
      <c r="C708" s="384">
        <f>SUM(C673+C641+C608)</f>
        <v>0</v>
      </c>
      <c r="D708" s="384">
        <f aca="true" t="shared" si="27" ref="D708:E710">SUM(D673+D641+D608)</f>
        <v>29940</v>
      </c>
      <c r="E708" s="384">
        <f t="shared" si="27"/>
        <v>29940</v>
      </c>
      <c r="F708" s="574">
        <f t="shared" si="24"/>
        <v>1</v>
      </c>
    </row>
    <row r="709" spans="1:6" ht="13.5" thickBot="1">
      <c r="A709" s="355"/>
      <c r="B709" s="364" t="s">
        <v>1266</v>
      </c>
      <c r="C709" s="385">
        <f>SUM(C674+C642+C609)</f>
        <v>0</v>
      </c>
      <c r="D709" s="385">
        <f t="shared" si="27"/>
        <v>0</v>
      </c>
      <c r="E709" s="385">
        <f t="shared" si="27"/>
        <v>0</v>
      </c>
      <c r="F709" s="576"/>
    </row>
    <row r="710" spans="1:6" ht="13.5" thickBot="1">
      <c r="A710" s="365"/>
      <c r="B710" s="362" t="s">
        <v>1255</v>
      </c>
      <c r="C710" s="383">
        <f>SUM(C675+C643+C610)</f>
        <v>0</v>
      </c>
      <c r="D710" s="390">
        <f t="shared" si="27"/>
        <v>29940</v>
      </c>
      <c r="E710" s="390">
        <f t="shared" si="27"/>
        <v>29940</v>
      </c>
      <c r="F710" s="938">
        <f t="shared" si="24"/>
        <v>1</v>
      </c>
    </row>
    <row r="711" spans="1:6" ht="13.5" thickBot="1">
      <c r="A711" s="365"/>
      <c r="B711" s="614" t="s">
        <v>235</v>
      </c>
      <c r="C711" s="383"/>
      <c r="D711" s="383">
        <f>SUM(D644+D611)</f>
        <v>0</v>
      </c>
      <c r="E711" s="383">
        <f>SUM(E644+E611)</f>
        <v>0</v>
      </c>
      <c r="F711" s="942"/>
    </row>
    <row r="712" spans="1:6" ht="15.75" thickBot="1">
      <c r="A712" s="365"/>
      <c r="B712" s="366" t="s">
        <v>1268</v>
      </c>
      <c r="C712" s="392">
        <f>SUM(C705+C707+C710)</f>
        <v>1099004</v>
      </c>
      <c r="D712" s="392">
        <f>SUM(D705+D707+D710+D711)</f>
        <v>1194537</v>
      </c>
      <c r="E712" s="392">
        <f>SUM(E705+E707+E710+E711)</f>
        <v>1185053</v>
      </c>
      <c r="F712" s="941">
        <f t="shared" si="24"/>
        <v>0.9920605221939547</v>
      </c>
    </row>
    <row r="713" spans="1:6" ht="12.75">
      <c r="A713" s="353"/>
      <c r="B713" s="367" t="s">
        <v>1269</v>
      </c>
      <c r="C713" s="384">
        <f aca="true" t="shared" si="28" ref="C713:D715">SUM(C677+C646+C613)</f>
        <v>644393</v>
      </c>
      <c r="D713" s="384">
        <f t="shared" si="28"/>
        <v>658549</v>
      </c>
      <c r="E713" s="384">
        <f>SUM(E677+E646+E613)</f>
        <v>637441</v>
      </c>
      <c r="F713" s="574">
        <f t="shared" si="24"/>
        <v>0.9679477153560327</v>
      </c>
    </row>
    <row r="714" spans="1:6" ht="12.75">
      <c r="A714" s="353"/>
      <c r="B714" s="367" t="s">
        <v>1270</v>
      </c>
      <c r="C714" s="384">
        <f t="shared" si="28"/>
        <v>170134</v>
      </c>
      <c r="D714" s="384">
        <f t="shared" si="28"/>
        <v>174456</v>
      </c>
      <c r="E714" s="384">
        <f>SUM(E678+E647+E614)</f>
        <v>166316</v>
      </c>
      <c r="F714" s="574">
        <f t="shared" si="24"/>
        <v>0.9533406704269272</v>
      </c>
    </row>
    <row r="715" spans="1:6" ht="12.75">
      <c r="A715" s="353"/>
      <c r="B715" s="367" t="s">
        <v>1271</v>
      </c>
      <c r="C715" s="384">
        <f t="shared" si="28"/>
        <v>283577</v>
      </c>
      <c r="D715" s="384">
        <f t="shared" si="28"/>
        <v>346105</v>
      </c>
      <c r="E715" s="384">
        <f>SUM(E679+E648+E615)</f>
        <v>353975</v>
      </c>
      <c r="F715" s="574">
        <f t="shared" si="24"/>
        <v>1.0227387642478438</v>
      </c>
    </row>
    <row r="716" spans="1:6" ht="12.75">
      <c r="A716" s="353"/>
      <c r="B716" s="589" t="s">
        <v>217</v>
      </c>
      <c r="C716" s="384"/>
      <c r="D716" s="591">
        <f>SUM(D680)</f>
        <v>17499</v>
      </c>
      <c r="E716" s="591">
        <f>SUM(E680)</f>
        <v>17499</v>
      </c>
      <c r="F716" s="574">
        <f t="shared" si="24"/>
        <v>1</v>
      </c>
    </row>
    <row r="717" spans="1:6" ht="12.75">
      <c r="A717" s="353"/>
      <c r="B717" s="367" t="s">
        <v>1274</v>
      </c>
      <c r="C717" s="384">
        <f aca="true" t="shared" si="29" ref="C717:E718">SUM(C681+C649+C616)</f>
        <v>0</v>
      </c>
      <c r="D717" s="384">
        <f t="shared" si="29"/>
        <v>0</v>
      </c>
      <c r="E717" s="384">
        <f t="shared" si="29"/>
        <v>1240</v>
      </c>
      <c r="F717" s="574"/>
    </row>
    <row r="718" spans="1:6" ht="13.5" thickBot="1">
      <c r="A718" s="353"/>
      <c r="B718" s="368" t="s">
        <v>1275</v>
      </c>
      <c r="C718" s="385">
        <f t="shared" si="29"/>
        <v>0</v>
      </c>
      <c r="D718" s="385">
        <f t="shared" si="29"/>
        <v>6901</v>
      </c>
      <c r="E718" s="385">
        <f t="shared" si="29"/>
        <v>7733</v>
      </c>
      <c r="F718" s="576">
        <f t="shared" si="24"/>
        <v>1.1205622373569049</v>
      </c>
    </row>
    <row r="719" spans="1:6" ht="13.5" thickBot="1">
      <c r="A719" s="353"/>
      <c r="B719" s="369" t="s">
        <v>868</v>
      </c>
      <c r="C719" s="390">
        <f>SUM(C713:C718)</f>
        <v>1098104</v>
      </c>
      <c r="D719" s="390">
        <f>SUM(D713:D718)-D716</f>
        <v>1186011</v>
      </c>
      <c r="E719" s="390">
        <f>SUM(E713:E718)-E716</f>
        <v>1166705</v>
      </c>
      <c r="F719" s="938">
        <f aca="true" t="shared" si="30" ref="F719:F782">SUM(E719/D719)</f>
        <v>0.9837219047715409</v>
      </c>
    </row>
    <row r="720" spans="1:6" ht="12.75">
      <c r="A720" s="353"/>
      <c r="B720" s="367" t="s">
        <v>1276</v>
      </c>
      <c r="C720" s="384">
        <f aca="true" t="shared" si="31" ref="C720:D722">SUM(C684+C652+C619)</f>
        <v>0</v>
      </c>
      <c r="D720" s="384">
        <f t="shared" si="31"/>
        <v>0</v>
      </c>
      <c r="E720" s="384">
        <f>SUM(E684+E652+E619)</f>
        <v>3881</v>
      </c>
      <c r="F720" s="574"/>
    </row>
    <row r="721" spans="1:6" ht="12.75">
      <c r="A721" s="353"/>
      <c r="B721" s="367" t="s">
        <v>1277</v>
      </c>
      <c r="C721" s="384">
        <f t="shared" si="31"/>
        <v>900</v>
      </c>
      <c r="D721" s="384">
        <f t="shared" si="31"/>
        <v>8526</v>
      </c>
      <c r="E721" s="384">
        <f>SUM(E685+E653+E620)</f>
        <v>764</v>
      </c>
      <c r="F721" s="574">
        <f t="shared" si="30"/>
        <v>0.08960825709594182</v>
      </c>
    </row>
    <row r="722" spans="1:6" ht="13.5" thickBot="1">
      <c r="A722" s="353"/>
      <c r="B722" s="370" t="s">
        <v>1278</v>
      </c>
      <c r="C722" s="385">
        <f t="shared" si="31"/>
        <v>0</v>
      </c>
      <c r="D722" s="385">
        <f t="shared" si="31"/>
        <v>0</v>
      </c>
      <c r="E722" s="385">
        <f>SUM(E686+E654+E621)</f>
        <v>0</v>
      </c>
      <c r="F722" s="576"/>
    </row>
    <row r="723" spans="1:6" ht="13.5" thickBot="1">
      <c r="A723" s="353"/>
      <c r="B723" s="372" t="s">
        <v>874</v>
      </c>
      <c r="C723" s="390">
        <f>SUM(C720:C722)</f>
        <v>900</v>
      </c>
      <c r="D723" s="390">
        <f>SUM(D720:D722)</f>
        <v>8526</v>
      </c>
      <c r="E723" s="390">
        <f>SUM(E720:E722)</f>
        <v>4645</v>
      </c>
      <c r="F723" s="938">
        <f t="shared" si="30"/>
        <v>0.5448041285479709</v>
      </c>
    </row>
    <row r="724" spans="1:6" ht="13.5" thickBot="1">
      <c r="A724" s="353"/>
      <c r="B724" s="613" t="s">
        <v>233</v>
      </c>
      <c r="C724" s="390"/>
      <c r="D724" s="383">
        <f>SUM(D688+D656+D623)</f>
        <v>0</v>
      </c>
      <c r="E724" s="383">
        <f>SUM(E688+E656+E623)</f>
        <v>-1612</v>
      </c>
      <c r="F724" s="942"/>
    </row>
    <row r="725" spans="1:6" ht="15.75" thickBot="1">
      <c r="A725" s="371"/>
      <c r="B725" s="354" t="s">
        <v>890</v>
      </c>
      <c r="C725" s="392">
        <f>SUM(C689+C657+C624)</f>
        <v>1099004</v>
      </c>
      <c r="D725" s="392">
        <f>SUM(D689+D657+D624)</f>
        <v>1194537</v>
      </c>
      <c r="E725" s="392">
        <f>SUM(E689+E657+E624)</f>
        <v>1169738</v>
      </c>
      <c r="F725" s="938">
        <f t="shared" si="30"/>
        <v>0.9792396551969508</v>
      </c>
    </row>
    <row r="726" spans="1:6" s="380" customFormat="1" ht="15">
      <c r="A726" s="373">
        <v>2705</v>
      </c>
      <c r="B726" s="374" t="s">
        <v>1300</v>
      </c>
      <c r="C726" s="295"/>
      <c r="D726" s="295"/>
      <c r="E726" s="295"/>
      <c r="F726" s="574"/>
    </row>
    <row r="727" spans="1:6" ht="12.75">
      <c r="A727" s="355"/>
      <c r="B727" s="356" t="s">
        <v>1256</v>
      </c>
      <c r="C727" s="295">
        <v>3400</v>
      </c>
      <c r="D727" s="295">
        <v>4175</v>
      </c>
      <c r="E727" s="295">
        <v>4031</v>
      </c>
      <c r="F727" s="574">
        <f t="shared" si="30"/>
        <v>0.9655089820359282</v>
      </c>
    </row>
    <row r="728" spans="1:6" ht="12.75">
      <c r="A728" s="355"/>
      <c r="B728" s="356" t="s">
        <v>1257</v>
      </c>
      <c r="C728" s="295"/>
      <c r="D728" s="295"/>
      <c r="E728" s="295"/>
      <c r="F728" s="574"/>
    </row>
    <row r="729" spans="1:6" ht="12.75">
      <c r="A729" s="355"/>
      <c r="B729" s="356" t="s">
        <v>1258</v>
      </c>
      <c r="C729" s="295"/>
      <c r="D729" s="295">
        <v>7934</v>
      </c>
      <c r="E729" s="295">
        <v>7777</v>
      </c>
      <c r="F729" s="574">
        <f t="shared" si="30"/>
        <v>0.9802117469120242</v>
      </c>
    </row>
    <row r="730" spans="1:6" ht="12.75">
      <c r="A730" s="355"/>
      <c r="B730" s="356" t="s">
        <v>1259</v>
      </c>
      <c r="C730" s="295">
        <v>14400</v>
      </c>
      <c r="D730" s="295">
        <v>14151</v>
      </c>
      <c r="E730" s="295">
        <v>14199</v>
      </c>
      <c r="F730" s="574">
        <f t="shared" si="30"/>
        <v>1.0033919864320542</v>
      </c>
    </row>
    <row r="731" spans="1:6" ht="12.75">
      <c r="A731" s="355"/>
      <c r="B731" s="356" t="s">
        <v>1260</v>
      </c>
      <c r="C731" s="295">
        <v>3000</v>
      </c>
      <c r="D731" s="295">
        <v>2701</v>
      </c>
      <c r="E731" s="295">
        <v>2706</v>
      </c>
      <c r="F731" s="574">
        <f t="shared" si="30"/>
        <v>1.0018511662347278</v>
      </c>
    </row>
    <row r="732" spans="1:6" ht="13.5" thickBot="1">
      <c r="A732" s="355"/>
      <c r="B732" s="358" t="s">
        <v>1261</v>
      </c>
      <c r="C732" s="382"/>
      <c r="D732" s="382"/>
      <c r="E732" s="382"/>
      <c r="F732" s="576"/>
    </row>
    <row r="733" spans="1:6" ht="13.5" thickBot="1">
      <c r="A733" s="355"/>
      <c r="B733" s="359" t="s">
        <v>1249</v>
      </c>
      <c r="C733" s="386">
        <f>SUM(C727:C732)</f>
        <v>20800</v>
      </c>
      <c r="D733" s="386">
        <f>SUM(D727:D732)</f>
        <v>28961</v>
      </c>
      <c r="E733" s="386">
        <f>SUM(E727:E732)</f>
        <v>28713</v>
      </c>
      <c r="F733" s="941">
        <f t="shared" si="30"/>
        <v>0.9914367597803944</v>
      </c>
    </row>
    <row r="734" spans="1:6" ht="12.75">
      <c r="A734" s="355"/>
      <c r="B734" s="356" t="s">
        <v>1262</v>
      </c>
      <c r="C734" s="295">
        <v>401551</v>
      </c>
      <c r="D734" s="295">
        <v>423868</v>
      </c>
      <c r="E734" s="295">
        <v>435769</v>
      </c>
      <c r="F734" s="574">
        <f t="shared" si="30"/>
        <v>1.0280771372219653</v>
      </c>
    </row>
    <row r="735" spans="1:6" ht="12.75">
      <c r="A735" s="355"/>
      <c r="B735" s="356" t="s">
        <v>1263</v>
      </c>
      <c r="C735" s="295">
        <v>4900</v>
      </c>
      <c r="D735" s="295">
        <v>4900</v>
      </c>
      <c r="E735" s="295">
        <v>6150</v>
      </c>
      <c r="F735" s="574">
        <f t="shared" si="30"/>
        <v>1.2551020408163265</v>
      </c>
    </row>
    <row r="736" spans="1:6" ht="13.5" thickBot="1">
      <c r="A736" s="355"/>
      <c r="B736" s="356" t="s">
        <v>1264</v>
      </c>
      <c r="C736" s="382"/>
      <c r="D736" s="382"/>
      <c r="E736" s="382"/>
      <c r="F736" s="576"/>
    </row>
    <row r="737" spans="1:6" ht="13.5" thickBot="1">
      <c r="A737" s="360"/>
      <c r="B737" s="361" t="s">
        <v>1252</v>
      </c>
      <c r="C737" s="298">
        <f>SUM(C734:C736)</f>
        <v>406451</v>
      </c>
      <c r="D737" s="298">
        <f>SUM(D734:D736)</f>
        <v>428768</v>
      </c>
      <c r="E737" s="298">
        <f>SUM(E734:E736)</f>
        <v>441919</v>
      </c>
      <c r="F737" s="938">
        <f t="shared" si="30"/>
        <v>1.0306715986267632</v>
      </c>
    </row>
    <row r="738" spans="1:6" ht="13.5" thickBot="1">
      <c r="A738" s="357"/>
      <c r="B738" s="362" t="s">
        <v>1253</v>
      </c>
      <c r="C738" s="381"/>
      <c r="D738" s="386">
        <v>10115</v>
      </c>
      <c r="E738" s="386">
        <v>5790</v>
      </c>
      <c r="F738" s="938">
        <f t="shared" si="30"/>
        <v>0.5724172021749876</v>
      </c>
    </row>
    <row r="739" spans="1:6" ht="13.5" thickBot="1">
      <c r="A739" s="357"/>
      <c r="B739" s="233" t="s">
        <v>237</v>
      </c>
      <c r="C739" s="381"/>
      <c r="D739" s="386">
        <v>1339</v>
      </c>
      <c r="E739" s="386">
        <v>2251</v>
      </c>
      <c r="F739" s="938">
        <f t="shared" si="30"/>
        <v>1.6811053024645257</v>
      </c>
    </row>
    <row r="740" spans="1:6" ht="13.5" thickBot="1">
      <c r="A740" s="357"/>
      <c r="B740" s="363" t="s">
        <v>1254</v>
      </c>
      <c r="C740" s="386">
        <f>SUM(C737+C733+C738)</f>
        <v>427251</v>
      </c>
      <c r="D740" s="386">
        <f>SUM(D737+D733+D738+D739)</f>
        <v>469183</v>
      </c>
      <c r="E740" s="386">
        <f>SUM(E737+E733+E738+E739)</f>
        <v>478673</v>
      </c>
      <c r="F740" s="938">
        <f t="shared" si="30"/>
        <v>1.0202266493031504</v>
      </c>
    </row>
    <row r="741" spans="1:6" ht="13.5" thickBot="1">
      <c r="A741" s="357"/>
      <c r="B741" t="s">
        <v>262</v>
      </c>
      <c r="C741" s="386"/>
      <c r="D741" s="381">
        <v>5348</v>
      </c>
      <c r="E741" s="381">
        <v>5348</v>
      </c>
      <c r="F741" s="942">
        <f t="shared" si="30"/>
        <v>1</v>
      </c>
    </row>
    <row r="742" spans="1:6" ht="13.5" thickBot="1">
      <c r="A742" s="355"/>
      <c r="B742" s="359" t="s">
        <v>1267</v>
      </c>
      <c r="C742" s="381"/>
      <c r="D742" s="386">
        <f>SUM(D741)</f>
        <v>5348</v>
      </c>
      <c r="E742" s="386">
        <f>SUM(E741)</f>
        <v>5348</v>
      </c>
      <c r="F742" s="941">
        <f t="shared" si="30"/>
        <v>1</v>
      </c>
    </row>
    <row r="743" spans="1:6" ht="12.75">
      <c r="A743" s="355"/>
      <c r="B743" s="356" t="s">
        <v>1265</v>
      </c>
      <c r="C743" s="295"/>
      <c r="D743" s="295">
        <v>33463</v>
      </c>
      <c r="E743" s="295">
        <v>33463</v>
      </c>
      <c r="F743" s="574">
        <f t="shared" si="30"/>
        <v>1</v>
      </c>
    </row>
    <row r="744" spans="1:6" ht="13.5" thickBot="1">
      <c r="A744" s="355"/>
      <c r="B744" s="364" t="s">
        <v>1266</v>
      </c>
      <c r="C744" s="382"/>
      <c r="D744" s="382"/>
      <c r="E744" s="382"/>
      <c r="F744" s="576"/>
    </row>
    <row r="745" spans="1:6" ht="13.5" thickBot="1">
      <c r="A745" s="365"/>
      <c r="B745" s="362" t="s">
        <v>1255</v>
      </c>
      <c r="C745" s="382"/>
      <c r="D745" s="298">
        <f>SUM(D743:D744)</f>
        <v>33463</v>
      </c>
      <c r="E745" s="298">
        <f>SUM(E743:E744)</f>
        <v>33463</v>
      </c>
      <c r="F745" s="938">
        <f t="shared" si="30"/>
        <v>1</v>
      </c>
    </row>
    <row r="746" spans="1:6" ht="13.5" thickBot="1">
      <c r="A746" s="365"/>
      <c r="B746" s="614" t="s">
        <v>235</v>
      </c>
      <c r="C746" s="382"/>
      <c r="D746" s="298"/>
      <c r="E746" s="298">
        <v>-10328</v>
      </c>
      <c r="F746" s="942"/>
    </row>
    <row r="747" spans="1:6" ht="15.75" thickBot="1">
      <c r="A747" s="365"/>
      <c r="B747" s="366" t="s">
        <v>1268</v>
      </c>
      <c r="C747" s="388">
        <f>SUM(C740+C742+C745)</f>
        <v>427251</v>
      </c>
      <c r="D747" s="388">
        <f>SUM(D740+D742+D745)</f>
        <v>507994</v>
      </c>
      <c r="E747" s="388">
        <f>SUM(E740+E742+E745+E746)</f>
        <v>507156</v>
      </c>
      <c r="F747" s="938">
        <f t="shared" si="30"/>
        <v>0.9983503742170183</v>
      </c>
    </row>
    <row r="748" spans="1:6" ht="12.75">
      <c r="A748" s="353"/>
      <c r="B748" s="367" t="s">
        <v>1269</v>
      </c>
      <c r="C748" s="295">
        <v>275107</v>
      </c>
      <c r="D748" s="295">
        <v>279121</v>
      </c>
      <c r="E748" s="295">
        <v>275466</v>
      </c>
      <c r="F748" s="574">
        <f t="shared" si="30"/>
        <v>0.986905320631554</v>
      </c>
    </row>
    <row r="749" spans="1:6" ht="12.75">
      <c r="A749" s="353"/>
      <c r="B749" s="367" t="s">
        <v>1270</v>
      </c>
      <c r="C749" s="295">
        <v>71359</v>
      </c>
      <c r="D749" s="295">
        <v>72653</v>
      </c>
      <c r="E749" s="295">
        <v>72989</v>
      </c>
      <c r="F749" s="574">
        <f t="shared" si="30"/>
        <v>1.004624722998362</v>
      </c>
    </row>
    <row r="750" spans="1:6" ht="12.75">
      <c r="A750" s="353"/>
      <c r="B750" s="367" t="s">
        <v>1271</v>
      </c>
      <c r="C750" s="295">
        <v>80785</v>
      </c>
      <c r="D750" s="295">
        <v>137177</v>
      </c>
      <c r="E750" s="295">
        <v>145964</v>
      </c>
      <c r="F750" s="574">
        <f t="shared" si="30"/>
        <v>1.064055927742989</v>
      </c>
    </row>
    <row r="751" spans="1:6" ht="12.75">
      <c r="A751" s="353"/>
      <c r="B751" s="589" t="s">
        <v>217</v>
      </c>
      <c r="C751" s="295"/>
      <c r="D751" s="590">
        <v>43958</v>
      </c>
      <c r="E751" s="590">
        <v>43958</v>
      </c>
      <c r="F751" s="574">
        <f t="shared" si="30"/>
        <v>1</v>
      </c>
    </row>
    <row r="752" spans="1:6" ht="12.75">
      <c r="A752" s="353"/>
      <c r="B752" s="367" t="s">
        <v>1274</v>
      </c>
      <c r="C752" s="295"/>
      <c r="D752" s="295"/>
      <c r="E752" s="295"/>
      <c r="F752" s="574"/>
    </row>
    <row r="753" spans="1:6" ht="13.5" thickBot="1">
      <c r="A753" s="353"/>
      <c r="B753" s="368" t="s">
        <v>1275</v>
      </c>
      <c r="C753" s="382"/>
      <c r="D753" s="382">
        <v>12095</v>
      </c>
      <c r="E753" s="382">
        <v>12487</v>
      </c>
      <c r="F753" s="576">
        <f t="shared" si="30"/>
        <v>1.0324100868127326</v>
      </c>
    </row>
    <row r="754" spans="1:6" ht="13.5" thickBot="1">
      <c r="A754" s="353"/>
      <c r="B754" s="369" t="s">
        <v>868</v>
      </c>
      <c r="C754" s="386">
        <f>SUM(C748:C753)</f>
        <v>427251</v>
      </c>
      <c r="D754" s="386">
        <f>SUM(D748:D753)-D751</f>
        <v>501046</v>
      </c>
      <c r="E754" s="386">
        <f>SUM(E748:E753)-E751</f>
        <v>506906</v>
      </c>
      <c r="F754" s="938">
        <f t="shared" si="30"/>
        <v>1.011695532945079</v>
      </c>
    </row>
    <row r="755" spans="1:6" ht="12.75">
      <c r="A755" s="353"/>
      <c r="B755" s="367" t="s">
        <v>1276</v>
      </c>
      <c r="C755" s="295"/>
      <c r="D755" s="295"/>
      <c r="E755" s="295"/>
      <c r="F755" s="574"/>
    </row>
    <row r="756" spans="1:6" ht="12.75">
      <c r="A756" s="353"/>
      <c r="B756" s="367" t="s">
        <v>1277</v>
      </c>
      <c r="C756" s="295"/>
      <c r="D756" s="295">
        <v>6948</v>
      </c>
      <c r="E756" s="295">
        <v>6260</v>
      </c>
      <c r="F756" s="574">
        <f t="shared" si="30"/>
        <v>0.90097869890616</v>
      </c>
    </row>
    <row r="757" spans="1:6" ht="13.5" thickBot="1">
      <c r="A757" s="353"/>
      <c r="B757" s="370" t="s">
        <v>1278</v>
      </c>
      <c r="C757" s="382"/>
      <c r="D757" s="382"/>
      <c r="E757" s="382"/>
      <c r="F757" s="576"/>
    </row>
    <row r="758" spans="1:6" ht="13.5" thickBot="1">
      <c r="A758" s="353"/>
      <c r="B758" s="372" t="s">
        <v>874</v>
      </c>
      <c r="C758" s="381"/>
      <c r="D758" s="386">
        <f>SUM(D756:D757)</f>
        <v>6948</v>
      </c>
      <c r="E758" s="386">
        <f>SUM(E756:E757)</f>
        <v>6260</v>
      </c>
      <c r="F758" s="941">
        <f t="shared" si="30"/>
        <v>0.90097869890616</v>
      </c>
    </row>
    <row r="759" spans="1:6" ht="13.5" thickBot="1">
      <c r="A759" s="353"/>
      <c r="B759" s="613" t="s">
        <v>233</v>
      </c>
      <c r="C759" s="381"/>
      <c r="D759" s="381"/>
      <c r="E759" s="381">
        <v>-21877</v>
      </c>
      <c r="F759" s="942"/>
    </row>
    <row r="760" spans="1:6" ht="15.75" thickBot="1">
      <c r="A760" s="371"/>
      <c r="B760" s="354" t="s">
        <v>890</v>
      </c>
      <c r="C760" s="388">
        <f>SUM(C754+C758)</f>
        <v>427251</v>
      </c>
      <c r="D760" s="388">
        <f>SUM(D754+D758)</f>
        <v>507994</v>
      </c>
      <c r="E760" s="388">
        <f>SUM(E754+E758+E759)</f>
        <v>491289</v>
      </c>
      <c r="F760" s="938">
        <f t="shared" si="30"/>
        <v>0.9671157533356693</v>
      </c>
    </row>
    <row r="761" spans="1:6" ht="15">
      <c r="A761" s="373">
        <v>2720</v>
      </c>
      <c r="B761" s="374" t="s">
        <v>1296</v>
      </c>
      <c r="C761" s="295"/>
      <c r="D761" s="295"/>
      <c r="E761" s="295"/>
      <c r="F761" s="574"/>
    </row>
    <row r="762" spans="1:6" ht="12.75">
      <c r="A762" s="355"/>
      <c r="B762" s="356" t="s">
        <v>1256</v>
      </c>
      <c r="C762" s="295">
        <v>370</v>
      </c>
      <c r="D762" s="295">
        <v>449</v>
      </c>
      <c r="E762" s="295">
        <v>449</v>
      </c>
      <c r="F762" s="574">
        <f t="shared" si="30"/>
        <v>1</v>
      </c>
    </row>
    <row r="763" spans="1:6" ht="12.75">
      <c r="A763" s="355"/>
      <c r="B763" s="356" t="s">
        <v>1257</v>
      </c>
      <c r="C763" s="295">
        <v>15000</v>
      </c>
      <c r="D763" s="295">
        <v>15000</v>
      </c>
      <c r="E763" s="295">
        <v>12971</v>
      </c>
      <c r="F763" s="574">
        <f t="shared" si="30"/>
        <v>0.8647333333333334</v>
      </c>
    </row>
    <row r="764" spans="1:6" ht="12.75">
      <c r="A764" s="355"/>
      <c r="B764" s="356" t="s">
        <v>1258</v>
      </c>
      <c r="C764" s="295"/>
      <c r="D764" s="295">
        <v>609</v>
      </c>
      <c r="E764" s="295">
        <v>662</v>
      </c>
      <c r="F764" s="574">
        <f t="shared" si="30"/>
        <v>1.0870279146141215</v>
      </c>
    </row>
    <row r="765" spans="1:6" ht="12.75">
      <c r="A765" s="355"/>
      <c r="B765" s="356" t="s">
        <v>1259</v>
      </c>
      <c r="C765" s="295">
        <v>10600</v>
      </c>
      <c r="D765" s="295">
        <v>10600</v>
      </c>
      <c r="E765" s="295">
        <v>12660</v>
      </c>
      <c r="F765" s="574">
        <f t="shared" si="30"/>
        <v>1.1943396226415095</v>
      </c>
    </row>
    <row r="766" spans="1:6" ht="12.75">
      <c r="A766" s="355"/>
      <c r="B766" s="356" t="s">
        <v>1260</v>
      </c>
      <c r="C766" s="295">
        <v>4000</v>
      </c>
      <c r="D766" s="295">
        <v>4000</v>
      </c>
      <c r="E766" s="295">
        <v>3722</v>
      </c>
      <c r="F766" s="574">
        <f t="shared" si="30"/>
        <v>0.9305</v>
      </c>
    </row>
    <row r="767" spans="1:6" ht="13.5" thickBot="1">
      <c r="A767" s="355"/>
      <c r="B767" s="358" t="s">
        <v>1261</v>
      </c>
      <c r="C767" s="382"/>
      <c r="D767" s="382"/>
      <c r="E767" s="382"/>
      <c r="F767" s="576"/>
    </row>
    <row r="768" spans="1:6" ht="13.5" thickBot="1">
      <c r="A768" s="355"/>
      <c r="B768" s="359" t="s">
        <v>1249</v>
      </c>
      <c r="C768" s="386">
        <f>SUM(C762:C767)</f>
        <v>29970</v>
      </c>
      <c r="D768" s="386">
        <f>SUM(D762:D767)</f>
        <v>30658</v>
      </c>
      <c r="E768" s="386">
        <f>SUM(E762:E767)</f>
        <v>30464</v>
      </c>
      <c r="F768" s="938">
        <f t="shared" si="30"/>
        <v>0.9936721247309022</v>
      </c>
    </row>
    <row r="769" spans="1:6" ht="12.75">
      <c r="A769" s="355"/>
      <c r="B769" s="356" t="s">
        <v>1262</v>
      </c>
      <c r="C769" s="295">
        <v>145571</v>
      </c>
      <c r="D769" s="295">
        <v>153186</v>
      </c>
      <c r="E769" s="295">
        <v>132772</v>
      </c>
      <c r="F769" s="574">
        <f t="shared" si="30"/>
        <v>0.8667371691930071</v>
      </c>
    </row>
    <row r="770" spans="1:6" ht="12.75">
      <c r="A770" s="355"/>
      <c r="B770" s="356" t="s">
        <v>1263</v>
      </c>
      <c r="C770" s="295"/>
      <c r="D770" s="295"/>
      <c r="E770" s="295"/>
      <c r="F770" s="574"/>
    </row>
    <row r="771" spans="1:6" ht="13.5" thickBot="1">
      <c r="A771" s="355"/>
      <c r="B771" s="356" t="s">
        <v>1264</v>
      </c>
      <c r="C771" s="382"/>
      <c r="D771" s="382"/>
      <c r="E771" s="382"/>
      <c r="F771" s="576"/>
    </row>
    <row r="772" spans="1:6" ht="13.5" thickBot="1">
      <c r="A772" s="360"/>
      <c r="B772" s="361" t="s">
        <v>1252</v>
      </c>
      <c r="C772" s="298">
        <f>SUM(C769:C771)</f>
        <v>145571</v>
      </c>
      <c r="D772" s="298">
        <f>SUM(D769:D771)</f>
        <v>153186</v>
      </c>
      <c r="E772" s="298">
        <f>SUM(E769:E771)</f>
        <v>132772</v>
      </c>
      <c r="F772" s="938">
        <f t="shared" si="30"/>
        <v>0.8667371691930071</v>
      </c>
    </row>
    <row r="773" spans="1:6" ht="13.5" thickBot="1">
      <c r="A773" s="357"/>
      <c r="B773" s="362" t="s">
        <v>1253</v>
      </c>
      <c r="C773" s="381"/>
      <c r="D773" s="381"/>
      <c r="E773" s="381"/>
      <c r="F773" s="942"/>
    </row>
    <row r="774" spans="1:6" ht="13.5" thickBot="1">
      <c r="A774" s="357"/>
      <c r="B774" s="362" t="s">
        <v>234</v>
      </c>
      <c r="C774" s="381"/>
      <c r="D774" s="381"/>
      <c r="E774" s="386">
        <v>13685</v>
      </c>
      <c r="F774" s="942"/>
    </row>
    <row r="775" spans="1:6" ht="13.5" thickBot="1">
      <c r="A775" s="357"/>
      <c r="B775" s="363" t="s">
        <v>1254</v>
      </c>
      <c r="C775" s="386">
        <f>SUM(C772+C768+C773)</f>
        <v>175541</v>
      </c>
      <c r="D775" s="386">
        <f>SUM(D772+D768+D773)</f>
        <v>183844</v>
      </c>
      <c r="E775" s="386">
        <f>SUM(E772+E768+E773+E774)</f>
        <v>176921</v>
      </c>
      <c r="F775" s="938">
        <f t="shared" si="30"/>
        <v>0.9623430734753378</v>
      </c>
    </row>
    <row r="776" spans="1:6" ht="13.5" thickBot="1">
      <c r="A776" s="355"/>
      <c r="B776" s="359" t="s">
        <v>1267</v>
      </c>
      <c r="C776" s="381"/>
      <c r="D776" s="381"/>
      <c r="E776" s="381"/>
      <c r="F776" s="942"/>
    </row>
    <row r="777" spans="1:6" ht="12.75">
      <c r="A777" s="355"/>
      <c r="B777" s="356" t="s">
        <v>1265</v>
      </c>
      <c r="C777" s="295"/>
      <c r="D777" s="295">
        <v>17216</v>
      </c>
      <c r="E777" s="295">
        <v>17216</v>
      </c>
      <c r="F777" s="574">
        <f t="shared" si="30"/>
        <v>1</v>
      </c>
    </row>
    <row r="778" spans="1:6" ht="13.5" thickBot="1">
      <c r="A778" s="355"/>
      <c r="B778" s="364" t="s">
        <v>1266</v>
      </c>
      <c r="C778" s="382"/>
      <c r="D778" s="382">
        <v>977</v>
      </c>
      <c r="E778" s="382">
        <v>977</v>
      </c>
      <c r="F778" s="576">
        <f t="shared" si="30"/>
        <v>1</v>
      </c>
    </row>
    <row r="779" spans="1:6" ht="13.5" thickBot="1">
      <c r="A779" s="365"/>
      <c r="B779" s="362" t="s">
        <v>1255</v>
      </c>
      <c r="C779" s="382"/>
      <c r="D779" s="298">
        <f>SUM(D777:D778)</f>
        <v>18193</v>
      </c>
      <c r="E779" s="298">
        <f>SUM(E777:E778)</f>
        <v>18193</v>
      </c>
      <c r="F779" s="938">
        <f t="shared" si="30"/>
        <v>1</v>
      </c>
    </row>
    <row r="780" spans="1:6" ht="15.75" thickBot="1">
      <c r="A780" s="365"/>
      <c r="B780" s="366" t="s">
        <v>1268</v>
      </c>
      <c r="C780" s="388">
        <f>SUM(C775+C776+C779)</f>
        <v>175541</v>
      </c>
      <c r="D780" s="388">
        <f>SUM(D775+D776+D779)</f>
        <v>202037</v>
      </c>
      <c r="E780" s="388">
        <f>SUM(E775+E776+E779)</f>
        <v>195114</v>
      </c>
      <c r="F780" s="938">
        <f t="shared" si="30"/>
        <v>0.965733999217965</v>
      </c>
    </row>
    <row r="781" spans="1:6" ht="12.75">
      <c r="A781" s="353"/>
      <c r="B781" s="367" t="s">
        <v>1269</v>
      </c>
      <c r="C781" s="295">
        <v>116332</v>
      </c>
      <c r="D781" s="295">
        <v>131743</v>
      </c>
      <c r="E781" s="295">
        <v>122137</v>
      </c>
      <c r="F781" s="574">
        <f t="shared" si="30"/>
        <v>0.9270853100354478</v>
      </c>
    </row>
    <row r="782" spans="1:6" ht="12.75">
      <c r="A782" s="353"/>
      <c r="B782" s="367" t="s">
        <v>1270</v>
      </c>
      <c r="C782" s="295">
        <v>30611</v>
      </c>
      <c r="D782" s="295">
        <v>35122</v>
      </c>
      <c r="E782" s="295">
        <v>32158</v>
      </c>
      <c r="F782" s="574">
        <f t="shared" si="30"/>
        <v>0.9156084505438187</v>
      </c>
    </row>
    <row r="783" spans="1:6" ht="12.75">
      <c r="A783" s="353"/>
      <c r="B783" s="367" t="s">
        <v>1271</v>
      </c>
      <c r="C783" s="295">
        <v>28598</v>
      </c>
      <c r="D783" s="295">
        <v>33585</v>
      </c>
      <c r="E783" s="295">
        <v>24639</v>
      </c>
      <c r="F783" s="574">
        <f>SUM(E783/D783)</f>
        <v>0.7336310853059401</v>
      </c>
    </row>
    <row r="784" spans="1:6" ht="12.75">
      <c r="A784" s="353"/>
      <c r="B784" s="367" t="s">
        <v>1274</v>
      </c>
      <c r="C784" s="295"/>
      <c r="D784" s="295"/>
      <c r="E784" s="295"/>
      <c r="F784" s="574"/>
    </row>
    <row r="785" spans="1:6" ht="13.5" thickBot="1">
      <c r="A785" s="353"/>
      <c r="B785" s="368" t="s">
        <v>1275</v>
      </c>
      <c r="C785" s="382"/>
      <c r="D785" s="382"/>
      <c r="E785" s="382"/>
      <c r="F785" s="576"/>
    </row>
    <row r="786" spans="1:6" ht="13.5" thickBot="1">
      <c r="A786" s="353"/>
      <c r="B786" s="369" t="s">
        <v>868</v>
      </c>
      <c r="C786" s="386">
        <f>SUM(C781:C785)</f>
        <v>175541</v>
      </c>
      <c r="D786" s="386">
        <f>SUM(D781:D785)</f>
        <v>200450</v>
      </c>
      <c r="E786" s="386">
        <f>SUM(E781:E785)</f>
        <v>178934</v>
      </c>
      <c r="F786" s="938">
        <f>SUM(E786/D786)</f>
        <v>0.8926615115989025</v>
      </c>
    </row>
    <row r="787" spans="1:6" ht="12.75">
      <c r="A787" s="353"/>
      <c r="B787" s="367" t="s">
        <v>1276</v>
      </c>
      <c r="C787" s="295"/>
      <c r="D787" s="295">
        <v>610</v>
      </c>
      <c r="E787" s="295">
        <v>1133</v>
      </c>
      <c r="F787" s="574">
        <f>SUM(E787/D787)</f>
        <v>1.8573770491803279</v>
      </c>
    </row>
    <row r="788" spans="1:6" ht="12.75">
      <c r="A788" s="353"/>
      <c r="B788" s="367" t="s">
        <v>1277</v>
      </c>
      <c r="C788" s="295"/>
      <c r="D788" s="295">
        <v>977</v>
      </c>
      <c r="E788" s="295">
        <v>346</v>
      </c>
      <c r="F788" s="574">
        <f>SUM(E788/D788)</f>
        <v>0.3541453428863869</v>
      </c>
    </row>
    <row r="789" spans="1:6" ht="13.5" thickBot="1">
      <c r="A789" s="353"/>
      <c r="B789" s="370" t="s">
        <v>1278</v>
      </c>
      <c r="C789" s="382"/>
      <c r="D789" s="382"/>
      <c r="E789" s="382"/>
      <c r="F789" s="576"/>
    </row>
    <row r="790" spans="1:6" ht="13.5" thickBot="1">
      <c r="A790" s="353"/>
      <c r="B790" s="372" t="s">
        <v>874</v>
      </c>
      <c r="C790" s="381"/>
      <c r="D790" s="386">
        <f>SUM(D787:D789)</f>
        <v>1587</v>
      </c>
      <c r="E790" s="386">
        <f>SUM(E787:E789)</f>
        <v>1479</v>
      </c>
      <c r="F790" s="941">
        <f>SUM(E790/D790)</f>
        <v>0.9319470699432892</v>
      </c>
    </row>
    <row r="791" spans="1:6" ht="13.5" thickBot="1">
      <c r="A791" s="353"/>
      <c r="B791" s="613" t="s">
        <v>233</v>
      </c>
      <c r="C791" s="381"/>
      <c r="D791" s="386"/>
      <c r="E791" s="381">
        <v>-3476</v>
      </c>
      <c r="F791" s="942"/>
    </row>
    <row r="792" spans="1:6" ht="15.75" thickBot="1">
      <c r="A792" s="371"/>
      <c r="B792" s="354" t="s">
        <v>890</v>
      </c>
      <c r="C792" s="388">
        <f>SUM(C786+C790)</f>
        <v>175541</v>
      </c>
      <c r="D792" s="388">
        <f>SUM(D786+D790)</f>
        <v>202037</v>
      </c>
      <c r="E792" s="388">
        <f>SUM(E786+E790+E791)</f>
        <v>176937</v>
      </c>
      <c r="F792" s="938">
        <f>SUM(E792/D792)</f>
        <v>0.8757653301128011</v>
      </c>
    </row>
    <row r="793" spans="1:6" ht="15">
      <c r="A793" s="373">
        <v>2780</v>
      </c>
      <c r="B793" s="374" t="s">
        <v>280</v>
      </c>
      <c r="C793" s="295"/>
      <c r="D793" s="295"/>
      <c r="E793" s="295"/>
      <c r="F793" s="574"/>
    </row>
    <row r="794" spans="1:6" ht="12.75">
      <c r="A794" s="355"/>
      <c r="B794" s="356" t="s">
        <v>1256</v>
      </c>
      <c r="C794" s="295"/>
      <c r="D794" s="295"/>
      <c r="E794" s="295"/>
      <c r="F794" s="574"/>
    </row>
    <row r="795" spans="1:6" ht="12.75">
      <c r="A795" s="355"/>
      <c r="B795" s="356" t="s">
        <v>1257</v>
      </c>
      <c r="C795" s="295"/>
      <c r="D795" s="295"/>
      <c r="E795" s="295"/>
      <c r="F795" s="574"/>
    </row>
    <row r="796" spans="1:6" ht="12.75">
      <c r="A796" s="355"/>
      <c r="B796" s="356" t="s">
        <v>1258</v>
      </c>
      <c r="C796" s="295"/>
      <c r="D796" s="295"/>
      <c r="E796" s="295"/>
      <c r="F796" s="574"/>
    </row>
    <row r="797" spans="1:6" ht="12.75">
      <c r="A797" s="355"/>
      <c r="B797" s="356" t="s">
        <v>1259</v>
      </c>
      <c r="C797" s="295"/>
      <c r="D797" s="295"/>
      <c r="E797" s="295"/>
      <c r="F797" s="574"/>
    </row>
    <row r="798" spans="1:6" ht="12.75">
      <c r="A798" s="355"/>
      <c r="B798" s="356" t="s">
        <v>1260</v>
      </c>
      <c r="C798" s="295"/>
      <c r="D798" s="295"/>
      <c r="E798" s="295"/>
      <c r="F798" s="574"/>
    </row>
    <row r="799" spans="1:6" ht="13.5" thickBot="1">
      <c r="A799" s="355"/>
      <c r="B799" s="358" t="s">
        <v>1261</v>
      </c>
      <c r="C799" s="382"/>
      <c r="D799" s="382"/>
      <c r="E799" s="382"/>
      <c r="F799" s="576"/>
    </row>
    <row r="800" spans="1:6" ht="13.5" thickBot="1">
      <c r="A800" s="355"/>
      <c r="B800" s="359" t="s">
        <v>1249</v>
      </c>
      <c r="C800" s="386">
        <f>SUM(C794:C799)</f>
        <v>0</v>
      </c>
      <c r="D800" s="386">
        <f>SUM(D794:D799)</f>
        <v>0</v>
      </c>
      <c r="E800" s="386">
        <f>SUM(E794:E799)</f>
        <v>0</v>
      </c>
      <c r="F800" s="576"/>
    </row>
    <row r="801" spans="1:6" ht="12.75">
      <c r="A801" s="355"/>
      <c r="B801" s="356" t="s">
        <v>1262</v>
      </c>
      <c r="C801" s="295"/>
      <c r="D801" s="295">
        <v>2300</v>
      </c>
      <c r="E801" s="295">
        <v>187</v>
      </c>
      <c r="F801" s="574">
        <f>SUM(E801/D801)</f>
        <v>0.08130434782608696</v>
      </c>
    </row>
    <row r="802" spans="1:6" ht="12.75">
      <c r="A802" s="355"/>
      <c r="B802" s="356" t="s">
        <v>1263</v>
      </c>
      <c r="C802" s="295"/>
      <c r="D802" s="295"/>
      <c r="E802" s="295"/>
      <c r="F802" s="574"/>
    </row>
    <row r="803" spans="1:6" ht="13.5" thickBot="1">
      <c r="A803" s="355"/>
      <c r="B803" s="356" t="s">
        <v>1264</v>
      </c>
      <c r="C803" s="382"/>
      <c r="D803" s="382"/>
      <c r="E803" s="382"/>
      <c r="F803" s="576"/>
    </row>
    <row r="804" spans="1:6" ht="13.5" thickBot="1">
      <c r="A804" s="360"/>
      <c r="B804" s="361" t="s">
        <v>1252</v>
      </c>
      <c r="C804" s="298">
        <f>SUM(C801:C803)</f>
        <v>0</v>
      </c>
      <c r="D804" s="298">
        <f>SUM(D801:D803)</f>
        <v>2300</v>
      </c>
      <c r="E804" s="298">
        <f>SUM(E801:E803)</f>
        <v>187</v>
      </c>
      <c r="F804" s="938">
        <f>SUM(E804/D804)</f>
        <v>0.08130434782608696</v>
      </c>
    </row>
    <row r="805" spans="1:6" ht="13.5" thickBot="1">
      <c r="A805" s="357"/>
      <c r="B805" s="362" t="s">
        <v>1253</v>
      </c>
      <c r="C805" s="381"/>
      <c r="D805" s="381"/>
      <c r="E805" s="381"/>
      <c r="F805" s="942"/>
    </row>
    <row r="806" spans="1:6" ht="13.5" thickBot="1">
      <c r="A806" s="357"/>
      <c r="B806" s="362" t="s">
        <v>234</v>
      </c>
      <c r="C806" s="381"/>
      <c r="D806" s="381"/>
      <c r="E806" s="381"/>
      <c r="F806" s="942"/>
    </row>
    <row r="807" spans="1:6" ht="13.5" thickBot="1">
      <c r="A807" s="357"/>
      <c r="B807" s="363" t="s">
        <v>1254</v>
      </c>
      <c r="C807" s="386">
        <f>SUM(C804+C800+C805)</f>
        <v>0</v>
      </c>
      <c r="D807" s="386">
        <f>SUM(D804+D800+D805)</f>
        <v>2300</v>
      </c>
      <c r="E807" s="386">
        <f>SUM(E804+E800+E805)</f>
        <v>187</v>
      </c>
      <c r="F807" s="938">
        <f>SUM(E807/D807)</f>
        <v>0.08130434782608696</v>
      </c>
    </row>
    <row r="808" spans="1:6" ht="13.5" thickBot="1">
      <c r="A808" s="355"/>
      <c r="B808" s="359" t="s">
        <v>1267</v>
      </c>
      <c r="C808" s="381"/>
      <c r="D808" s="381"/>
      <c r="E808" s="381"/>
      <c r="F808" s="942"/>
    </row>
    <row r="809" spans="1:6" ht="12.75">
      <c r="A809" s="355"/>
      <c r="B809" s="356" t="s">
        <v>1265</v>
      </c>
      <c r="C809" s="295"/>
      <c r="D809" s="295"/>
      <c r="E809" s="295"/>
      <c r="F809" s="574"/>
    </row>
    <row r="810" spans="1:6" ht="13.5" thickBot="1">
      <c r="A810" s="355"/>
      <c r="B810" s="364" t="s">
        <v>1266</v>
      </c>
      <c r="C810" s="382"/>
      <c r="D810" s="382"/>
      <c r="E810" s="382"/>
      <c r="F810" s="576"/>
    </row>
    <row r="811" spans="1:6" ht="13.5" thickBot="1">
      <c r="A811" s="365"/>
      <c r="B811" s="362" t="s">
        <v>1255</v>
      </c>
      <c r="C811" s="382"/>
      <c r="D811" s="298">
        <f>SUM(D809:D810)</f>
        <v>0</v>
      </c>
      <c r="E811" s="298">
        <f>SUM(E809:E810)</f>
        <v>0</v>
      </c>
      <c r="F811" s="942"/>
    </row>
    <row r="812" spans="1:6" ht="13.5" thickBot="1">
      <c r="A812" s="365"/>
      <c r="B812" s="614" t="s">
        <v>235</v>
      </c>
      <c r="C812" s="382"/>
      <c r="D812" s="298"/>
      <c r="E812" s="382">
        <v>11801</v>
      </c>
      <c r="F812" s="942"/>
    </row>
    <row r="813" spans="1:6" ht="15.75" thickBot="1">
      <c r="A813" s="365"/>
      <c r="B813" s="366" t="s">
        <v>1268</v>
      </c>
      <c r="C813" s="388">
        <f>SUM(C807+C808+C811)</f>
        <v>0</v>
      </c>
      <c r="D813" s="388">
        <f>SUM(D807+D808+D811)</f>
        <v>2300</v>
      </c>
      <c r="E813" s="388">
        <f>SUM(E807+E808+E811)</f>
        <v>187</v>
      </c>
      <c r="F813" s="938">
        <f>SUM(E813/D813)</f>
        <v>0.08130434782608696</v>
      </c>
    </row>
    <row r="814" spans="1:6" ht="12.75">
      <c r="A814" s="353"/>
      <c r="B814" s="367" t="s">
        <v>1269</v>
      </c>
      <c r="C814" s="295"/>
      <c r="D814" s="295">
        <v>1181</v>
      </c>
      <c r="E814" s="295"/>
      <c r="F814" s="574">
        <f>SUM(E814/D814)</f>
        <v>0</v>
      </c>
    </row>
    <row r="815" spans="1:6" ht="12.75">
      <c r="A815" s="353"/>
      <c r="B815" s="367" t="s">
        <v>1270</v>
      </c>
      <c r="C815" s="295"/>
      <c r="D815" s="295">
        <v>319</v>
      </c>
      <c r="E815" s="295"/>
      <c r="F815" s="574">
        <f>SUM(E815/D815)</f>
        <v>0</v>
      </c>
    </row>
    <row r="816" spans="1:6" ht="12.75">
      <c r="A816" s="353"/>
      <c r="B816" s="367" t="s">
        <v>1271</v>
      </c>
      <c r="C816" s="295"/>
      <c r="D816" s="295">
        <v>800</v>
      </c>
      <c r="E816" s="295">
        <v>14</v>
      </c>
      <c r="F816" s="574">
        <f>SUM(E816/D816)</f>
        <v>0.0175</v>
      </c>
    </row>
    <row r="817" spans="1:6" ht="12.75">
      <c r="A817" s="353"/>
      <c r="B817" s="367" t="s">
        <v>1274</v>
      </c>
      <c r="C817" s="295"/>
      <c r="D817" s="295"/>
      <c r="E817" s="295"/>
      <c r="F817" s="574"/>
    </row>
    <row r="818" spans="1:6" ht="13.5" thickBot="1">
      <c r="A818" s="353"/>
      <c r="B818" s="368" t="s">
        <v>1275</v>
      </c>
      <c r="C818" s="382"/>
      <c r="D818" s="382"/>
      <c r="E818" s="382"/>
      <c r="F818" s="576"/>
    </row>
    <row r="819" spans="1:6" ht="13.5" thickBot="1">
      <c r="A819" s="353"/>
      <c r="B819" s="369" t="s">
        <v>868</v>
      </c>
      <c r="C819" s="386">
        <f>SUM(C814:C818)</f>
        <v>0</v>
      </c>
      <c r="D819" s="386">
        <f>SUM(D814:D818)</f>
        <v>2300</v>
      </c>
      <c r="E819" s="386">
        <f>SUM(E814:E818)</f>
        <v>14</v>
      </c>
      <c r="F819" s="938">
        <f>SUM(E819/D819)</f>
        <v>0.00608695652173913</v>
      </c>
    </row>
    <row r="820" spans="1:6" ht="12.75">
      <c r="A820" s="353"/>
      <c r="B820" s="367" t="s">
        <v>1276</v>
      </c>
      <c r="C820" s="295"/>
      <c r="D820" s="295"/>
      <c r="E820" s="295"/>
      <c r="F820" s="574"/>
    </row>
    <row r="821" spans="1:6" ht="12.75">
      <c r="A821" s="353"/>
      <c r="B821" s="367" t="s">
        <v>1277</v>
      </c>
      <c r="C821" s="295"/>
      <c r="D821" s="295"/>
      <c r="E821" s="295">
        <v>136</v>
      </c>
      <c r="F821" s="574"/>
    </row>
    <row r="822" spans="1:6" ht="13.5" thickBot="1">
      <c r="A822" s="353"/>
      <c r="B822" s="370" t="s">
        <v>1278</v>
      </c>
      <c r="C822" s="382"/>
      <c r="D822" s="382"/>
      <c r="E822" s="382"/>
      <c r="F822" s="576"/>
    </row>
    <row r="823" spans="1:6" ht="13.5" thickBot="1">
      <c r="A823" s="353"/>
      <c r="B823" s="372" t="s">
        <v>874</v>
      </c>
      <c r="C823" s="381"/>
      <c r="D823" s="386">
        <f>SUM(D820:D822)</f>
        <v>0</v>
      </c>
      <c r="E823" s="386">
        <f>SUM(E820:E822)</f>
        <v>136</v>
      </c>
      <c r="F823" s="942"/>
    </row>
    <row r="824" spans="1:6" ht="13.5" thickBot="1">
      <c r="A824" s="353"/>
      <c r="B824" s="613" t="s">
        <v>233</v>
      </c>
      <c r="C824" s="381"/>
      <c r="D824" s="386"/>
      <c r="E824" s="386">
        <v>375</v>
      </c>
      <c r="F824" s="942"/>
    </row>
    <row r="825" spans="1:6" ht="15.75" thickBot="1">
      <c r="A825" s="371"/>
      <c r="B825" s="354" t="s">
        <v>890</v>
      </c>
      <c r="C825" s="388">
        <f>SUM(C819+C823)</f>
        <v>0</v>
      </c>
      <c r="D825" s="388">
        <f>SUM(D819+D823)</f>
        <v>2300</v>
      </c>
      <c r="E825" s="388">
        <f>SUM(E819+E823+E824)</f>
        <v>525</v>
      </c>
      <c r="F825" s="576">
        <f>SUM(E825/D825)</f>
        <v>0.22826086956521738</v>
      </c>
    </row>
    <row r="826" spans="1:6" ht="15">
      <c r="A826" s="373">
        <v>2790</v>
      </c>
      <c r="B826" s="374" t="s">
        <v>278</v>
      </c>
      <c r="C826" s="295"/>
      <c r="D826" s="295"/>
      <c r="E826" s="295"/>
      <c r="F826" s="574"/>
    </row>
    <row r="827" spans="1:6" ht="12.75">
      <c r="A827" s="355"/>
      <c r="B827" s="356" t="s">
        <v>1256</v>
      </c>
      <c r="C827" s="295"/>
      <c r="D827" s="295"/>
      <c r="E827" s="295"/>
      <c r="F827" s="574"/>
    </row>
    <row r="828" spans="1:6" ht="12.75">
      <c r="A828" s="355"/>
      <c r="B828" s="356" t="s">
        <v>1257</v>
      </c>
      <c r="C828" s="295"/>
      <c r="D828" s="295"/>
      <c r="E828" s="295"/>
      <c r="F828" s="574"/>
    </row>
    <row r="829" spans="1:6" ht="12.75">
      <c r="A829" s="355"/>
      <c r="B829" s="356" t="s">
        <v>1258</v>
      </c>
      <c r="C829" s="295"/>
      <c r="D829" s="295"/>
      <c r="E829" s="295"/>
      <c r="F829" s="574"/>
    </row>
    <row r="830" spans="1:6" ht="12.75">
      <c r="A830" s="355"/>
      <c r="B830" s="356" t="s">
        <v>1259</v>
      </c>
      <c r="C830" s="295"/>
      <c r="D830" s="295">
        <v>245</v>
      </c>
      <c r="E830" s="295">
        <v>989</v>
      </c>
      <c r="F830" s="574">
        <f>SUM(E830/D830)</f>
        <v>4.036734693877551</v>
      </c>
    </row>
    <row r="831" spans="1:6" ht="12.75">
      <c r="A831" s="355"/>
      <c r="B831" s="356" t="s">
        <v>1260</v>
      </c>
      <c r="C831" s="295"/>
      <c r="D831" s="295"/>
      <c r="E831" s="295"/>
      <c r="F831" s="574"/>
    </row>
    <row r="832" spans="1:6" ht="13.5" thickBot="1">
      <c r="A832" s="355"/>
      <c r="B832" s="358" t="s">
        <v>1261</v>
      </c>
      <c r="C832" s="382"/>
      <c r="D832" s="382"/>
      <c r="E832" s="382"/>
      <c r="F832" s="576"/>
    </row>
    <row r="833" spans="1:6" ht="13.5" thickBot="1">
      <c r="A833" s="355"/>
      <c r="B833" s="359" t="s">
        <v>1249</v>
      </c>
      <c r="C833" s="386">
        <f>SUM(C827:C832)</f>
        <v>0</v>
      </c>
      <c r="D833" s="386">
        <f>SUM(D827:D832)</f>
        <v>245</v>
      </c>
      <c r="E833" s="386">
        <f>SUM(E827:E832)</f>
        <v>989</v>
      </c>
      <c r="F833" s="938">
        <f>SUM(E833/D833)</f>
        <v>4.036734693877551</v>
      </c>
    </row>
    <row r="834" spans="1:6" ht="12.75">
      <c r="A834" s="355"/>
      <c r="B834" s="356" t="s">
        <v>1262</v>
      </c>
      <c r="C834" s="295">
        <v>122262</v>
      </c>
      <c r="D834" s="295">
        <v>139917</v>
      </c>
      <c r="E834" s="295">
        <v>132360</v>
      </c>
      <c r="F834" s="574">
        <f>SUM(E834/D834)</f>
        <v>0.945989408006175</v>
      </c>
    </row>
    <row r="835" spans="1:6" ht="12.75">
      <c r="A835" s="355"/>
      <c r="B835" s="356" t="s">
        <v>1263</v>
      </c>
      <c r="C835" s="295"/>
      <c r="D835" s="295"/>
      <c r="E835" s="295"/>
      <c r="F835" s="574"/>
    </row>
    <row r="836" spans="1:6" ht="13.5" thickBot="1">
      <c r="A836" s="355"/>
      <c r="B836" s="356" t="s">
        <v>1264</v>
      </c>
      <c r="C836" s="382"/>
      <c r="D836" s="382"/>
      <c r="E836" s="382"/>
      <c r="F836" s="576"/>
    </row>
    <row r="837" spans="1:6" ht="13.5" thickBot="1">
      <c r="A837" s="360"/>
      <c r="B837" s="361" t="s">
        <v>1252</v>
      </c>
      <c r="C837" s="298">
        <f>SUM(C834:C836)</f>
        <v>122262</v>
      </c>
      <c r="D837" s="298">
        <f>SUM(D834:D836)</f>
        <v>139917</v>
      </c>
      <c r="E837" s="298">
        <f>SUM(E834:E836)</f>
        <v>132360</v>
      </c>
      <c r="F837" s="938">
        <f>SUM(E837/D837)</f>
        <v>0.945989408006175</v>
      </c>
    </row>
    <row r="838" spans="1:6" ht="13.5" thickBot="1">
      <c r="A838" s="357"/>
      <c r="B838" s="362" t="s">
        <v>1253</v>
      </c>
      <c r="C838" s="381"/>
      <c r="D838" s="381">
        <v>200</v>
      </c>
      <c r="E838" s="381">
        <v>200</v>
      </c>
      <c r="F838" s="942">
        <f>SUM(E838/D838)</f>
        <v>1</v>
      </c>
    </row>
    <row r="839" spans="1:6" ht="13.5" thickBot="1">
      <c r="A839" s="357"/>
      <c r="B839" s="363" t="s">
        <v>1254</v>
      </c>
      <c r="C839" s="386">
        <f>SUM(C837+C833+C838)</f>
        <v>122262</v>
      </c>
      <c r="D839" s="386">
        <f>SUM(D837+D833+D838)</f>
        <v>140362</v>
      </c>
      <c r="E839" s="386">
        <f>SUM(E837+E833+E838)</f>
        <v>133549</v>
      </c>
      <c r="F839" s="938">
        <f>SUM(E839/D839)</f>
        <v>0.9514612216981804</v>
      </c>
    </row>
    <row r="840" spans="1:6" ht="13.5" thickBot="1">
      <c r="A840" s="355"/>
      <c r="B840" s="359" t="s">
        <v>1267</v>
      </c>
      <c r="C840" s="381"/>
      <c r="D840" s="381"/>
      <c r="E840" s="381"/>
      <c r="F840" s="942"/>
    </row>
    <row r="841" spans="1:6" ht="12.75">
      <c r="A841" s="355"/>
      <c r="B841" s="356" t="s">
        <v>1265</v>
      </c>
      <c r="C841" s="295"/>
      <c r="D841" s="295">
        <v>442</v>
      </c>
      <c r="E841" s="295">
        <v>442</v>
      </c>
      <c r="F841" s="574">
        <f>SUM(E841/D841)</f>
        <v>1</v>
      </c>
    </row>
    <row r="842" spans="1:6" ht="13.5" thickBot="1">
      <c r="A842" s="355"/>
      <c r="B842" s="364" t="s">
        <v>1266</v>
      </c>
      <c r="C842" s="382"/>
      <c r="D842" s="382"/>
      <c r="E842" s="382"/>
      <c r="F842" s="576"/>
    </row>
    <row r="843" spans="1:6" ht="13.5" thickBot="1">
      <c r="A843" s="365"/>
      <c r="B843" s="362" t="s">
        <v>1255</v>
      </c>
      <c r="C843" s="382"/>
      <c r="D843" s="298">
        <f>SUM(D841:D842)</f>
        <v>442</v>
      </c>
      <c r="E843" s="298">
        <f>SUM(E841:E842)</f>
        <v>442</v>
      </c>
      <c r="F843" s="938">
        <f>SUM(E843/D843)</f>
        <v>1</v>
      </c>
    </row>
    <row r="844" spans="1:6" ht="15.75" thickBot="1">
      <c r="A844" s="365"/>
      <c r="B844" s="366" t="s">
        <v>1268</v>
      </c>
      <c r="C844" s="388">
        <f>SUM(C839+C840+C843)</f>
        <v>122262</v>
      </c>
      <c r="D844" s="388">
        <f>SUM(D839+D840+D843)</f>
        <v>140804</v>
      </c>
      <c r="E844" s="388">
        <f>SUM(E839+E840+E843)</f>
        <v>133991</v>
      </c>
      <c r="F844" s="938">
        <f>SUM(E844/D844)</f>
        <v>0.9516135905229965</v>
      </c>
    </row>
    <row r="845" spans="1:6" ht="12.75">
      <c r="A845" s="353"/>
      <c r="B845" s="367" t="s">
        <v>1269</v>
      </c>
      <c r="C845" s="295">
        <v>90026</v>
      </c>
      <c r="D845" s="295">
        <v>99215</v>
      </c>
      <c r="E845" s="295">
        <v>91630</v>
      </c>
      <c r="F845" s="574">
        <f>SUM(E845/D845)</f>
        <v>0.9235498664516454</v>
      </c>
    </row>
    <row r="846" spans="1:6" ht="12.75">
      <c r="A846" s="353"/>
      <c r="B846" s="367" t="s">
        <v>1270</v>
      </c>
      <c r="C846" s="295">
        <v>23736</v>
      </c>
      <c r="D846" s="295">
        <v>26152</v>
      </c>
      <c r="E846" s="295">
        <v>23132</v>
      </c>
      <c r="F846" s="574">
        <f>SUM(E846/D846)</f>
        <v>0.8845212603242582</v>
      </c>
    </row>
    <row r="847" spans="1:6" ht="12.75">
      <c r="A847" s="353"/>
      <c r="B847" s="367" t="s">
        <v>1271</v>
      </c>
      <c r="C847" s="295">
        <v>8500</v>
      </c>
      <c r="D847" s="295">
        <v>15437</v>
      </c>
      <c r="E847" s="295">
        <v>16145</v>
      </c>
      <c r="F847" s="574">
        <f>SUM(E847/D847)</f>
        <v>1.0458638336464339</v>
      </c>
    </row>
    <row r="848" spans="1:6" ht="12.75">
      <c r="A848" s="353"/>
      <c r="B848" s="367" t="s">
        <v>1274</v>
      </c>
      <c r="C848" s="295"/>
      <c r="D848" s="295"/>
      <c r="E848" s="295"/>
      <c r="F848" s="574"/>
    </row>
    <row r="849" spans="1:6" ht="13.5" thickBot="1">
      <c r="A849" s="353"/>
      <c r="B849" s="368" t="s">
        <v>1275</v>
      </c>
      <c r="C849" s="382"/>
      <c r="D849" s="382"/>
      <c r="E849" s="382"/>
      <c r="F849" s="576"/>
    </row>
    <row r="850" spans="1:6" ht="13.5" thickBot="1">
      <c r="A850" s="353"/>
      <c r="B850" s="369" t="s">
        <v>868</v>
      </c>
      <c r="C850" s="386">
        <f>SUM(C845:C849)</f>
        <v>122262</v>
      </c>
      <c r="D850" s="386">
        <f>SUM(D845:D849)</f>
        <v>140804</v>
      </c>
      <c r="E850" s="386">
        <f>SUM(E845:E849)</f>
        <v>130907</v>
      </c>
      <c r="F850" s="938">
        <f aca="true" t="shared" si="32" ref="F850:F910">SUM(E850/D850)</f>
        <v>0.9297108036703503</v>
      </c>
    </row>
    <row r="851" spans="1:6" ht="12.75">
      <c r="A851" s="353"/>
      <c r="B851" s="367" t="s">
        <v>1276</v>
      </c>
      <c r="C851" s="295"/>
      <c r="D851" s="295"/>
      <c r="E851" s="295"/>
      <c r="F851" s="574"/>
    </row>
    <row r="852" spans="1:6" ht="12.75">
      <c r="A852" s="353"/>
      <c r="B852" s="367" t="s">
        <v>1277</v>
      </c>
      <c r="C852" s="295"/>
      <c r="D852" s="295"/>
      <c r="E852" s="295"/>
      <c r="F852" s="574"/>
    </row>
    <row r="853" spans="1:6" ht="13.5" thickBot="1">
      <c r="A853" s="353"/>
      <c r="B853" s="370" t="s">
        <v>1278</v>
      </c>
      <c r="C853" s="382"/>
      <c r="D853" s="382"/>
      <c r="E853" s="382"/>
      <c r="F853" s="576"/>
    </row>
    <row r="854" spans="1:6" ht="13.5" thickBot="1">
      <c r="A854" s="353"/>
      <c r="B854" s="372" t="s">
        <v>874</v>
      </c>
      <c r="C854" s="381"/>
      <c r="D854" s="381"/>
      <c r="E854" s="381"/>
      <c r="F854" s="942"/>
    </row>
    <row r="855" spans="1:6" ht="13.5" thickBot="1">
      <c r="A855" s="353"/>
      <c r="B855" s="613" t="s">
        <v>233</v>
      </c>
      <c r="C855" s="381"/>
      <c r="D855" s="381"/>
      <c r="E855" s="381">
        <v>2848</v>
      </c>
      <c r="F855" s="942"/>
    </row>
    <row r="856" spans="1:6" ht="15.75" thickBot="1">
      <c r="A856" s="371"/>
      <c r="B856" s="354" t="s">
        <v>890</v>
      </c>
      <c r="C856" s="388">
        <f>SUM(C850+C854)</f>
        <v>122262</v>
      </c>
      <c r="D856" s="388">
        <f>SUM(D850+D854)</f>
        <v>140804</v>
      </c>
      <c r="E856" s="388">
        <f>SUM(E850+E854+E855)</f>
        <v>133755</v>
      </c>
      <c r="F856" s="938">
        <f t="shared" si="32"/>
        <v>0.9499375017755177</v>
      </c>
    </row>
    <row r="857" spans="1:6" ht="15">
      <c r="A857" s="373">
        <v>2799</v>
      </c>
      <c r="B857" s="374" t="s">
        <v>277</v>
      </c>
      <c r="C857" s="295"/>
      <c r="D857" s="295"/>
      <c r="E857" s="295"/>
      <c r="F857" s="574"/>
    </row>
    <row r="858" spans="1:6" ht="12.75">
      <c r="A858" s="355"/>
      <c r="B858" s="356" t="s">
        <v>1256</v>
      </c>
      <c r="C858" s="384">
        <f aca="true" t="shared" si="33" ref="C858:E863">SUM(C827+C762+C727+C691+C556+C294)</f>
        <v>21720</v>
      </c>
      <c r="D858" s="384">
        <f t="shared" si="33"/>
        <v>8238</v>
      </c>
      <c r="E858" s="384">
        <f t="shared" si="33"/>
        <v>8300</v>
      </c>
      <c r="F858" s="574">
        <f t="shared" si="32"/>
        <v>1.0075260985676135</v>
      </c>
    </row>
    <row r="859" spans="1:6" ht="12.75">
      <c r="A859" s="355"/>
      <c r="B859" s="356" t="s">
        <v>1257</v>
      </c>
      <c r="C859" s="384">
        <f t="shared" si="33"/>
        <v>30631</v>
      </c>
      <c r="D859" s="384">
        <f t="shared" si="33"/>
        <v>34910</v>
      </c>
      <c r="E859" s="384">
        <f t="shared" si="33"/>
        <v>34849</v>
      </c>
      <c r="F859" s="574">
        <f t="shared" si="32"/>
        <v>0.9982526496705815</v>
      </c>
    </row>
    <row r="860" spans="1:6" ht="12.75">
      <c r="A860" s="355"/>
      <c r="B860" s="356" t="s">
        <v>1258</v>
      </c>
      <c r="C860" s="384">
        <f t="shared" si="33"/>
        <v>16332</v>
      </c>
      <c r="D860" s="384">
        <f t="shared" si="33"/>
        <v>58173</v>
      </c>
      <c r="E860" s="384">
        <f t="shared" si="33"/>
        <v>57163</v>
      </c>
      <c r="F860" s="574">
        <f t="shared" si="32"/>
        <v>0.9826379935709005</v>
      </c>
    </row>
    <row r="861" spans="1:6" ht="12.75">
      <c r="A861" s="355"/>
      <c r="B861" s="356" t="s">
        <v>1259</v>
      </c>
      <c r="C861" s="384">
        <f t="shared" si="33"/>
        <v>197586</v>
      </c>
      <c r="D861" s="384">
        <f t="shared" si="33"/>
        <v>192056</v>
      </c>
      <c r="E861" s="384">
        <f t="shared" si="33"/>
        <v>194723</v>
      </c>
      <c r="F861" s="574">
        <f t="shared" si="32"/>
        <v>1.0138865747490315</v>
      </c>
    </row>
    <row r="862" spans="1:6" ht="12.75">
      <c r="A862" s="355"/>
      <c r="B862" s="356" t="s">
        <v>1260</v>
      </c>
      <c r="C862" s="384">
        <f t="shared" si="33"/>
        <v>49607</v>
      </c>
      <c r="D862" s="384">
        <f t="shared" si="33"/>
        <v>55128</v>
      </c>
      <c r="E862" s="384">
        <f t="shared" si="33"/>
        <v>57467</v>
      </c>
      <c r="F862" s="574">
        <f t="shared" si="32"/>
        <v>1.0424285299666232</v>
      </c>
    </row>
    <row r="863" spans="1:6" ht="13.5" thickBot="1">
      <c r="A863" s="355"/>
      <c r="B863" s="358" t="s">
        <v>1261</v>
      </c>
      <c r="C863" s="385">
        <f t="shared" si="33"/>
        <v>0</v>
      </c>
      <c r="D863" s="385">
        <f t="shared" si="33"/>
        <v>0</v>
      </c>
      <c r="E863" s="385">
        <f t="shared" si="33"/>
        <v>25</v>
      </c>
      <c r="F863" s="576"/>
    </row>
    <row r="864" spans="1:6" ht="13.5" thickBot="1">
      <c r="A864" s="355"/>
      <c r="B864" s="359" t="s">
        <v>1249</v>
      </c>
      <c r="C864" s="390">
        <f>SUM(C858:C863)</f>
        <v>315876</v>
      </c>
      <c r="D864" s="390">
        <f>SUM(D858:D863)</f>
        <v>348505</v>
      </c>
      <c r="E864" s="390">
        <f>SUM(E858:E863)</f>
        <v>352527</v>
      </c>
      <c r="F864" s="938">
        <f t="shared" si="32"/>
        <v>1.0115407239494412</v>
      </c>
    </row>
    <row r="865" spans="1:6" ht="12.75">
      <c r="A865" s="355"/>
      <c r="B865" s="356" t="s">
        <v>1262</v>
      </c>
      <c r="C865" s="384">
        <f>SUM(C834+C769+C734+C698+C563+C301)</f>
        <v>3653981</v>
      </c>
      <c r="D865" s="384">
        <f>SUM(D834+D769+D734+D698+D563+D301+D801)</f>
        <v>3861413</v>
      </c>
      <c r="E865" s="384">
        <f>SUM(E834+E769+E734+E698+E563+E301+E801)</f>
        <v>3744056</v>
      </c>
      <c r="F865" s="574">
        <f t="shared" si="32"/>
        <v>0.969607757574753</v>
      </c>
    </row>
    <row r="866" spans="1:6" ht="12.75">
      <c r="A866" s="355"/>
      <c r="B866" s="356" t="s">
        <v>1263</v>
      </c>
      <c r="C866" s="384">
        <f>SUM(C835+C770+C735+C699+C564+C302)</f>
        <v>227892</v>
      </c>
      <c r="D866" s="384">
        <f>SUM(D835+D770+D735+D699+D564+D302)</f>
        <v>227892</v>
      </c>
      <c r="E866" s="384">
        <f>SUM(E835+E770+E735+E699+E564+E302)</f>
        <v>248450</v>
      </c>
      <c r="F866" s="574">
        <f t="shared" si="32"/>
        <v>1.0902093974338722</v>
      </c>
    </row>
    <row r="867" spans="1:6" ht="13.5" thickBot="1">
      <c r="A867" s="355"/>
      <c r="B867" s="356" t="s">
        <v>1264</v>
      </c>
      <c r="C867" s="385">
        <f>SUM(C836+C771+C736+C700+C565+C303)</f>
        <v>0</v>
      </c>
      <c r="D867" s="385">
        <f>SUM(D836+D771+D736+D700+D565+D303)</f>
        <v>0</v>
      </c>
      <c r="E867" s="385">
        <f>SUM(E836+E771+E736+E700+E565+E303)</f>
        <v>0</v>
      </c>
      <c r="F867" s="576"/>
    </row>
    <row r="868" spans="1:6" ht="13.5" thickBot="1">
      <c r="A868" s="360"/>
      <c r="B868" s="361" t="s">
        <v>1252</v>
      </c>
      <c r="C868" s="390">
        <f>SUM(C865:C867)</f>
        <v>3881873</v>
      </c>
      <c r="D868" s="390">
        <f>SUM(D865:D867)</f>
        <v>4089305</v>
      </c>
      <c r="E868" s="390">
        <f>SUM(E865:E867)</f>
        <v>3992506</v>
      </c>
      <c r="F868" s="938">
        <f t="shared" si="32"/>
        <v>0.976328740458342</v>
      </c>
    </row>
    <row r="869" spans="1:6" ht="13.5" thickBot="1">
      <c r="A869" s="357"/>
      <c r="B869" s="362" t="s">
        <v>1253</v>
      </c>
      <c r="C869" s="390">
        <f>SUM(C838+C773+C738+C702+C567+C305)</f>
        <v>0</v>
      </c>
      <c r="D869" s="390">
        <f>SUM(D838+D773+D738+D702+D567+D305)</f>
        <v>25378</v>
      </c>
      <c r="E869" s="390">
        <f>SUM(E838+E773+E738+E702+E567+E305)</f>
        <v>26959</v>
      </c>
      <c r="F869" s="938">
        <f t="shared" si="32"/>
        <v>1.0622980534321065</v>
      </c>
    </row>
    <row r="870" spans="1:6" ht="13.5" thickBot="1">
      <c r="A870" s="357"/>
      <c r="B870" s="233" t="s">
        <v>237</v>
      </c>
      <c r="C870" s="390"/>
      <c r="D870" s="390">
        <f>SUM(D739+D568)</f>
        <v>2972</v>
      </c>
      <c r="E870" s="390">
        <f>SUM(E739+E568+E703)</f>
        <v>13237</v>
      </c>
      <c r="F870" s="938">
        <f t="shared" si="32"/>
        <v>4.453903095558546</v>
      </c>
    </row>
    <row r="871" spans="1:6" ht="13.5" thickBot="1">
      <c r="A871" s="357"/>
      <c r="B871" s="362" t="s">
        <v>234</v>
      </c>
      <c r="C871" s="390"/>
      <c r="D871" s="390">
        <f>SUM(D774+D569+D307+D704)</f>
        <v>0</v>
      </c>
      <c r="E871" s="390">
        <f>SUM(E774+E569+E307+E704)</f>
        <v>39023</v>
      </c>
      <c r="F871" s="942"/>
    </row>
    <row r="872" spans="1:6" ht="13.5" thickBot="1">
      <c r="A872" s="357"/>
      <c r="B872" s="363" t="s">
        <v>1254</v>
      </c>
      <c r="C872" s="390">
        <f>SUM(C868+C869+C864)</f>
        <v>4197749</v>
      </c>
      <c r="D872" s="390">
        <f>SUM(D868+D869+D864+D870+D871)</f>
        <v>4466160</v>
      </c>
      <c r="E872" s="390">
        <f>SUM(E868+E869+E864+E870+E871)</f>
        <v>4424252</v>
      </c>
      <c r="F872" s="938">
        <f t="shared" si="32"/>
        <v>0.9906165475486771</v>
      </c>
    </row>
    <row r="873" spans="1:6" ht="12.75">
      <c r="A873" s="357"/>
      <c r="B873" s="629" t="s">
        <v>264</v>
      </c>
      <c r="C873" s="628"/>
      <c r="D873" s="631">
        <f>SUM(D606)</f>
        <v>2911</v>
      </c>
      <c r="E873" s="631">
        <f>SUM(E606)</f>
        <v>0</v>
      </c>
      <c r="F873" s="574">
        <f t="shared" si="32"/>
        <v>0</v>
      </c>
    </row>
    <row r="874" spans="1:6" ht="13.5" thickBot="1">
      <c r="A874" s="357"/>
      <c r="B874" t="s">
        <v>263</v>
      </c>
      <c r="C874" s="391"/>
      <c r="D874" s="385">
        <f>SUM(D741)</f>
        <v>5348</v>
      </c>
      <c r="E874" s="385">
        <f>SUM(E741)</f>
        <v>5348</v>
      </c>
      <c r="F874" s="576">
        <f t="shared" si="32"/>
        <v>1</v>
      </c>
    </row>
    <row r="875" spans="1:6" ht="13.5" thickBot="1">
      <c r="A875" s="355"/>
      <c r="B875" s="395" t="s">
        <v>1267</v>
      </c>
      <c r="C875" s="383">
        <f aca="true" t="shared" si="34" ref="C875:E878">SUM(C840+C776+C742+C707+C571+C309)</f>
        <v>0</v>
      </c>
      <c r="D875" s="390">
        <f t="shared" si="34"/>
        <v>8259</v>
      </c>
      <c r="E875" s="390">
        <f t="shared" si="34"/>
        <v>5348</v>
      </c>
      <c r="F875" s="938">
        <f t="shared" si="32"/>
        <v>0.6475360213100859</v>
      </c>
    </row>
    <row r="876" spans="1:6" ht="12.75">
      <c r="A876" s="355"/>
      <c r="B876" s="356" t="s">
        <v>1265</v>
      </c>
      <c r="C876" s="384">
        <f t="shared" si="34"/>
        <v>0</v>
      </c>
      <c r="D876" s="384">
        <f t="shared" si="34"/>
        <v>129545</v>
      </c>
      <c r="E876" s="384">
        <f t="shared" si="34"/>
        <v>129545</v>
      </c>
      <c r="F876" s="574">
        <f t="shared" si="32"/>
        <v>1</v>
      </c>
    </row>
    <row r="877" spans="1:6" ht="13.5" thickBot="1">
      <c r="A877" s="355"/>
      <c r="B877" s="364" t="s">
        <v>1266</v>
      </c>
      <c r="C877" s="385">
        <f t="shared" si="34"/>
        <v>0</v>
      </c>
      <c r="D877" s="385">
        <f t="shared" si="34"/>
        <v>977</v>
      </c>
      <c r="E877" s="385">
        <f t="shared" si="34"/>
        <v>977</v>
      </c>
      <c r="F877" s="576">
        <f t="shared" si="32"/>
        <v>1</v>
      </c>
    </row>
    <row r="878" spans="1:6" ht="13.5" thickBot="1">
      <c r="A878" s="365"/>
      <c r="B878" s="362" t="s">
        <v>1255</v>
      </c>
      <c r="C878" s="390">
        <f t="shared" si="34"/>
        <v>0</v>
      </c>
      <c r="D878" s="390">
        <f t="shared" si="34"/>
        <v>130522</v>
      </c>
      <c r="E878" s="390">
        <f t="shared" si="34"/>
        <v>130522</v>
      </c>
      <c r="F878" s="938">
        <f t="shared" si="32"/>
        <v>1</v>
      </c>
    </row>
    <row r="879" spans="1:6" ht="13.5" thickBot="1">
      <c r="A879" s="365"/>
      <c r="B879" s="614" t="s">
        <v>235</v>
      </c>
      <c r="C879" s="390"/>
      <c r="D879" s="383">
        <f>SUM(D746+D711+D575+D313)</f>
        <v>0</v>
      </c>
      <c r="E879" s="383">
        <f>SUM(E746+E711+E575+E313+E812)</f>
        <v>1463</v>
      </c>
      <c r="F879" s="942"/>
    </row>
    <row r="880" spans="1:6" ht="15.75" thickBot="1">
      <c r="A880" s="365"/>
      <c r="B880" s="366" t="s">
        <v>1268</v>
      </c>
      <c r="C880" s="392">
        <f>SUM(C844+C780+C747+C712+C576+C314)</f>
        <v>4197749</v>
      </c>
      <c r="D880" s="392">
        <f aca="true" t="shared" si="35" ref="D880:E883">SUM(D844+D780+D747+D712+D576+D314+D813)</f>
        <v>4605195</v>
      </c>
      <c r="E880" s="392">
        <f t="shared" si="35"/>
        <v>4550038</v>
      </c>
      <c r="F880" s="938">
        <f t="shared" si="32"/>
        <v>0.9880228741671091</v>
      </c>
    </row>
    <row r="881" spans="1:6" ht="12.75">
      <c r="A881" s="353"/>
      <c r="B881" s="367" t="s">
        <v>1269</v>
      </c>
      <c r="C881" s="384">
        <f>SUM(C845+C781+C748+C713+C577+C315)</f>
        <v>2413411</v>
      </c>
      <c r="D881" s="384">
        <f t="shared" si="35"/>
        <v>2541167</v>
      </c>
      <c r="E881" s="384">
        <f t="shared" si="35"/>
        <v>2465445</v>
      </c>
      <c r="F881" s="574">
        <f t="shared" si="32"/>
        <v>0.9702018796875609</v>
      </c>
    </row>
    <row r="882" spans="1:6" ht="12.75">
      <c r="A882" s="353"/>
      <c r="B882" s="367" t="s">
        <v>1270</v>
      </c>
      <c r="C882" s="384">
        <f>SUM(C846+C782+C749+C714+C578+C316)</f>
        <v>632576</v>
      </c>
      <c r="D882" s="384">
        <f t="shared" si="35"/>
        <v>666557</v>
      </c>
      <c r="E882" s="384">
        <f t="shared" si="35"/>
        <v>644379</v>
      </c>
      <c r="F882" s="574">
        <f t="shared" si="32"/>
        <v>0.9667275266781385</v>
      </c>
    </row>
    <row r="883" spans="1:6" ht="12.75">
      <c r="A883" s="353"/>
      <c r="B883" s="367" t="s">
        <v>1271</v>
      </c>
      <c r="C883" s="384">
        <f>SUM(C847+C783+C750+C715+C579+C317)</f>
        <v>1149973</v>
      </c>
      <c r="D883" s="384">
        <f t="shared" si="35"/>
        <v>1358152</v>
      </c>
      <c r="E883" s="384">
        <f t="shared" si="35"/>
        <v>1308896</v>
      </c>
      <c r="F883" s="574">
        <f t="shared" si="32"/>
        <v>0.963733072586868</v>
      </c>
    </row>
    <row r="884" spans="1:6" ht="12.75">
      <c r="A884" s="353"/>
      <c r="B884" s="589" t="s">
        <v>217</v>
      </c>
      <c r="C884" s="384"/>
      <c r="D884" s="591">
        <f>SUM(D751+D716+D580+D318)</f>
        <v>64412</v>
      </c>
      <c r="E884" s="591">
        <f>SUM(E751+E716+E580+E318)</f>
        <v>64412</v>
      </c>
      <c r="F884" s="574">
        <f t="shared" si="32"/>
        <v>1</v>
      </c>
    </row>
    <row r="885" spans="1:6" ht="12.75">
      <c r="A885" s="353"/>
      <c r="B885" s="367" t="s">
        <v>1274</v>
      </c>
      <c r="C885" s="384">
        <f aca="true" t="shared" si="36" ref="C885:E886">SUM(C848+C784+C752+C717+C581+C319)</f>
        <v>0</v>
      </c>
      <c r="D885" s="384">
        <f t="shared" si="36"/>
        <v>10</v>
      </c>
      <c r="E885" s="384">
        <f t="shared" si="36"/>
        <v>5777</v>
      </c>
      <c r="F885" s="574"/>
    </row>
    <row r="886" spans="1:6" ht="13.5" thickBot="1">
      <c r="A886" s="353"/>
      <c r="B886" s="368" t="s">
        <v>1275</v>
      </c>
      <c r="C886" s="385">
        <f t="shared" si="36"/>
        <v>0</v>
      </c>
      <c r="D886" s="385">
        <f t="shared" si="36"/>
        <v>19648</v>
      </c>
      <c r="E886" s="385">
        <f t="shared" si="36"/>
        <v>21917</v>
      </c>
      <c r="F886" s="576">
        <f t="shared" si="32"/>
        <v>1.1154824918566775</v>
      </c>
    </row>
    <row r="887" spans="1:6" ht="13.5" thickBot="1">
      <c r="A887" s="353"/>
      <c r="B887" s="369" t="s">
        <v>868</v>
      </c>
      <c r="C887" s="390">
        <f>SUM(C881:C886)</f>
        <v>4195960</v>
      </c>
      <c r="D887" s="390">
        <f>SUM(D881:D886)-D884</f>
        <v>4585534</v>
      </c>
      <c r="E887" s="390">
        <f>SUM(E881:E886)-E884</f>
        <v>4446414</v>
      </c>
      <c r="F887" s="938">
        <f t="shared" si="32"/>
        <v>0.9696611125334584</v>
      </c>
    </row>
    <row r="888" spans="1:6" ht="12.75">
      <c r="A888" s="353"/>
      <c r="B888" s="367" t="s">
        <v>1276</v>
      </c>
      <c r="C888" s="384">
        <f>SUM(C851+C787+C755+C720+C584+C322)</f>
        <v>508</v>
      </c>
      <c r="D888" s="384">
        <f>SUM(D851+D787+D755+D720+D584+D322)</f>
        <v>1118</v>
      </c>
      <c r="E888" s="384">
        <f>SUM(E851+E787+E755+E720+E584+E322)</f>
        <v>5331</v>
      </c>
      <c r="F888" s="574">
        <f t="shared" si="32"/>
        <v>4.768336314847943</v>
      </c>
    </row>
    <row r="889" spans="1:6" ht="12.75">
      <c r="A889" s="353"/>
      <c r="B889" s="367" t="s">
        <v>1277</v>
      </c>
      <c r="C889" s="384">
        <f>SUM(C852+C788+C756+C721+C585+C323)</f>
        <v>1281</v>
      </c>
      <c r="D889" s="384">
        <f>SUM(D852+D788+D756+D721+D585+D323)</f>
        <v>18543</v>
      </c>
      <c r="E889" s="384">
        <f>SUM(E852+E788+E756+E721+E585+E323+E821)</f>
        <v>12308</v>
      </c>
      <c r="F889" s="574">
        <f t="shared" si="32"/>
        <v>0.6637545165291485</v>
      </c>
    </row>
    <row r="890" spans="1:6" ht="13.5" thickBot="1">
      <c r="A890" s="353"/>
      <c r="B890" s="370" t="s">
        <v>1278</v>
      </c>
      <c r="C890" s="385">
        <f>SUM(C853+C789+C757+C722+C586+C324)</f>
        <v>0</v>
      </c>
      <c r="D890" s="385">
        <f>SUM(D853+D789+D757+D722+D586+D324)</f>
        <v>0</v>
      </c>
      <c r="E890" s="385">
        <f>SUM(E853+E789+E757+E722+E586+E324)</f>
        <v>0</v>
      </c>
      <c r="F890" s="576"/>
    </row>
    <row r="891" spans="1:6" ht="13.5" thickBot="1">
      <c r="A891" s="353"/>
      <c r="B891" s="372" t="s">
        <v>874</v>
      </c>
      <c r="C891" s="390">
        <f>SUM(C888:C890)</f>
        <v>1789</v>
      </c>
      <c r="D891" s="390">
        <f>SUM(D888:D890)</f>
        <v>19661</v>
      </c>
      <c r="E891" s="390">
        <f>SUM(E888:E890)</f>
        <v>17639</v>
      </c>
      <c r="F891" s="938">
        <f t="shared" si="32"/>
        <v>0.8971568078937999</v>
      </c>
    </row>
    <row r="892" spans="1:6" ht="13.5" thickBot="1">
      <c r="A892" s="353"/>
      <c r="B892" s="613" t="s">
        <v>233</v>
      </c>
      <c r="C892" s="390"/>
      <c r="D892" s="383">
        <f>SUM(D855+D791+D759+D724+D588+D326)</f>
        <v>0</v>
      </c>
      <c r="E892" s="383">
        <f>SUM(E855+E791+E759+E724+E588+E326+E824)</f>
        <v>-24998</v>
      </c>
      <c r="F892" s="942"/>
    </row>
    <row r="893" spans="1:6" ht="15.75" thickBot="1">
      <c r="A893" s="371"/>
      <c r="B893" s="354" t="s">
        <v>890</v>
      </c>
      <c r="C893" s="392">
        <f>SUM(C887+C891)</f>
        <v>4197749</v>
      </c>
      <c r="D893" s="392">
        <f>SUM(D887+D891+D892)</f>
        <v>4605195</v>
      </c>
      <c r="E893" s="392">
        <f>SUM(E887+E891+E892)</f>
        <v>4439055</v>
      </c>
      <c r="F893" s="938">
        <f t="shared" si="32"/>
        <v>0.9639233517798921</v>
      </c>
    </row>
    <row r="894" spans="1:6" ht="15">
      <c r="A894" s="373">
        <v>2850</v>
      </c>
      <c r="B894" s="374" t="s">
        <v>1301</v>
      </c>
      <c r="C894" s="295"/>
      <c r="D894" s="295"/>
      <c r="E894" s="295"/>
      <c r="F894" s="574"/>
    </row>
    <row r="895" spans="1:6" ht="12.75">
      <c r="A895" s="355"/>
      <c r="B895" s="356" t="s">
        <v>1256</v>
      </c>
      <c r="C895" s="295">
        <v>5000</v>
      </c>
      <c r="D895" s="295"/>
      <c r="E895" s="295"/>
      <c r="F895" s="574"/>
    </row>
    <row r="896" spans="1:6" ht="12.75">
      <c r="A896" s="355"/>
      <c r="B896" s="356" t="s">
        <v>1257</v>
      </c>
      <c r="C896" s="295">
        <v>3100</v>
      </c>
      <c r="D896" s="295">
        <v>3100</v>
      </c>
      <c r="E896" s="295">
        <v>3381</v>
      </c>
      <c r="F896" s="574">
        <f t="shared" si="32"/>
        <v>1.0906451612903225</v>
      </c>
    </row>
    <row r="897" spans="1:6" ht="12.75">
      <c r="A897" s="355"/>
      <c r="B897" s="356" t="s">
        <v>1258</v>
      </c>
      <c r="C897" s="295"/>
      <c r="D897" s="295"/>
      <c r="E897" s="295"/>
      <c r="F897" s="574"/>
    </row>
    <row r="898" spans="1:6" ht="12.75">
      <c r="A898" s="355"/>
      <c r="B898" s="356" t="s">
        <v>218</v>
      </c>
      <c r="C898" s="295">
        <v>17000</v>
      </c>
      <c r="D898" s="295">
        <v>22000</v>
      </c>
      <c r="E898" s="295">
        <v>21704</v>
      </c>
      <c r="F898" s="574">
        <f t="shared" si="32"/>
        <v>0.9865454545454545</v>
      </c>
    </row>
    <row r="899" spans="1:6" ht="12.75">
      <c r="A899" s="355"/>
      <c r="B899" s="356" t="s">
        <v>1260</v>
      </c>
      <c r="C899" s="295">
        <v>5100</v>
      </c>
      <c r="D899" s="295">
        <v>5100</v>
      </c>
      <c r="E899" s="295">
        <v>5239</v>
      </c>
      <c r="F899" s="574">
        <f t="shared" si="32"/>
        <v>1.0272549019607844</v>
      </c>
    </row>
    <row r="900" spans="1:6" ht="13.5" thickBot="1">
      <c r="A900" s="355"/>
      <c r="B900" s="358" t="s">
        <v>1261</v>
      </c>
      <c r="C900" s="382"/>
      <c r="D900" s="382"/>
      <c r="E900" s="382"/>
      <c r="F900" s="576"/>
    </row>
    <row r="901" spans="1:6" ht="13.5" thickBot="1">
      <c r="A901" s="355"/>
      <c r="B901" s="359" t="s">
        <v>1249</v>
      </c>
      <c r="C901" s="386">
        <f>SUM(C895:C900)</f>
        <v>30200</v>
      </c>
      <c r="D901" s="386">
        <f>SUM(D895:D900)</f>
        <v>30200</v>
      </c>
      <c r="E901" s="386">
        <f>SUM(E895:E900)</f>
        <v>30324</v>
      </c>
      <c r="F901" s="938">
        <f t="shared" si="32"/>
        <v>1.0041059602649007</v>
      </c>
    </row>
    <row r="902" spans="1:6" ht="12.75">
      <c r="A902" s="355"/>
      <c r="B902" s="356" t="s">
        <v>1262</v>
      </c>
      <c r="C902" s="295">
        <v>257309</v>
      </c>
      <c r="D902" s="295">
        <v>268682</v>
      </c>
      <c r="E902" s="295">
        <v>261971</v>
      </c>
      <c r="F902" s="574">
        <f t="shared" si="32"/>
        <v>0.975022517325314</v>
      </c>
    </row>
    <row r="903" spans="1:6" ht="12.75">
      <c r="A903" s="355"/>
      <c r="B903" s="356" t="s">
        <v>1263</v>
      </c>
      <c r="C903" s="295">
        <v>2100</v>
      </c>
      <c r="D903" s="295">
        <v>2100</v>
      </c>
      <c r="E903" s="295">
        <v>3308</v>
      </c>
      <c r="F903" s="574">
        <f t="shared" si="32"/>
        <v>1.5752380952380953</v>
      </c>
    </row>
    <row r="904" spans="1:6" ht="13.5" thickBot="1">
      <c r="A904" s="355"/>
      <c r="B904" s="356" t="s">
        <v>1264</v>
      </c>
      <c r="C904" s="382"/>
      <c r="D904" s="382"/>
      <c r="E904" s="382"/>
      <c r="F904" s="576"/>
    </row>
    <row r="905" spans="1:6" ht="13.5" thickBot="1">
      <c r="A905" s="360"/>
      <c r="B905" s="361" t="s">
        <v>1252</v>
      </c>
      <c r="C905" s="298">
        <f>SUM(C902:C904)</f>
        <v>259409</v>
      </c>
      <c r="D905" s="298">
        <f>SUM(D902:D904)</f>
        <v>270782</v>
      </c>
      <c r="E905" s="298">
        <f>SUM(E902:E904)</f>
        <v>265279</v>
      </c>
      <c r="F905" s="938">
        <f t="shared" si="32"/>
        <v>0.9796773788508837</v>
      </c>
    </row>
    <row r="906" spans="1:6" ht="13.5" thickBot="1">
      <c r="A906" s="357"/>
      <c r="B906" s="362" t="s">
        <v>1253</v>
      </c>
      <c r="C906" s="381"/>
      <c r="D906" s="381"/>
      <c r="E906" s="381"/>
      <c r="F906" s="942"/>
    </row>
    <row r="907" spans="1:6" ht="13.5" thickBot="1">
      <c r="A907" s="357"/>
      <c r="B907" s="362" t="s">
        <v>234</v>
      </c>
      <c r="C907" s="381"/>
      <c r="D907" s="381"/>
      <c r="E907" s="382">
        <v>3683</v>
      </c>
      <c r="F907" s="942"/>
    </row>
    <row r="908" spans="1:6" ht="13.5" thickBot="1">
      <c r="A908" s="357"/>
      <c r="B908" s="363" t="s">
        <v>1254</v>
      </c>
      <c r="C908" s="386">
        <f>SUM(C905+C901+C906)</f>
        <v>289609</v>
      </c>
      <c r="D908" s="386">
        <f>SUM(D905+D901+D906)</f>
        <v>300982</v>
      </c>
      <c r="E908" s="386">
        <f>SUM(E905+E901+E906+E907)</f>
        <v>299286</v>
      </c>
      <c r="F908" s="938">
        <f t="shared" si="32"/>
        <v>0.994365111534909</v>
      </c>
    </row>
    <row r="909" spans="1:6" ht="13.5" thickBot="1">
      <c r="A909" s="355"/>
      <c r="B909" s="359" t="s">
        <v>1267</v>
      </c>
      <c r="C909" s="381"/>
      <c r="D909" s="381"/>
      <c r="E909" s="381"/>
      <c r="F909" s="942"/>
    </row>
    <row r="910" spans="1:6" ht="12.75">
      <c r="A910" s="355"/>
      <c r="B910" s="356" t="s">
        <v>1265</v>
      </c>
      <c r="C910" s="295"/>
      <c r="D910" s="295">
        <v>7319</v>
      </c>
      <c r="E910" s="295">
        <v>7319</v>
      </c>
      <c r="F910" s="574">
        <f t="shared" si="32"/>
        <v>1</v>
      </c>
    </row>
    <row r="911" spans="1:6" ht="13.5" thickBot="1">
      <c r="A911" s="355"/>
      <c r="B911" s="364" t="s">
        <v>1266</v>
      </c>
      <c r="C911" s="382"/>
      <c r="D911" s="382"/>
      <c r="E911" s="382"/>
      <c r="F911" s="576"/>
    </row>
    <row r="912" spans="1:6" ht="13.5" thickBot="1">
      <c r="A912" s="365"/>
      <c r="B912" s="362" t="s">
        <v>1255</v>
      </c>
      <c r="C912" s="382"/>
      <c r="D912" s="298">
        <f>SUM(D910:D911)</f>
        <v>7319</v>
      </c>
      <c r="E912" s="298">
        <f>SUM(E910:E911)</f>
        <v>7319</v>
      </c>
      <c r="F912" s="938">
        <f aca="true" t="shared" si="37" ref="F912:F975">SUM(E912/D912)</f>
        <v>1</v>
      </c>
    </row>
    <row r="913" spans="1:6" ht="15.75" thickBot="1">
      <c r="A913" s="365"/>
      <c r="B913" s="366" t="s">
        <v>1268</v>
      </c>
      <c r="C913" s="388">
        <f>SUM(C908+C909+C912)</f>
        <v>289609</v>
      </c>
      <c r="D913" s="388">
        <f>SUM(D908+D909+D912)</f>
        <v>308301</v>
      </c>
      <c r="E913" s="388">
        <f>SUM(E908+E909+E912)</f>
        <v>306605</v>
      </c>
      <c r="F913" s="938">
        <f t="shared" si="37"/>
        <v>0.9944988825855252</v>
      </c>
    </row>
    <row r="914" spans="1:6" ht="12.75">
      <c r="A914" s="353"/>
      <c r="B914" s="367" t="s">
        <v>1269</v>
      </c>
      <c r="C914" s="295">
        <v>163436</v>
      </c>
      <c r="D914" s="295">
        <v>173717</v>
      </c>
      <c r="E914" s="295">
        <v>167970</v>
      </c>
      <c r="F914" s="574">
        <f t="shared" si="37"/>
        <v>0.966917457704197</v>
      </c>
    </row>
    <row r="915" spans="1:6" ht="12.75">
      <c r="A915" s="353"/>
      <c r="B915" s="367" t="s">
        <v>1270</v>
      </c>
      <c r="C915" s="295">
        <v>42347</v>
      </c>
      <c r="D915" s="295">
        <v>45446</v>
      </c>
      <c r="E915" s="295">
        <v>44029</v>
      </c>
      <c r="F915" s="574">
        <f t="shared" si="37"/>
        <v>0.968820138185979</v>
      </c>
    </row>
    <row r="916" spans="1:6" ht="12.75">
      <c r="A916" s="353"/>
      <c r="B916" s="367" t="s">
        <v>1271</v>
      </c>
      <c r="C916" s="295">
        <v>83826</v>
      </c>
      <c r="D916" s="295">
        <v>89138</v>
      </c>
      <c r="E916" s="295">
        <v>88548</v>
      </c>
      <c r="F916" s="574">
        <f t="shared" si="37"/>
        <v>0.9933810496084723</v>
      </c>
    </row>
    <row r="917" spans="1:6" ht="12.75">
      <c r="A917" s="353"/>
      <c r="B917" s="367" t="s">
        <v>1274</v>
      </c>
      <c r="C917" s="295"/>
      <c r="D917" s="295"/>
      <c r="E917" s="295"/>
      <c r="F917" s="574"/>
    </row>
    <row r="918" spans="1:6" ht="13.5" thickBot="1">
      <c r="A918" s="353"/>
      <c r="B918" s="368" t="s">
        <v>1275</v>
      </c>
      <c r="C918" s="382"/>
      <c r="D918" s="382"/>
      <c r="E918" s="382"/>
      <c r="F918" s="576"/>
    </row>
    <row r="919" spans="1:6" ht="13.5" thickBot="1">
      <c r="A919" s="353"/>
      <c r="B919" s="369" t="s">
        <v>868</v>
      </c>
      <c r="C919" s="386">
        <f>SUM(C914:C918)</f>
        <v>289609</v>
      </c>
      <c r="D919" s="386">
        <f>SUM(D914:D918)</f>
        <v>308301</v>
      </c>
      <c r="E919" s="386">
        <f>SUM(E914:E918)</f>
        <v>300547</v>
      </c>
      <c r="F919" s="938">
        <f t="shared" si="37"/>
        <v>0.9748492544623598</v>
      </c>
    </row>
    <row r="920" spans="1:6" ht="12.75">
      <c r="A920" s="353"/>
      <c r="B920" s="367" t="s">
        <v>1276</v>
      </c>
      <c r="C920" s="295"/>
      <c r="D920" s="295"/>
      <c r="E920" s="295"/>
      <c r="F920" s="574"/>
    </row>
    <row r="921" spans="1:6" ht="12.75">
      <c r="A921" s="353"/>
      <c r="B921" s="367" t="s">
        <v>1277</v>
      </c>
      <c r="C921" s="295"/>
      <c r="D921" s="295"/>
      <c r="E921" s="295"/>
      <c r="F921" s="574"/>
    </row>
    <row r="922" spans="1:6" ht="13.5" thickBot="1">
      <c r="A922" s="353"/>
      <c r="B922" s="370" t="s">
        <v>1278</v>
      </c>
      <c r="C922" s="382"/>
      <c r="D922" s="382"/>
      <c r="E922" s="382"/>
      <c r="F922" s="576"/>
    </row>
    <row r="923" spans="1:6" ht="13.5" thickBot="1">
      <c r="A923" s="353"/>
      <c r="B923" s="372" t="s">
        <v>874</v>
      </c>
      <c r="C923" s="381"/>
      <c r="D923" s="381"/>
      <c r="E923" s="381"/>
      <c r="F923" s="942"/>
    </row>
    <row r="924" spans="1:6" ht="13.5" thickBot="1">
      <c r="A924" s="353"/>
      <c r="B924" s="613" t="s">
        <v>236</v>
      </c>
      <c r="C924" s="381"/>
      <c r="D924" s="381"/>
      <c r="E924" s="381">
        <v>-1319</v>
      </c>
      <c r="F924" s="942"/>
    </row>
    <row r="925" spans="1:6" ht="15.75" thickBot="1">
      <c r="A925" s="371"/>
      <c r="B925" s="354" t="s">
        <v>890</v>
      </c>
      <c r="C925" s="388">
        <f>SUM(C919+C923)</f>
        <v>289609</v>
      </c>
      <c r="D925" s="388">
        <f>SUM(D919+D923)</f>
        <v>308301</v>
      </c>
      <c r="E925" s="388">
        <f>SUM(E919+E923+E924)</f>
        <v>299228</v>
      </c>
      <c r="F925" s="938">
        <f t="shared" si="37"/>
        <v>0.9705709679825885</v>
      </c>
    </row>
    <row r="926" spans="1:6" ht="15">
      <c r="A926" s="373">
        <v>2875</v>
      </c>
      <c r="B926" s="374" t="s">
        <v>1168</v>
      </c>
      <c r="C926" s="295"/>
      <c r="D926" s="295"/>
      <c r="E926" s="295"/>
      <c r="F926" s="574"/>
    </row>
    <row r="927" spans="1:6" ht="12.75">
      <c r="A927" s="355"/>
      <c r="B927" s="356" t="s">
        <v>1256</v>
      </c>
      <c r="C927" s="295"/>
      <c r="D927" s="295"/>
      <c r="E927" s="295"/>
      <c r="F927" s="574"/>
    </row>
    <row r="928" spans="1:6" ht="12.75">
      <c r="A928" s="355"/>
      <c r="B928" s="356" t="s">
        <v>1257</v>
      </c>
      <c r="C928" s="295">
        <v>2377</v>
      </c>
      <c r="D928" s="295">
        <v>2377</v>
      </c>
      <c r="E928" s="295">
        <v>2051</v>
      </c>
      <c r="F928" s="574">
        <f t="shared" si="37"/>
        <v>0.862852334875894</v>
      </c>
    </row>
    <row r="929" spans="1:6" ht="12.75">
      <c r="A929" s="355"/>
      <c r="B929" s="356" t="s">
        <v>1258</v>
      </c>
      <c r="C929" s="295"/>
      <c r="D929" s="295">
        <v>1179</v>
      </c>
      <c r="E929" s="295">
        <v>1469</v>
      </c>
      <c r="F929" s="574">
        <f t="shared" si="37"/>
        <v>1.2459711620016964</v>
      </c>
    </row>
    <row r="930" spans="1:6" ht="12.75">
      <c r="A930" s="355"/>
      <c r="B930" s="356" t="s">
        <v>1259</v>
      </c>
      <c r="C930" s="295">
        <v>47507</v>
      </c>
      <c r="D930" s="295">
        <v>46905</v>
      </c>
      <c r="E930" s="295">
        <v>41546</v>
      </c>
      <c r="F930" s="574">
        <f t="shared" si="37"/>
        <v>0.885747788082294</v>
      </c>
    </row>
    <row r="931" spans="1:6" ht="12.75">
      <c r="A931" s="355"/>
      <c r="B931" s="356" t="s">
        <v>1260</v>
      </c>
      <c r="C931" s="295">
        <v>6816</v>
      </c>
      <c r="D931" s="295">
        <v>6816</v>
      </c>
      <c r="E931" s="295">
        <v>12046</v>
      </c>
      <c r="F931" s="574">
        <f t="shared" si="37"/>
        <v>1.76731220657277</v>
      </c>
    </row>
    <row r="932" spans="1:6" ht="13.5" thickBot="1">
      <c r="A932" s="355"/>
      <c r="B932" s="358" t="s">
        <v>1261</v>
      </c>
      <c r="C932" s="382"/>
      <c r="D932" s="382"/>
      <c r="E932" s="382"/>
      <c r="F932" s="576"/>
    </row>
    <row r="933" spans="1:6" ht="13.5" thickBot="1">
      <c r="A933" s="355"/>
      <c r="B933" s="359" t="s">
        <v>1249</v>
      </c>
      <c r="C933" s="386">
        <f>SUM(C927:C932)</f>
        <v>56700</v>
      </c>
      <c r="D933" s="386">
        <f>SUM(D927:D932)</f>
        <v>57277</v>
      </c>
      <c r="E933" s="386">
        <f>SUM(E927:E932)</f>
        <v>57112</v>
      </c>
      <c r="F933" s="938">
        <f t="shared" si="37"/>
        <v>0.997119262531208</v>
      </c>
    </row>
    <row r="934" spans="1:6" ht="12.75">
      <c r="A934" s="355"/>
      <c r="B934" s="356" t="s">
        <v>1262</v>
      </c>
      <c r="C934" s="295">
        <v>435053</v>
      </c>
      <c r="D934" s="295">
        <v>467997</v>
      </c>
      <c r="E934" s="295">
        <v>458582</v>
      </c>
      <c r="F934" s="574">
        <f t="shared" si="37"/>
        <v>0.9798823496731817</v>
      </c>
    </row>
    <row r="935" spans="1:6" ht="12.75">
      <c r="A935" s="355"/>
      <c r="B935" s="356" t="s">
        <v>1263</v>
      </c>
      <c r="C935" s="295"/>
      <c r="D935" s="295"/>
      <c r="E935" s="295"/>
      <c r="F935" s="574"/>
    </row>
    <row r="936" spans="1:6" ht="13.5" thickBot="1">
      <c r="A936" s="355"/>
      <c r="B936" s="356" t="s">
        <v>1264</v>
      </c>
      <c r="C936" s="382"/>
      <c r="D936" s="382"/>
      <c r="E936" s="382"/>
      <c r="F936" s="576"/>
    </row>
    <row r="937" spans="1:6" ht="13.5" thickBot="1">
      <c r="A937" s="360"/>
      <c r="B937" s="361" t="s">
        <v>1252</v>
      </c>
      <c r="C937" s="298">
        <f>SUM(C934:C936)</f>
        <v>435053</v>
      </c>
      <c r="D937" s="298">
        <f>SUM(D934:D936)</f>
        <v>467997</v>
      </c>
      <c r="E937" s="298">
        <f>SUM(E934:E936)</f>
        <v>458582</v>
      </c>
      <c r="F937" s="938">
        <f t="shared" si="37"/>
        <v>0.9798823496731817</v>
      </c>
    </row>
    <row r="938" spans="1:6" ht="13.5" thickBot="1">
      <c r="A938" s="357"/>
      <c r="B938" s="362" t="s">
        <v>1253</v>
      </c>
      <c r="C938" s="381"/>
      <c r="D938" s="386">
        <v>1100</v>
      </c>
      <c r="E938" s="386">
        <v>1100</v>
      </c>
      <c r="F938" s="938">
        <f t="shared" si="37"/>
        <v>1</v>
      </c>
    </row>
    <row r="939" spans="1:6" ht="13.5" thickBot="1">
      <c r="A939" s="357"/>
      <c r="B939" s="233" t="s">
        <v>237</v>
      </c>
      <c r="C939" s="381"/>
      <c r="D939" s="386">
        <v>104</v>
      </c>
      <c r="E939" s="386">
        <v>104</v>
      </c>
      <c r="F939" s="938">
        <f t="shared" si="37"/>
        <v>1</v>
      </c>
    </row>
    <row r="940" spans="1:6" ht="13.5" thickBot="1">
      <c r="A940" s="357"/>
      <c r="B940" s="362" t="s">
        <v>234</v>
      </c>
      <c r="C940" s="381"/>
      <c r="D940" s="381"/>
      <c r="E940" s="381">
        <v>8667</v>
      </c>
      <c r="F940" s="942"/>
    </row>
    <row r="941" spans="1:6" ht="13.5" thickBot="1">
      <c r="A941" s="357"/>
      <c r="B941" s="363" t="s">
        <v>1254</v>
      </c>
      <c r="C941" s="386">
        <f>SUM(C937+C933+C938)</f>
        <v>491753</v>
      </c>
      <c r="D941" s="386">
        <f>SUM(D937+D933+D938+D939)</f>
        <v>526478</v>
      </c>
      <c r="E941" s="386">
        <f>SUM(E937+E933+E938+E939+E940)</f>
        <v>525565</v>
      </c>
      <c r="F941" s="938">
        <f t="shared" si="37"/>
        <v>0.9982658344698164</v>
      </c>
    </row>
    <row r="942" spans="1:6" ht="13.5" thickBot="1">
      <c r="A942" s="355"/>
      <c r="B942" s="359" t="s">
        <v>1267</v>
      </c>
      <c r="C942" s="381"/>
      <c r="D942" s="381"/>
      <c r="E942" s="381"/>
      <c r="F942" s="942"/>
    </row>
    <row r="943" spans="1:6" ht="12.75">
      <c r="A943" s="355"/>
      <c r="B943" s="356" t="s">
        <v>1265</v>
      </c>
      <c r="C943" s="295"/>
      <c r="D943" s="295">
        <v>16643</v>
      </c>
      <c r="E943" s="295">
        <v>16643</v>
      </c>
      <c r="F943" s="574">
        <f t="shared" si="37"/>
        <v>1</v>
      </c>
    </row>
    <row r="944" spans="1:6" ht="13.5" thickBot="1">
      <c r="A944" s="355"/>
      <c r="B944" s="364" t="s">
        <v>1266</v>
      </c>
      <c r="C944" s="382"/>
      <c r="D944" s="382"/>
      <c r="E944" s="382"/>
      <c r="F944" s="576"/>
    </row>
    <row r="945" spans="1:6" ht="13.5" thickBot="1">
      <c r="A945" s="365"/>
      <c r="B945" s="362" t="s">
        <v>1255</v>
      </c>
      <c r="C945" s="382"/>
      <c r="D945" s="298">
        <f>SUM(D943:D944)</f>
        <v>16643</v>
      </c>
      <c r="E945" s="298">
        <f>SUM(E943:E944)</f>
        <v>16643</v>
      </c>
      <c r="F945" s="938">
        <f t="shared" si="37"/>
        <v>1</v>
      </c>
    </row>
    <row r="946" spans="1:6" ht="13.5" thickBot="1">
      <c r="A946" s="365"/>
      <c r="B946" s="614" t="s">
        <v>235</v>
      </c>
      <c r="C946" s="382"/>
      <c r="D946" s="298"/>
      <c r="E946" s="382">
        <v>26</v>
      </c>
      <c r="F946" s="942"/>
    </row>
    <row r="947" spans="1:6" ht="15.75" thickBot="1">
      <c r="A947" s="365"/>
      <c r="B947" s="366" t="s">
        <v>1268</v>
      </c>
      <c r="C947" s="388">
        <f>SUM(C941+C942+C945)</f>
        <v>491753</v>
      </c>
      <c r="D947" s="388">
        <f>SUM(D941+D942+D945)</f>
        <v>543121</v>
      </c>
      <c r="E947" s="388">
        <f>SUM(E941+E942+E945+E946)</f>
        <v>542234</v>
      </c>
      <c r="F947" s="938">
        <f t="shared" si="37"/>
        <v>0.9983668464301694</v>
      </c>
    </row>
    <row r="948" spans="1:6" ht="12.75">
      <c r="A948" s="353"/>
      <c r="B948" s="367" t="s">
        <v>1269</v>
      </c>
      <c r="C948" s="295">
        <v>263550</v>
      </c>
      <c r="D948" s="295">
        <v>297175</v>
      </c>
      <c r="E948" s="295">
        <v>292179</v>
      </c>
      <c r="F948" s="574">
        <f t="shared" si="37"/>
        <v>0.9831883570286868</v>
      </c>
    </row>
    <row r="949" spans="1:6" ht="12.75">
      <c r="A949" s="353"/>
      <c r="B949" s="367" t="s">
        <v>1270</v>
      </c>
      <c r="C949" s="295">
        <v>69738</v>
      </c>
      <c r="D949" s="295">
        <v>79045</v>
      </c>
      <c r="E949" s="295">
        <v>77165</v>
      </c>
      <c r="F949" s="574">
        <f t="shared" si="37"/>
        <v>0.9762160794484155</v>
      </c>
    </row>
    <row r="950" spans="1:6" ht="12.75">
      <c r="A950" s="353"/>
      <c r="B950" s="367" t="s">
        <v>1271</v>
      </c>
      <c r="C950" s="295">
        <v>158465</v>
      </c>
      <c r="D950" s="295">
        <v>165454</v>
      </c>
      <c r="E950" s="295">
        <v>157852</v>
      </c>
      <c r="F950" s="574">
        <f t="shared" si="37"/>
        <v>0.9540536946825099</v>
      </c>
    </row>
    <row r="951" spans="1:6" ht="12.75">
      <c r="A951" s="353"/>
      <c r="B951" s="367" t="s">
        <v>1274</v>
      </c>
      <c r="C951" s="295"/>
      <c r="D951" s="295"/>
      <c r="E951" s="295"/>
      <c r="F951" s="574"/>
    </row>
    <row r="952" spans="1:6" ht="13.5" thickBot="1">
      <c r="A952" s="353"/>
      <c r="B952" s="368" t="s">
        <v>1275</v>
      </c>
      <c r="C952" s="382"/>
      <c r="D952" s="382">
        <v>788</v>
      </c>
      <c r="E952" s="382">
        <v>1130</v>
      </c>
      <c r="F952" s="576">
        <f t="shared" si="37"/>
        <v>1.4340101522842639</v>
      </c>
    </row>
    <row r="953" spans="1:6" ht="13.5" thickBot="1">
      <c r="A953" s="353"/>
      <c r="B953" s="369" t="s">
        <v>868</v>
      </c>
      <c r="C953" s="386">
        <f>SUM(C948:C952)</f>
        <v>491753</v>
      </c>
      <c r="D953" s="386">
        <f>SUM(D948:D952)</f>
        <v>542462</v>
      </c>
      <c r="E953" s="386">
        <f>SUM(E948:E952)</f>
        <v>528326</v>
      </c>
      <c r="F953" s="942">
        <f t="shared" si="37"/>
        <v>0.97394103181421</v>
      </c>
    </row>
    <row r="954" spans="1:6" ht="12.75">
      <c r="A954" s="353"/>
      <c r="B954" s="367" t="s">
        <v>1276</v>
      </c>
      <c r="C954" s="295"/>
      <c r="D954" s="295"/>
      <c r="E954" s="295"/>
      <c r="F954" s="574"/>
    </row>
    <row r="955" spans="1:6" ht="12.75">
      <c r="A955" s="353"/>
      <c r="B955" s="367" t="s">
        <v>1277</v>
      </c>
      <c r="C955" s="295"/>
      <c r="D955" s="295">
        <v>659</v>
      </c>
      <c r="E955" s="295">
        <v>1707</v>
      </c>
      <c r="F955" s="574">
        <f t="shared" si="37"/>
        <v>2.590288315629742</v>
      </c>
    </row>
    <row r="956" spans="1:6" ht="13.5" thickBot="1">
      <c r="A956" s="353"/>
      <c r="B956" s="370" t="s">
        <v>1278</v>
      </c>
      <c r="C956" s="382"/>
      <c r="D956" s="382"/>
      <c r="E956" s="382"/>
      <c r="F956" s="576"/>
    </row>
    <row r="957" spans="1:6" ht="13.5" thickBot="1">
      <c r="A957" s="353"/>
      <c r="B957" s="372" t="s">
        <v>874</v>
      </c>
      <c r="C957" s="381"/>
      <c r="D957" s="386">
        <f>SUM(D955:D956)</f>
        <v>659</v>
      </c>
      <c r="E957" s="386">
        <f>SUM(E955:E956)</f>
        <v>1707</v>
      </c>
      <c r="F957" s="942">
        <f t="shared" si="37"/>
        <v>2.590288315629742</v>
      </c>
    </row>
    <row r="958" spans="1:6" ht="13.5" thickBot="1">
      <c r="A958" s="353"/>
      <c r="B958" s="613" t="s">
        <v>233</v>
      </c>
      <c r="C958" s="381"/>
      <c r="D958" s="381"/>
      <c r="E958" s="381">
        <v>-4267</v>
      </c>
      <c r="F958" s="942"/>
    </row>
    <row r="959" spans="1:6" ht="15.75" thickBot="1">
      <c r="A959" s="371"/>
      <c r="B959" s="354" t="s">
        <v>890</v>
      </c>
      <c r="C959" s="388">
        <f>SUM(C953+C957)</f>
        <v>491753</v>
      </c>
      <c r="D959" s="388">
        <f>SUM(D953+D957)</f>
        <v>543121</v>
      </c>
      <c r="E959" s="388">
        <f>SUM(E953+E957+E958)</f>
        <v>525766</v>
      </c>
      <c r="F959" s="938">
        <f t="shared" si="37"/>
        <v>0.9680457945835275</v>
      </c>
    </row>
    <row r="960" spans="1:6" ht="15">
      <c r="A960" s="379">
        <v>2898</v>
      </c>
      <c r="B960" s="375" t="s">
        <v>1302</v>
      </c>
      <c r="C960" s="384"/>
      <c r="D960" s="384"/>
      <c r="E960" s="384"/>
      <c r="F960" s="574"/>
    </row>
    <row r="961" spans="1:6" ht="12.75">
      <c r="A961" s="355"/>
      <c r="B961" s="356" t="s">
        <v>1256</v>
      </c>
      <c r="C961" s="384">
        <f aca="true" t="shared" si="38" ref="C961:C966">SUM(C927+C895)</f>
        <v>5000</v>
      </c>
      <c r="D961" s="384">
        <f aca="true" t="shared" si="39" ref="D961:E966">SUM(D927+D895)</f>
        <v>0</v>
      </c>
      <c r="E961" s="384">
        <f t="shared" si="39"/>
        <v>0</v>
      </c>
      <c r="F961" s="574"/>
    </row>
    <row r="962" spans="1:6" ht="12.75">
      <c r="A962" s="355"/>
      <c r="B962" s="356" t="s">
        <v>1257</v>
      </c>
      <c r="C962" s="384">
        <f t="shared" si="38"/>
        <v>5477</v>
      </c>
      <c r="D962" s="384">
        <f t="shared" si="39"/>
        <v>5477</v>
      </c>
      <c r="E962" s="384">
        <f t="shared" si="39"/>
        <v>5432</v>
      </c>
      <c r="F962" s="574">
        <f t="shared" si="37"/>
        <v>0.9917838232609093</v>
      </c>
    </row>
    <row r="963" spans="1:6" ht="12.75">
      <c r="A963" s="355"/>
      <c r="B963" s="356" t="s">
        <v>1258</v>
      </c>
      <c r="C963" s="384">
        <f t="shared" si="38"/>
        <v>0</v>
      </c>
      <c r="D963" s="384">
        <f t="shared" si="39"/>
        <v>1179</v>
      </c>
      <c r="E963" s="384">
        <f t="shared" si="39"/>
        <v>1469</v>
      </c>
      <c r="F963" s="574">
        <f t="shared" si="37"/>
        <v>1.2459711620016964</v>
      </c>
    </row>
    <row r="964" spans="1:6" ht="12.75">
      <c r="A964" s="355"/>
      <c r="B964" s="356" t="s">
        <v>1259</v>
      </c>
      <c r="C964" s="384">
        <f t="shared" si="38"/>
        <v>64507</v>
      </c>
      <c r="D964" s="384">
        <f t="shared" si="39"/>
        <v>68905</v>
      </c>
      <c r="E964" s="384">
        <f t="shared" si="39"/>
        <v>63250</v>
      </c>
      <c r="F964" s="574">
        <f t="shared" si="37"/>
        <v>0.9179304839997098</v>
      </c>
    </row>
    <row r="965" spans="1:6" ht="12.75">
      <c r="A965" s="355"/>
      <c r="B965" s="356" t="s">
        <v>1260</v>
      </c>
      <c r="C965" s="384">
        <f t="shared" si="38"/>
        <v>11916</v>
      </c>
      <c r="D965" s="384">
        <f t="shared" si="39"/>
        <v>11916</v>
      </c>
      <c r="E965" s="384">
        <f t="shared" si="39"/>
        <v>17285</v>
      </c>
      <c r="F965" s="574">
        <f t="shared" si="37"/>
        <v>1.4505706612957368</v>
      </c>
    </row>
    <row r="966" spans="1:6" ht="13.5" thickBot="1">
      <c r="A966" s="355"/>
      <c r="B966" s="358" t="s">
        <v>1261</v>
      </c>
      <c r="C966" s="385">
        <f t="shared" si="38"/>
        <v>0</v>
      </c>
      <c r="D966" s="385">
        <f t="shared" si="39"/>
        <v>0</v>
      </c>
      <c r="E966" s="385">
        <f t="shared" si="39"/>
        <v>0</v>
      </c>
      <c r="F966" s="576"/>
    </row>
    <row r="967" spans="1:6" ht="13.5" thickBot="1">
      <c r="A967" s="355"/>
      <c r="B967" s="359" t="s">
        <v>1249</v>
      </c>
      <c r="C967" s="391">
        <f>SUM(C961:C966)</f>
        <v>86900</v>
      </c>
      <c r="D967" s="391">
        <f>SUM(D961:D966)</f>
        <v>87477</v>
      </c>
      <c r="E967" s="391">
        <f>SUM(E961:E966)</f>
        <v>87436</v>
      </c>
      <c r="F967" s="938">
        <f t="shared" si="37"/>
        <v>0.9995313053716977</v>
      </c>
    </row>
    <row r="968" spans="1:6" ht="12.75">
      <c r="A968" s="355"/>
      <c r="B968" s="356" t="s">
        <v>1262</v>
      </c>
      <c r="C968" s="384">
        <f aca="true" t="shared" si="40" ref="C968:D970">SUM(C934+C902)</f>
        <v>692362</v>
      </c>
      <c r="D968" s="384">
        <f t="shared" si="40"/>
        <v>736679</v>
      </c>
      <c r="E968" s="384">
        <f>SUM(E934+E902)</f>
        <v>720553</v>
      </c>
      <c r="F968" s="574">
        <f t="shared" si="37"/>
        <v>0.9781098687488038</v>
      </c>
    </row>
    <row r="969" spans="1:6" ht="12.75">
      <c r="A969" s="355"/>
      <c r="B969" s="356" t="s">
        <v>1263</v>
      </c>
      <c r="C969" s="384">
        <f t="shared" si="40"/>
        <v>2100</v>
      </c>
      <c r="D969" s="384">
        <f t="shared" si="40"/>
        <v>2100</v>
      </c>
      <c r="E969" s="384">
        <f>SUM(E935+E903)</f>
        <v>3308</v>
      </c>
      <c r="F969" s="574">
        <f t="shared" si="37"/>
        <v>1.5752380952380953</v>
      </c>
    </row>
    <row r="970" spans="1:6" ht="13.5" thickBot="1">
      <c r="A970" s="355"/>
      <c r="B970" s="356" t="s">
        <v>1264</v>
      </c>
      <c r="C970" s="385">
        <f t="shared" si="40"/>
        <v>0</v>
      </c>
      <c r="D970" s="385">
        <f t="shared" si="40"/>
        <v>0</v>
      </c>
      <c r="E970" s="385">
        <f>SUM(E936+E904)</f>
        <v>0</v>
      </c>
      <c r="F970" s="576"/>
    </row>
    <row r="971" spans="1:6" ht="13.5" thickBot="1">
      <c r="A971" s="360"/>
      <c r="B971" s="361" t="s">
        <v>1252</v>
      </c>
      <c r="C971" s="390">
        <f>SUM(C968:C970)</f>
        <v>694462</v>
      </c>
      <c r="D971" s="390">
        <f>SUM(D968:D970)</f>
        <v>738779</v>
      </c>
      <c r="E971" s="390">
        <f>SUM(E968:E970)</f>
        <v>723861</v>
      </c>
      <c r="F971" s="938">
        <f t="shared" si="37"/>
        <v>0.9798072224575956</v>
      </c>
    </row>
    <row r="972" spans="1:6" ht="13.5" thickBot="1">
      <c r="A972" s="357"/>
      <c r="B972" s="362" t="s">
        <v>1253</v>
      </c>
      <c r="C972" s="383">
        <f>SUM(C938+C906)</f>
        <v>0</v>
      </c>
      <c r="D972" s="390">
        <f>SUM(D938+D906)</f>
        <v>1100</v>
      </c>
      <c r="E972" s="390">
        <f>SUM(E938+E906)</f>
        <v>1100</v>
      </c>
      <c r="F972" s="938">
        <f t="shared" si="37"/>
        <v>1</v>
      </c>
    </row>
    <row r="973" spans="1:6" ht="13.5" thickBot="1">
      <c r="A973" s="357"/>
      <c r="B973" s="233" t="s">
        <v>237</v>
      </c>
      <c r="C973" s="383"/>
      <c r="D973" s="390">
        <f>SUM(D939)</f>
        <v>104</v>
      </c>
      <c r="E973" s="390">
        <f>SUM(E939)</f>
        <v>104</v>
      </c>
      <c r="F973" s="938">
        <f t="shared" si="37"/>
        <v>1</v>
      </c>
    </row>
    <row r="974" spans="1:6" ht="13.5" thickBot="1">
      <c r="A974" s="357"/>
      <c r="B974" s="362" t="s">
        <v>234</v>
      </c>
      <c r="C974" s="383"/>
      <c r="D974" s="390">
        <f>SUM(D940+D907)</f>
        <v>0</v>
      </c>
      <c r="E974" s="390">
        <f>SUM(E940+E907)</f>
        <v>12350</v>
      </c>
      <c r="F974" s="942"/>
    </row>
    <row r="975" spans="1:6" ht="13.5" thickBot="1">
      <c r="A975" s="357"/>
      <c r="B975" s="363" t="s">
        <v>1254</v>
      </c>
      <c r="C975" s="390">
        <f>SUM(C967+C971+C972)</f>
        <v>781362</v>
      </c>
      <c r="D975" s="390">
        <f>SUM(D967+D971+D972+D974+D973)</f>
        <v>827460</v>
      </c>
      <c r="E975" s="390">
        <f>SUM(E967+E971+E972+E974+E973)</f>
        <v>824851</v>
      </c>
      <c r="F975" s="938">
        <f t="shared" si="37"/>
        <v>0.9968469774974017</v>
      </c>
    </row>
    <row r="976" spans="1:6" ht="13.5" thickBot="1">
      <c r="A976" s="355"/>
      <c r="B976" s="359" t="s">
        <v>1267</v>
      </c>
      <c r="C976" s="390">
        <f aca="true" t="shared" si="41" ref="C976:D979">SUM(C942+C909)</f>
        <v>0</v>
      </c>
      <c r="D976" s="390">
        <f t="shared" si="41"/>
        <v>0</v>
      </c>
      <c r="E976" s="390">
        <f>SUM(E942+E909)</f>
        <v>0</v>
      </c>
      <c r="F976" s="942"/>
    </row>
    <row r="977" spans="1:6" ht="12.75">
      <c r="A977" s="355"/>
      <c r="B977" s="356" t="s">
        <v>1265</v>
      </c>
      <c r="C977" s="384">
        <f t="shared" si="41"/>
        <v>0</v>
      </c>
      <c r="D977" s="384">
        <f t="shared" si="41"/>
        <v>23962</v>
      </c>
      <c r="E977" s="384">
        <f>SUM(E943+E910)</f>
        <v>23962</v>
      </c>
      <c r="F977" s="574">
        <f aca="true" t="shared" si="42" ref="F977:F1039">SUM(E977/D977)</f>
        <v>1</v>
      </c>
    </row>
    <row r="978" spans="1:6" ht="13.5" thickBot="1">
      <c r="A978" s="355"/>
      <c r="B978" s="364" t="s">
        <v>1266</v>
      </c>
      <c r="C978" s="385">
        <f t="shared" si="41"/>
        <v>0</v>
      </c>
      <c r="D978" s="385">
        <f t="shared" si="41"/>
        <v>0</v>
      </c>
      <c r="E978" s="385">
        <f>SUM(E944+E911)</f>
        <v>0</v>
      </c>
      <c r="F978" s="576"/>
    </row>
    <row r="979" spans="1:6" ht="13.5" thickBot="1">
      <c r="A979" s="365"/>
      <c r="B979" s="362" t="s">
        <v>1255</v>
      </c>
      <c r="C979" s="383">
        <f t="shared" si="41"/>
        <v>0</v>
      </c>
      <c r="D979" s="383">
        <f t="shared" si="41"/>
        <v>23962</v>
      </c>
      <c r="E979" s="383">
        <f>SUM(E945+E912)</f>
        <v>23962</v>
      </c>
      <c r="F979" s="942">
        <f t="shared" si="42"/>
        <v>1</v>
      </c>
    </row>
    <row r="980" spans="1:6" ht="13.5" thickBot="1">
      <c r="A980" s="365"/>
      <c r="B980" s="614" t="s">
        <v>235</v>
      </c>
      <c r="C980" s="383"/>
      <c r="D980" s="383">
        <f>SUM(D946)</f>
        <v>0</v>
      </c>
      <c r="E980" s="383">
        <f>SUM(E946)</f>
        <v>26</v>
      </c>
      <c r="F980" s="942"/>
    </row>
    <row r="981" spans="1:6" ht="15.75" thickBot="1">
      <c r="A981" s="365"/>
      <c r="B981" s="366" t="s">
        <v>1268</v>
      </c>
      <c r="C981" s="392">
        <f>SUM(C975+C976+C979)</f>
        <v>781362</v>
      </c>
      <c r="D981" s="392">
        <f>SUM(D975+D976+D979+D980)</f>
        <v>851422</v>
      </c>
      <c r="E981" s="392">
        <f>SUM(E975+E976+E979+E980)</f>
        <v>848839</v>
      </c>
      <c r="F981" s="938">
        <f t="shared" si="42"/>
        <v>0.9969662517529497</v>
      </c>
    </row>
    <row r="982" spans="1:6" ht="12.75">
      <c r="A982" s="353"/>
      <c r="B982" s="367" t="s">
        <v>1269</v>
      </c>
      <c r="C982" s="384">
        <f aca="true" t="shared" si="43" ref="C982:D986">SUM(C948+C914)</f>
        <v>426986</v>
      </c>
      <c r="D982" s="384">
        <f t="shared" si="43"/>
        <v>470892</v>
      </c>
      <c r="E982" s="384">
        <f>SUM(E948+E914)</f>
        <v>460149</v>
      </c>
      <c r="F982" s="574">
        <f t="shared" si="42"/>
        <v>0.9771858515328355</v>
      </c>
    </row>
    <row r="983" spans="1:6" ht="12.75">
      <c r="A983" s="353"/>
      <c r="B983" s="367" t="s">
        <v>1270</v>
      </c>
      <c r="C983" s="384">
        <f t="shared" si="43"/>
        <v>112085</v>
      </c>
      <c r="D983" s="384">
        <f t="shared" si="43"/>
        <v>124491</v>
      </c>
      <c r="E983" s="384">
        <f>SUM(E949+E915)</f>
        <v>121194</v>
      </c>
      <c r="F983" s="574">
        <f t="shared" si="42"/>
        <v>0.9735161577945394</v>
      </c>
    </row>
    <row r="984" spans="1:6" ht="12.75">
      <c r="A984" s="353"/>
      <c r="B984" s="367" t="s">
        <v>1271</v>
      </c>
      <c r="C984" s="384">
        <f t="shared" si="43"/>
        <v>242291</v>
      </c>
      <c r="D984" s="384">
        <f t="shared" si="43"/>
        <v>254592</v>
      </c>
      <c r="E984" s="384">
        <f>SUM(E950+E916)</f>
        <v>246400</v>
      </c>
      <c r="F984" s="574">
        <f t="shared" si="42"/>
        <v>0.9678230266465561</v>
      </c>
    </row>
    <row r="985" spans="1:6" ht="12.75">
      <c r="A985" s="353"/>
      <c r="B985" s="367" t="s">
        <v>1274</v>
      </c>
      <c r="C985" s="384">
        <f t="shared" si="43"/>
        <v>0</v>
      </c>
      <c r="D985" s="384">
        <f t="shared" si="43"/>
        <v>0</v>
      </c>
      <c r="E985" s="384">
        <f>SUM(E951+E917)</f>
        <v>0</v>
      </c>
      <c r="F985" s="574"/>
    </row>
    <row r="986" spans="1:6" ht="13.5" thickBot="1">
      <c r="A986" s="353"/>
      <c r="B986" s="368" t="s">
        <v>1275</v>
      </c>
      <c r="C986" s="385">
        <f t="shared" si="43"/>
        <v>0</v>
      </c>
      <c r="D986" s="385">
        <f t="shared" si="43"/>
        <v>788</v>
      </c>
      <c r="E986" s="385">
        <f>SUM(E952+E918)</f>
        <v>1130</v>
      </c>
      <c r="F986" s="576">
        <f t="shared" si="42"/>
        <v>1.4340101522842639</v>
      </c>
    </row>
    <row r="987" spans="1:6" ht="13.5" thickBot="1">
      <c r="A987" s="353"/>
      <c r="B987" s="369" t="s">
        <v>868</v>
      </c>
      <c r="C987" s="391">
        <f>SUM(C982:C986)</f>
        <v>781362</v>
      </c>
      <c r="D987" s="391">
        <f>SUM(D982:D986)</f>
        <v>850763</v>
      </c>
      <c r="E987" s="391">
        <f>SUM(E982:E986)</f>
        <v>828873</v>
      </c>
      <c r="F987" s="938">
        <f t="shared" si="42"/>
        <v>0.9742701551430892</v>
      </c>
    </row>
    <row r="988" spans="1:6" ht="12.75">
      <c r="A988" s="353"/>
      <c r="B988" s="367" t="s">
        <v>1276</v>
      </c>
      <c r="C988" s="384">
        <f aca="true" t="shared" si="44" ref="C988:D990">SUM(C954+C920)</f>
        <v>0</v>
      </c>
      <c r="D988" s="384">
        <f t="shared" si="44"/>
        <v>0</v>
      </c>
      <c r="E988" s="384">
        <f>SUM(E954+E920)</f>
        <v>0</v>
      </c>
      <c r="F988" s="574"/>
    </row>
    <row r="989" spans="1:6" ht="12.75">
      <c r="A989" s="353"/>
      <c r="B989" s="367" t="s">
        <v>1277</v>
      </c>
      <c r="C989" s="384">
        <f t="shared" si="44"/>
        <v>0</v>
      </c>
      <c r="D989" s="384">
        <f t="shared" si="44"/>
        <v>659</v>
      </c>
      <c r="E989" s="384">
        <f>SUM(E955+E921)</f>
        <v>1707</v>
      </c>
      <c r="F989" s="574">
        <f t="shared" si="42"/>
        <v>2.590288315629742</v>
      </c>
    </row>
    <row r="990" spans="1:6" ht="13.5" thickBot="1">
      <c r="A990" s="353"/>
      <c r="B990" s="370" t="s">
        <v>1278</v>
      </c>
      <c r="C990" s="385">
        <f t="shared" si="44"/>
        <v>0</v>
      </c>
      <c r="D990" s="385">
        <f t="shared" si="44"/>
        <v>0</v>
      </c>
      <c r="E990" s="385">
        <f>SUM(E956+E922)</f>
        <v>0</v>
      </c>
      <c r="F990" s="576"/>
    </row>
    <row r="991" spans="1:6" ht="13.5" thickBot="1">
      <c r="A991" s="353"/>
      <c r="B991" s="372" t="s">
        <v>874</v>
      </c>
      <c r="C991" s="390">
        <f>SUM(C988:C990)</f>
        <v>0</v>
      </c>
      <c r="D991" s="390">
        <f>SUM(D988:D990)</f>
        <v>659</v>
      </c>
      <c r="E991" s="390">
        <f>SUM(E988:E990)</f>
        <v>1707</v>
      </c>
      <c r="F991" s="938">
        <f t="shared" si="42"/>
        <v>2.590288315629742</v>
      </c>
    </row>
    <row r="992" spans="1:6" ht="13.5" thickBot="1">
      <c r="A992" s="353"/>
      <c r="B992" s="613" t="s">
        <v>233</v>
      </c>
      <c r="C992" s="391"/>
      <c r="D992" s="385">
        <f>SUM(D958+D924)</f>
        <v>0</v>
      </c>
      <c r="E992" s="385">
        <f>SUM(E958+E924)</f>
        <v>-5586</v>
      </c>
      <c r="F992" s="942"/>
    </row>
    <row r="993" spans="1:6" ht="15.75" thickBot="1">
      <c r="A993" s="371"/>
      <c r="B993" s="354" t="s">
        <v>890</v>
      </c>
      <c r="C993" s="396">
        <f>SUM(C959+C925)</f>
        <v>781362</v>
      </c>
      <c r="D993" s="396">
        <f>SUM(D959+D925)</f>
        <v>851422</v>
      </c>
      <c r="E993" s="396">
        <f>SUM(E959+E925+E992)</f>
        <v>819408</v>
      </c>
      <c r="F993" s="938">
        <f t="shared" si="42"/>
        <v>0.9623993742233581</v>
      </c>
    </row>
    <row r="994" spans="1:6" ht="15">
      <c r="A994" s="373">
        <v>2985</v>
      </c>
      <c r="B994" s="374" t="s">
        <v>1303</v>
      </c>
      <c r="C994" s="295"/>
      <c r="D994" s="295"/>
      <c r="E994" s="295"/>
      <c r="F994" s="574"/>
    </row>
    <row r="995" spans="1:6" ht="12.75">
      <c r="A995" s="355"/>
      <c r="B995" s="356" t="s">
        <v>1256</v>
      </c>
      <c r="C995" s="295">
        <v>36000</v>
      </c>
      <c r="D995" s="295">
        <v>53000</v>
      </c>
      <c r="E995" s="295">
        <v>53552</v>
      </c>
      <c r="F995" s="574">
        <f t="shared" si="42"/>
        <v>1.0104150943396226</v>
      </c>
    </row>
    <row r="996" spans="1:6" ht="12.75">
      <c r="A996" s="355"/>
      <c r="B996" s="356" t="s">
        <v>1257</v>
      </c>
      <c r="C996" s="295"/>
      <c r="D996" s="295"/>
      <c r="E996" s="295"/>
      <c r="F996" s="574"/>
    </row>
    <row r="997" spans="1:6" ht="12.75">
      <c r="A997" s="355"/>
      <c r="B997" s="356" t="s">
        <v>1258</v>
      </c>
      <c r="C997" s="295">
        <v>19000</v>
      </c>
      <c r="D997" s="295">
        <v>22000</v>
      </c>
      <c r="E997" s="295">
        <v>22590</v>
      </c>
      <c r="F997" s="574">
        <f t="shared" si="42"/>
        <v>1.0268181818181819</v>
      </c>
    </row>
    <row r="998" spans="1:6" ht="12.75">
      <c r="A998" s="355"/>
      <c r="B998" s="356" t="s">
        <v>1259</v>
      </c>
      <c r="C998" s="295"/>
      <c r="D998" s="295"/>
      <c r="E998" s="295"/>
      <c r="F998" s="574"/>
    </row>
    <row r="999" spans="1:6" ht="12.75">
      <c r="A999" s="355"/>
      <c r="B999" s="356" t="s">
        <v>1260</v>
      </c>
      <c r="C999" s="295">
        <v>15000</v>
      </c>
      <c r="D999" s="295">
        <v>22000</v>
      </c>
      <c r="E999" s="295">
        <v>22121</v>
      </c>
      <c r="F999" s="574">
        <f t="shared" si="42"/>
        <v>1.0055</v>
      </c>
    </row>
    <row r="1000" spans="1:6" ht="13.5" thickBot="1">
      <c r="A1000" s="355"/>
      <c r="B1000" s="358" t="s">
        <v>1261</v>
      </c>
      <c r="C1000" s="382"/>
      <c r="D1000" s="382"/>
      <c r="E1000" s="382"/>
      <c r="F1000" s="576"/>
    </row>
    <row r="1001" spans="1:6" ht="13.5" thickBot="1">
      <c r="A1001" s="355"/>
      <c r="B1001" s="359" t="s">
        <v>1249</v>
      </c>
      <c r="C1001" s="386">
        <f>SUM(C995:C1000)</f>
        <v>70000</v>
      </c>
      <c r="D1001" s="386">
        <f>SUM(D995:D1000)</f>
        <v>97000</v>
      </c>
      <c r="E1001" s="386">
        <f>SUM(E995:E1000)</f>
        <v>98263</v>
      </c>
      <c r="F1001" s="938">
        <f t="shared" si="42"/>
        <v>1.013020618556701</v>
      </c>
    </row>
    <row r="1002" spans="1:6" ht="12.75">
      <c r="A1002" s="355"/>
      <c r="B1002" s="356" t="s">
        <v>1262</v>
      </c>
      <c r="C1002" s="295">
        <v>169487</v>
      </c>
      <c r="D1002" s="295">
        <v>181627</v>
      </c>
      <c r="E1002" s="295">
        <v>180587</v>
      </c>
      <c r="F1002" s="574">
        <f t="shared" si="42"/>
        <v>0.994273979089012</v>
      </c>
    </row>
    <row r="1003" spans="1:6" ht="12.75">
      <c r="A1003" s="355"/>
      <c r="B1003" s="356" t="s">
        <v>1263</v>
      </c>
      <c r="C1003" s="295"/>
      <c r="D1003" s="295"/>
      <c r="E1003" s="295"/>
      <c r="F1003" s="574"/>
    </row>
    <row r="1004" spans="1:6" ht="13.5" thickBot="1">
      <c r="A1004" s="355"/>
      <c r="B1004" s="356" t="s">
        <v>1264</v>
      </c>
      <c r="C1004" s="382">
        <v>47100</v>
      </c>
      <c r="D1004" s="382">
        <v>47100</v>
      </c>
      <c r="E1004" s="382">
        <v>47100</v>
      </c>
      <c r="F1004" s="576">
        <f t="shared" si="42"/>
        <v>1</v>
      </c>
    </row>
    <row r="1005" spans="1:6" ht="13.5" thickBot="1">
      <c r="A1005" s="360"/>
      <c r="B1005" s="361" t="s">
        <v>1252</v>
      </c>
      <c r="C1005" s="298">
        <f>SUM(C1002:C1004)</f>
        <v>216587</v>
      </c>
      <c r="D1005" s="298">
        <f>SUM(D1002:D1004)</f>
        <v>228727</v>
      </c>
      <c r="E1005" s="298">
        <f>SUM(E1002:E1004)</f>
        <v>227687</v>
      </c>
      <c r="F1005" s="941">
        <f t="shared" si="42"/>
        <v>0.9954530947373944</v>
      </c>
    </row>
    <row r="1006" spans="1:6" ht="13.5" thickBot="1">
      <c r="A1006" s="357"/>
      <c r="B1006" s="362" t="s">
        <v>1253</v>
      </c>
      <c r="C1006" s="381"/>
      <c r="D1006" s="386">
        <v>5400</v>
      </c>
      <c r="E1006" s="386">
        <v>5400</v>
      </c>
      <c r="F1006" s="938">
        <f t="shared" si="42"/>
        <v>1</v>
      </c>
    </row>
    <row r="1007" spans="1:6" ht="13.5" thickBot="1">
      <c r="A1007" s="357"/>
      <c r="B1007" s="233" t="s">
        <v>237</v>
      </c>
      <c r="C1007" s="381"/>
      <c r="D1007" s="386">
        <v>4806</v>
      </c>
      <c r="E1007" s="386">
        <v>4806</v>
      </c>
      <c r="F1007" s="938">
        <f t="shared" si="42"/>
        <v>1</v>
      </c>
    </row>
    <row r="1008" spans="1:6" ht="13.5" thickBot="1">
      <c r="A1008" s="357"/>
      <c r="B1008" s="363" t="s">
        <v>1254</v>
      </c>
      <c r="C1008" s="386">
        <f>SUM(C1005+C1001+C1006)</f>
        <v>286587</v>
      </c>
      <c r="D1008" s="386">
        <f>SUM(D1005+D1001+D1006+D1007)</f>
        <v>335933</v>
      </c>
      <c r="E1008" s="386">
        <f>SUM(E1005+E1001+E1006+E1007)</f>
        <v>336156</v>
      </c>
      <c r="F1008" s="938">
        <f t="shared" si="42"/>
        <v>1.000663822845627</v>
      </c>
    </row>
    <row r="1009" spans="1:6" ht="13.5" thickBot="1">
      <c r="A1009" s="355"/>
      <c r="B1009" s="359" t="s">
        <v>1267</v>
      </c>
      <c r="C1009" s="381"/>
      <c r="D1009" s="381"/>
      <c r="E1009" s="381"/>
      <c r="F1009" s="942"/>
    </row>
    <row r="1010" spans="1:6" ht="12.75">
      <c r="A1010" s="355"/>
      <c r="B1010" s="356" t="s">
        <v>1265</v>
      </c>
      <c r="C1010" s="295"/>
      <c r="D1010" s="295">
        <v>4418</v>
      </c>
      <c r="E1010" s="295">
        <v>4418</v>
      </c>
      <c r="F1010" s="574">
        <f t="shared" si="42"/>
        <v>1</v>
      </c>
    </row>
    <row r="1011" spans="1:6" ht="13.5" thickBot="1">
      <c r="A1011" s="355"/>
      <c r="B1011" s="364" t="s">
        <v>1266</v>
      </c>
      <c r="C1011" s="382"/>
      <c r="D1011" s="382"/>
      <c r="E1011" s="382"/>
      <c r="F1011" s="576"/>
    </row>
    <row r="1012" spans="1:6" ht="13.5" thickBot="1">
      <c r="A1012" s="365"/>
      <c r="B1012" s="362" t="s">
        <v>1255</v>
      </c>
      <c r="C1012" s="382"/>
      <c r="D1012" s="298">
        <f>SUM(D1010:D1011)</f>
        <v>4418</v>
      </c>
      <c r="E1012" s="298">
        <f>SUM(E1010:E1011)</f>
        <v>4418</v>
      </c>
      <c r="F1012" s="938">
        <f t="shared" si="42"/>
        <v>1</v>
      </c>
    </row>
    <row r="1013" spans="1:6" ht="15.75" thickBot="1">
      <c r="A1013" s="365"/>
      <c r="B1013" s="366" t="s">
        <v>1268</v>
      </c>
      <c r="C1013" s="388">
        <f>SUM(C1008+C1009+C1012)</f>
        <v>286587</v>
      </c>
      <c r="D1013" s="388">
        <f>SUM(D1008+D1009+D1012)</f>
        <v>340351</v>
      </c>
      <c r="E1013" s="388">
        <f>SUM(E1008+E1009+E1012)</f>
        <v>340574</v>
      </c>
      <c r="F1013" s="938">
        <f t="shared" si="42"/>
        <v>1.0006552059491525</v>
      </c>
    </row>
    <row r="1014" spans="1:6" ht="12.75">
      <c r="A1014" s="353"/>
      <c r="B1014" s="367" t="s">
        <v>1269</v>
      </c>
      <c r="C1014" s="295">
        <v>120582</v>
      </c>
      <c r="D1014" s="295">
        <v>123062</v>
      </c>
      <c r="E1014" s="295">
        <v>122178</v>
      </c>
      <c r="F1014" s="574">
        <f t="shared" si="42"/>
        <v>0.9928166290162682</v>
      </c>
    </row>
    <row r="1015" spans="1:6" ht="12.75">
      <c r="A1015" s="353"/>
      <c r="B1015" s="367" t="s">
        <v>1270</v>
      </c>
      <c r="C1015" s="295">
        <v>31905</v>
      </c>
      <c r="D1015" s="295">
        <v>32662</v>
      </c>
      <c r="E1015" s="295">
        <v>32240</v>
      </c>
      <c r="F1015" s="574">
        <f t="shared" si="42"/>
        <v>0.9870797869083339</v>
      </c>
    </row>
    <row r="1016" spans="1:6" ht="12.75">
      <c r="A1016" s="353"/>
      <c r="B1016" s="367" t="s">
        <v>1271</v>
      </c>
      <c r="C1016" s="295">
        <v>134100</v>
      </c>
      <c r="D1016" s="295">
        <v>183779</v>
      </c>
      <c r="E1016" s="295">
        <v>184491</v>
      </c>
      <c r="F1016" s="574">
        <f t="shared" si="42"/>
        <v>1.0038742184906873</v>
      </c>
    </row>
    <row r="1017" spans="1:6" ht="12.75">
      <c r="A1017" s="353"/>
      <c r="B1017" s="589" t="s">
        <v>217</v>
      </c>
      <c r="C1017" s="295"/>
      <c r="D1017" s="590">
        <v>16978</v>
      </c>
      <c r="E1017" s="590">
        <v>16978</v>
      </c>
      <c r="F1017" s="574">
        <f t="shared" si="42"/>
        <v>1</v>
      </c>
    </row>
    <row r="1018" spans="1:6" ht="12.75">
      <c r="A1018" s="353"/>
      <c r="B1018" s="367" t="s">
        <v>1274</v>
      </c>
      <c r="C1018" s="295"/>
      <c r="D1018" s="295"/>
      <c r="E1018" s="295"/>
      <c r="F1018" s="574"/>
    </row>
    <row r="1019" spans="1:6" ht="13.5" thickBot="1">
      <c r="A1019" s="353"/>
      <c r="B1019" s="368" t="s">
        <v>1275</v>
      </c>
      <c r="C1019" s="382"/>
      <c r="D1019" s="382"/>
      <c r="E1019" s="382"/>
      <c r="F1019" s="576"/>
    </row>
    <row r="1020" spans="1:6" ht="13.5" thickBot="1">
      <c r="A1020" s="353"/>
      <c r="B1020" s="369" t="s">
        <v>868</v>
      </c>
      <c r="C1020" s="386">
        <f>SUM(C1014:C1019)</f>
        <v>286587</v>
      </c>
      <c r="D1020" s="386">
        <f>SUM(D1014:D1019)-D1017</f>
        <v>339503</v>
      </c>
      <c r="E1020" s="386">
        <f>SUM(E1014:E1019)-E1017</f>
        <v>338909</v>
      </c>
      <c r="F1020" s="938">
        <f t="shared" si="42"/>
        <v>0.99825038364904</v>
      </c>
    </row>
    <row r="1021" spans="1:6" ht="12.75">
      <c r="A1021" s="353"/>
      <c r="B1021" s="367" t="s">
        <v>1276</v>
      </c>
      <c r="C1021" s="295"/>
      <c r="D1021" s="295"/>
      <c r="E1021" s="295"/>
      <c r="F1021" s="574"/>
    </row>
    <row r="1022" spans="1:6" ht="12.75">
      <c r="A1022" s="353"/>
      <c r="B1022" s="367" t="s">
        <v>1277</v>
      </c>
      <c r="C1022" s="295"/>
      <c r="D1022" s="295">
        <v>848</v>
      </c>
      <c r="E1022" s="295">
        <v>848</v>
      </c>
      <c r="F1022" s="574">
        <f t="shared" si="42"/>
        <v>1</v>
      </c>
    </row>
    <row r="1023" spans="1:6" ht="13.5" thickBot="1">
      <c r="A1023" s="353"/>
      <c r="B1023" s="370" t="s">
        <v>1278</v>
      </c>
      <c r="C1023" s="382"/>
      <c r="D1023" s="382"/>
      <c r="E1023" s="382"/>
      <c r="F1023" s="576"/>
    </row>
    <row r="1024" spans="1:6" ht="13.5" thickBot="1">
      <c r="A1024" s="353"/>
      <c r="B1024" s="372" t="s">
        <v>874</v>
      </c>
      <c r="C1024" s="381"/>
      <c r="D1024" s="386">
        <f>SUM(D1022:D1023)</f>
        <v>848</v>
      </c>
      <c r="E1024" s="386">
        <f>SUM(E1022:E1023)</f>
        <v>848</v>
      </c>
      <c r="F1024" s="938">
        <f t="shared" si="42"/>
        <v>1</v>
      </c>
    </row>
    <row r="1025" spans="1:6" ht="13.5" thickBot="1">
      <c r="A1025" s="353"/>
      <c r="B1025" s="613" t="s">
        <v>233</v>
      </c>
      <c r="C1025" s="381"/>
      <c r="D1025" s="381"/>
      <c r="E1025" s="381">
        <v>-3514</v>
      </c>
      <c r="F1025" s="942"/>
    </row>
    <row r="1026" spans="1:6" ht="15.75" thickBot="1">
      <c r="A1026" s="371"/>
      <c r="B1026" s="354" t="s">
        <v>890</v>
      </c>
      <c r="C1026" s="388">
        <f>SUM(C1020+C1024)</f>
        <v>286587</v>
      </c>
      <c r="D1026" s="388">
        <f>SUM(D1020+D1024)</f>
        <v>340351</v>
      </c>
      <c r="E1026" s="388">
        <f>SUM(E1020+E1024+E1025)</f>
        <v>336243</v>
      </c>
      <c r="F1026" s="938">
        <f t="shared" si="42"/>
        <v>0.9879301074478993</v>
      </c>
    </row>
    <row r="1027" spans="1:6" ht="15">
      <c r="A1027" s="379">
        <v>2991</v>
      </c>
      <c r="B1027" s="374" t="s">
        <v>1112</v>
      </c>
      <c r="C1027" s="384"/>
      <c r="D1027" s="384"/>
      <c r="E1027" s="384"/>
      <c r="F1027" s="574"/>
    </row>
    <row r="1028" spans="1:6" ht="12.75">
      <c r="A1028" s="355"/>
      <c r="B1028" s="356" t="s">
        <v>1256</v>
      </c>
      <c r="C1028" s="384">
        <f aca="true" t="shared" si="45" ref="C1028:C1033">SUM(C995+C961+C858)</f>
        <v>62720</v>
      </c>
      <c r="D1028" s="384">
        <f aca="true" t="shared" si="46" ref="D1028:E1033">SUM(D995+D961+D858)</f>
        <v>61238</v>
      </c>
      <c r="E1028" s="384">
        <f t="shared" si="46"/>
        <v>61852</v>
      </c>
      <c r="F1028" s="574">
        <f t="shared" si="42"/>
        <v>1.0100264541624482</v>
      </c>
    </row>
    <row r="1029" spans="1:6" ht="12.75">
      <c r="A1029" s="355"/>
      <c r="B1029" s="356" t="s">
        <v>1257</v>
      </c>
      <c r="C1029" s="384">
        <f t="shared" si="45"/>
        <v>36108</v>
      </c>
      <c r="D1029" s="384">
        <f t="shared" si="46"/>
        <v>40387</v>
      </c>
      <c r="E1029" s="384">
        <f t="shared" si="46"/>
        <v>40281</v>
      </c>
      <c r="F1029" s="574">
        <f t="shared" si="42"/>
        <v>0.9973753930720282</v>
      </c>
    </row>
    <row r="1030" spans="1:6" ht="12.75">
      <c r="A1030" s="355"/>
      <c r="B1030" s="356" t="s">
        <v>1258</v>
      </c>
      <c r="C1030" s="384">
        <f t="shared" si="45"/>
        <v>35332</v>
      </c>
      <c r="D1030" s="384">
        <f t="shared" si="46"/>
        <v>81352</v>
      </c>
      <c r="E1030" s="384">
        <f t="shared" si="46"/>
        <v>81222</v>
      </c>
      <c r="F1030" s="574">
        <f t="shared" si="42"/>
        <v>0.9984020060969614</v>
      </c>
    </row>
    <row r="1031" spans="1:6" ht="12.75">
      <c r="A1031" s="355"/>
      <c r="B1031" s="356" t="s">
        <v>1259</v>
      </c>
      <c r="C1031" s="384">
        <f t="shared" si="45"/>
        <v>262093</v>
      </c>
      <c r="D1031" s="384">
        <f t="shared" si="46"/>
        <v>260961</v>
      </c>
      <c r="E1031" s="384">
        <f t="shared" si="46"/>
        <v>257973</v>
      </c>
      <c r="F1031" s="574">
        <f t="shared" si="42"/>
        <v>0.9885500132203663</v>
      </c>
    </row>
    <row r="1032" spans="1:6" ht="12.75">
      <c r="A1032" s="355"/>
      <c r="B1032" s="356" t="s">
        <v>1260</v>
      </c>
      <c r="C1032" s="384">
        <f t="shared" si="45"/>
        <v>76523</v>
      </c>
      <c r="D1032" s="384">
        <f t="shared" si="46"/>
        <v>89044</v>
      </c>
      <c r="E1032" s="384">
        <f t="shared" si="46"/>
        <v>96873</v>
      </c>
      <c r="F1032" s="574">
        <f t="shared" si="42"/>
        <v>1.0879228246709491</v>
      </c>
    </row>
    <row r="1033" spans="1:6" ht="13.5" thickBot="1">
      <c r="A1033" s="355"/>
      <c r="B1033" s="358" t="s">
        <v>1261</v>
      </c>
      <c r="C1033" s="385">
        <f t="shared" si="45"/>
        <v>0</v>
      </c>
      <c r="D1033" s="385">
        <f t="shared" si="46"/>
        <v>0</v>
      </c>
      <c r="E1033" s="385">
        <f t="shared" si="46"/>
        <v>25</v>
      </c>
      <c r="F1033" s="576"/>
    </row>
    <row r="1034" spans="1:6" ht="13.5" thickBot="1">
      <c r="A1034" s="355"/>
      <c r="B1034" s="359" t="s">
        <v>1249</v>
      </c>
      <c r="C1034" s="390">
        <f>SUM(C1028:C1033)</f>
        <v>472776</v>
      </c>
      <c r="D1034" s="390">
        <f>SUM(D1028:D1033)</f>
        <v>532982</v>
      </c>
      <c r="E1034" s="390">
        <f>SUM(E1028:E1033)</f>
        <v>538226</v>
      </c>
      <c r="F1034" s="938">
        <f t="shared" si="42"/>
        <v>1.0098389814290163</v>
      </c>
    </row>
    <row r="1035" spans="1:6" ht="12.75">
      <c r="A1035" s="355"/>
      <c r="B1035" s="356" t="s">
        <v>1262</v>
      </c>
      <c r="C1035" s="384">
        <f aca="true" t="shared" si="47" ref="C1035:D1037">SUM(C1002+C968+C865)</f>
        <v>4515830</v>
      </c>
      <c r="D1035" s="384">
        <f t="shared" si="47"/>
        <v>4779719</v>
      </c>
      <c r="E1035" s="384">
        <f>SUM(E1002+E968+E865)</f>
        <v>4645196</v>
      </c>
      <c r="F1035" s="574">
        <f t="shared" si="42"/>
        <v>0.9718554584484987</v>
      </c>
    </row>
    <row r="1036" spans="1:6" ht="12.75">
      <c r="A1036" s="355"/>
      <c r="B1036" s="356" t="s">
        <v>1263</v>
      </c>
      <c r="C1036" s="384">
        <f t="shared" si="47"/>
        <v>229992</v>
      </c>
      <c r="D1036" s="384">
        <f t="shared" si="47"/>
        <v>229992</v>
      </c>
      <c r="E1036" s="384">
        <f>SUM(E1003+E969+E866)</f>
        <v>251758</v>
      </c>
      <c r="F1036" s="574">
        <f t="shared" si="42"/>
        <v>1.0946380743678041</v>
      </c>
    </row>
    <row r="1037" spans="1:6" ht="13.5" thickBot="1">
      <c r="A1037" s="355"/>
      <c r="B1037" s="356" t="s">
        <v>1264</v>
      </c>
      <c r="C1037" s="385">
        <f t="shared" si="47"/>
        <v>47100</v>
      </c>
      <c r="D1037" s="385">
        <f t="shared" si="47"/>
        <v>47100</v>
      </c>
      <c r="E1037" s="385">
        <f>SUM(E1004+E970+E867)</f>
        <v>47100</v>
      </c>
      <c r="F1037" s="576">
        <f t="shared" si="42"/>
        <v>1</v>
      </c>
    </row>
    <row r="1038" spans="1:6" ht="13.5" thickBot="1">
      <c r="A1038" s="360"/>
      <c r="B1038" s="361" t="s">
        <v>1252</v>
      </c>
      <c r="C1038" s="390">
        <f>SUM(C1035:C1037)</f>
        <v>4792922</v>
      </c>
      <c r="D1038" s="390">
        <f>SUM(D1035:D1037)</f>
        <v>5056811</v>
      </c>
      <c r="E1038" s="390">
        <f>SUM(E1035:E1037)</f>
        <v>4944054</v>
      </c>
      <c r="F1038" s="938">
        <f t="shared" si="42"/>
        <v>0.977701954848619</v>
      </c>
    </row>
    <row r="1039" spans="1:6" ht="13.5" thickBot="1">
      <c r="A1039" s="357"/>
      <c r="B1039" s="362" t="s">
        <v>1253</v>
      </c>
      <c r="C1039" s="383">
        <f>SUM(C1006+C972+C869)</f>
        <v>0</v>
      </c>
      <c r="D1039" s="390">
        <f>SUM(D1006+D972+D869)</f>
        <v>31878</v>
      </c>
      <c r="E1039" s="390">
        <f>SUM(E1006+E972+E869)</f>
        <v>33459</v>
      </c>
      <c r="F1039" s="938">
        <f t="shared" si="42"/>
        <v>1.049595332204028</v>
      </c>
    </row>
    <row r="1040" spans="1:6" ht="13.5" thickBot="1">
      <c r="A1040" s="357"/>
      <c r="B1040" s="233" t="s">
        <v>237</v>
      </c>
      <c r="C1040" s="383"/>
      <c r="D1040" s="390">
        <f>SUM(D1007+D973+D870+D306)</f>
        <v>8136</v>
      </c>
      <c r="E1040" s="390">
        <f>SUM(E1007+E973+E870+E306)</f>
        <v>18401</v>
      </c>
      <c r="F1040" s="938">
        <f aca="true" t="shared" si="48" ref="F1040:F1063">SUM(E1040/D1040)</f>
        <v>2.261676499508358</v>
      </c>
    </row>
    <row r="1041" spans="1:6" ht="13.5" thickBot="1">
      <c r="A1041" s="357"/>
      <c r="B1041" s="362" t="s">
        <v>234</v>
      </c>
      <c r="C1041" s="383"/>
      <c r="D1041" s="390">
        <f>SUM(D974+D871)</f>
        <v>0</v>
      </c>
      <c r="E1041" s="390">
        <f>SUM(E974+E871)</f>
        <v>51373</v>
      </c>
      <c r="F1041" s="942"/>
    </row>
    <row r="1042" spans="1:6" ht="13.5" thickBot="1">
      <c r="A1042" s="357"/>
      <c r="B1042" s="363" t="s">
        <v>1254</v>
      </c>
      <c r="C1042" s="390">
        <f>SUM(C1034+C1038+C1039)</f>
        <v>5265698</v>
      </c>
      <c r="D1042" s="390">
        <f>SUM(D1034+D1038+D1039+D1040+D1041)</f>
        <v>5629807</v>
      </c>
      <c r="E1042" s="390">
        <f>SUM(E1034+E1038+E1039+E1040+E1041)</f>
        <v>5585513</v>
      </c>
      <c r="F1042" s="941">
        <f t="shared" si="48"/>
        <v>0.9921322347284729</v>
      </c>
    </row>
    <row r="1043" spans="1:6" ht="12.75">
      <c r="A1043" s="357"/>
      <c r="B1043" s="951" t="s">
        <v>264</v>
      </c>
      <c r="C1043" s="952"/>
      <c r="D1043" s="953">
        <f>SUM(D873)</f>
        <v>2911</v>
      </c>
      <c r="E1043" s="953">
        <f>SUM(E873)</f>
        <v>0</v>
      </c>
      <c r="F1043" s="954">
        <f t="shared" si="48"/>
        <v>0</v>
      </c>
    </row>
    <row r="1044" spans="1:6" ht="13.5" thickBot="1">
      <c r="A1044" s="357"/>
      <c r="B1044" s="955" t="s">
        <v>263</v>
      </c>
      <c r="C1044" s="391"/>
      <c r="D1044" s="385">
        <f>SUM(D874)</f>
        <v>5348</v>
      </c>
      <c r="E1044" s="385">
        <f>SUM(E874)</f>
        <v>5348</v>
      </c>
      <c r="F1044" s="576">
        <f t="shared" si="48"/>
        <v>1</v>
      </c>
    </row>
    <row r="1045" spans="1:6" ht="13.5" thickBot="1">
      <c r="A1045" s="355"/>
      <c r="B1045" s="359" t="s">
        <v>1267</v>
      </c>
      <c r="C1045" s="383">
        <f aca="true" t="shared" si="49" ref="C1045:D1047">SUM(C1009+C976+C875)</f>
        <v>0</v>
      </c>
      <c r="D1045" s="390">
        <f t="shared" si="49"/>
        <v>8259</v>
      </c>
      <c r="E1045" s="390">
        <f>SUM(E1009+E976+E875)</f>
        <v>5348</v>
      </c>
      <c r="F1045" s="938">
        <f t="shared" si="48"/>
        <v>0.6475360213100859</v>
      </c>
    </row>
    <row r="1046" spans="1:6" ht="12.75">
      <c r="A1046" s="355"/>
      <c r="B1046" s="356" t="s">
        <v>1265</v>
      </c>
      <c r="C1046" s="384">
        <f t="shared" si="49"/>
        <v>0</v>
      </c>
      <c r="D1046" s="384">
        <f t="shared" si="49"/>
        <v>157925</v>
      </c>
      <c r="E1046" s="384">
        <f>SUM(E1010+E977+E876)</f>
        <v>157925</v>
      </c>
      <c r="F1046" s="574">
        <f t="shared" si="48"/>
        <v>1</v>
      </c>
    </row>
    <row r="1047" spans="1:6" ht="13.5" thickBot="1">
      <c r="A1047" s="355"/>
      <c r="B1047" s="364" t="s">
        <v>1266</v>
      </c>
      <c r="C1047" s="385">
        <f t="shared" si="49"/>
        <v>0</v>
      </c>
      <c r="D1047" s="385">
        <f t="shared" si="49"/>
        <v>977</v>
      </c>
      <c r="E1047" s="385">
        <f>SUM(E1011+E978+E877)</f>
        <v>977</v>
      </c>
      <c r="F1047" s="576">
        <f t="shared" si="48"/>
        <v>1</v>
      </c>
    </row>
    <row r="1048" spans="1:6" ht="13.5" thickBot="1">
      <c r="A1048" s="365"/>
      <c r="B1048" s="362" t="s">
        <v>1255</v>
      </c>
      <c r="C1048" s="390">
        <f>SUM(C1045:C1047)</f>
        <v>0</v>
      </c>
      <c r="D1048" s="390">
        <f>SUM(D1046:D1047)</f>
        <v>158902</v>
      </c>
      <c r="E1048" s="390">
        <f>SUM(E1046:E1047)</f>
        <v>158902</v>
      </c>
      <c r="F1048" s="938">
        <f t="shared" si="48"/>
        <v>1</v>
      </c>
    </row>
    <row r="1049" spans="1:6" ht="13.5" thickBot="1">
      <c r="A1049" s="365"/>
      <c r="B1049" s="614" t="s">
        <v>235</v>
      </c>
      <c r="C1049" s="390"/>
      <c r="D1049" s="383">
        <f>SUM(D980+D879)</f>
        <v>0</v>
      </c>
      <c r="E1049" s="383">
        <f>SUM(E980+E879)</f>
        <v>1489</v>
      </c>
      <c r="F1049" s="942"/>
    </row>
    <row r="1050" spans="1:6" ht="15.75" thickBot="1">
      <c r="A1050" s="365"/>
      <c r="B1050" s="366" t="s">
        <v>1268</v>
      </c>
      <c r="C1050" s="392">
        <f>SUM(C1042+C1045+C1048)</f>
        <v>5265698</v>
      </c>
      <c r="D1050" s="392">
        <f>SUM(D1042+D1045+D1048+D1049)</f>
        <v>5796968</v>
      </c>
      <c r="E1050" s="392">
        <f>SUM(E1042+E1045+E1048+E1049)</f>
        <v>5751252</v>
      </c>
      <c r="F1050" s="941">
        <f t="shared" si="48"/>
        <v>0.9921138084598707</v>
      </c>
    </row>
    <row r="1051" spans="1:6" ht="12.75">
      <c r="A1051" s="353"/>
      <c r="B1051" s="367" t="s">
        <v>1269</v>
      </c>
      <c r="C1051" s="384">
        <f aca="true" t="shared" si="50" ref="C1051:D1053">SUM(C1014+C982+C881)</f>
        <v>2960979</v>
      </c>
      <c r="D1051" s="384">
        <f t="shared" si="50"/>
        <v>3135121</v>
      </c>
      <c r="E1051" s="384">
        <f>SUM(E1014+E982+E881)</f>
        <v>3047772</v>
      </c>
      <c r="F1051" s="574">
        <f t="shared" si="48"/>
        <v>0.9721385554177973</v>
      </c>
    </row>
    <row r="1052" spans="1:6" ht="12.75">
      <c r="A1052" s="353"/>
      <c r="B1052" s="367" t="s">
        <v>1270</v>
      </c>
      <c r="C1052" s="384">
        <f t="shared" si="50"/>
        <v>776566</v>
      </c>
      <c r="D1052" s="384">
        <f t="shared" si="50"/>
        <v>823710</v>
      </c>
      <c r="E1052" s="384">
        <f>SUM(E1015+E983+E882)</f>
        <v>797813</v>
      </c>
      <c r="F1052" s="574">
        <f t="shared" si="48"/>
        <v>0.9685605370822256</v>
      </c>
    </row>
    <row r="1053" spans="1:6" ht="12.75">
      <c r="A1053" s="353"/>
      <c r="B1053" s="367" t="s">
        <v>1271</v>
      </c>
      <c r="C1053" s="384">
        <f t="shared" si="50"/>
        <v>1526364</v>
      </c>
      <c r="D1053" s="384">
        <f t="shared" si="50"/>
        <v>1796523</v>
      </c>
      <c r="E1053" s="384">
        <f>SUM(E1016+E984+E883)</f>
        <v>1739787</v>
      </c>
      <c r="F1053" s="574">
        <f t="shared" si="48"/>
        <v>0.9684189960273262</v>
      </c>
    </row>
    <row r="1054" spans="1:6" ht="12.75">
      <c r="A1054" s="353"/>
      <c r="B1054" s="589" t="s">
        <v>217</v>
      </c>
      <c r="C1054" s="384"/>
      <c r="D1054" s="591">
        <f>SUM(D1017+D884)</f>
        <v>81390</v>
      </c>
      <c r="E1054" s="591">
        <f>SUM(E1017+E884)</f>
        <v>81390</v>
      </c>
      <c r="F1054" s="574">
        <f t="shared" si="48"/>
        <v>1</v>
      </c>
    </row>
    <row r="1055" spans="1:6" ht="12.75">
      <c r="A1055" s="353"/>
      <c r="B1055" s="367" t="s">
        <v>1274</v>
      </c>
      <c r="C1055" s="384">
        <f aca="true" t="shared" si="51" ref="C1055:E1056">SUM(C1018+C985+C885)</f>
        <v>0</v>
      </c>
      <c r="D1055" s="384">
        <f t="shared" si="51"/>
        <v>10</v>
      </c>
      <c r="E1055" s="384">
        <f t="shared" si="51"/>
        <v>5777</v>
      </c>
      <c r="F1055" s="574"/>
    </row>
    <row r="1056" spans="1:6" ht="13.5" thickBot="1">
      <c r="A1056" s="353"/>
      <c r="B1056" s="368" t="s">
        <v>1275</v>
      </c>
      <c r="C1056" s="385">
        <f t="shared" si="51"/>
        <v>0</v>
      </c>
      <c r="D1056" s="385">
        <f t="shared" si="51"/>
        <v>20436</v>
      </c>
      <c r="E1056" s="385">
        <f t="shared" si="51"/>
        <v>23047</v>
      </c>
      <c r="F1056" s="576">
        <f t="shared" si="48"/>
        <v>1.127764728909767</v>
      </c>
    </row>
    <row r="1057" spans="1:6" ht="13.5" thickBot="1">
      <c r="A1057" s="353"/>
      <c r="B1057" s="369" t="s">
        <v>868</v>
      </c>
      <c r="C1057" s="390">
        <f>SUM(C1051:C1056)</f>
        <v>5263909</v>
      </c>
      <c r="D1057" s="390">
        <f>SUM(D1051:D1056)-D1054</f>
        <v>5775800</v>
      </c>
      <c r="E1057" s="390">
        <f>SUM(E1051:E1056)-E1054</f>
        <v>5614196</v>
      </c>
      <c r="F1057" s="938">
        <f t="shared" si="48"/>
        <v>0.9720204993247689</v>
      </c>
    </row>
    <row r="1058" spans="1:6" ht="12.75">
      <c r="A1058" s="353"/>
      <c r="B1058" s="367" t="s">
        <v>1276</v>
      </c>
      <c r="C1058" s="384">
        <f aca="true" t="shared" si="52" ref="C1058:D1060">SUM(C1021+C988+C888)</f>
        <v>508</v>
      </c>
      <c r="D1058" s="384">
        <f t="shared" si="52"/>
        <v>1118</v>
      </c>
      <c r="E1058" s="384">
        <f>SUM(E1021+E988+E888)</f>
        <v>5331</v>
      </c>
      <c r="F1058" s="574">
        <f t="shared" si="48"/>
        <v>4.768336314847943</v>
      </c>
    </row>
    <row r="1059" spans="1:6" ht="12.75">
      <c r="A1059" s="353"/>
      <c r="B1059" s="367" t="s">
        <v>1277</v>
      </c>
      <c r="C1059" s="384">
        <f t="shared" si="52"/>
        <v>1281</v>
      </c>
      <c r="D1059" s="384">
        <f t="shared" si="52"/>
        <v>20050</v>
      </c>
      <c r="E1059" s="384">
        <f>SUM(E1022+E989+E889)</f>
        <v>14863</v>
      </c>
      <c r="F1059" s="574">
        <f t="shared" si="48"/>
        <v>0.7412967581047382</v>
      </c>
    </row>
    <row r="1060" spans="1:6" ht="13.5" thickBot="1">
      <c r="A1060" s="353"/>
      <c r="B1060" s="370" t="s">
        <v>1278</v>
      </c>
      <c r="C1060" s="385">
        <f t="shared" si="52"/>
        <v>0</v>
      </c>
      <c r="D1060" s="385">
        <f t="shared" si="52"/>
        <v>0</v>
      </c>
      <c r="E1060" s="385">
        <f>SUM(E1023+E990+E890)</f>
        <v>0</v>
      </c>
      <c r="F1060" s="576"/>
    </row>
    <row r="1061" spans="1:6" ht="13.5" thickBot="1">
      <c r="A1061" s="353"/>
      <c r="B1061" s="372" t="s">
        <v>874</v>
      </c>
      <c r="C1061" s="390">
        <f>SUM(C1058:C1060)</f>
        <v>1789</v>
      </c>
      <c r="D1061" s="390">
        <f>SUM(D1058:D1060)</f>
        <v>21168</v>
      </c>
      <c r="E1061" s="390">
        <f>SUM(E1058:E1060)</f>
        <v>20194</v>
      </c>
      <c r="F1061" s="938">
        <f t="shared" si="48"/>
        <v>0.9539871504157218</v>
      </c>
    </row>
    <row r="1062" spans="1:6" ht="13.5" thickBot="1">
      <c r="A1062" s="353"/>
      <c r="B1062" s="613" t="s">
        <v>233</v>
      </c>
      <c r="C1062" s="390"/>
      <c r="D1062" s="383">
        <f>SUM(D1025+D892+D992)</f>
        <v>0</v>
      </c>
      <c r="E1062" s="383">
        <f>SUM(E1025+E892+E992)</f>
        <v>-34098</v>
      </c>
      <c r="F1062" s="942"/>
    </row>
    <row r="1063" spans="1:6" ht="15.75" thickBot="1">
      <c r="A1063" s="371"/>
      <c r="B1063" s="354" t="s">
        <v>890</v>
      </c>
      <c r="C1063" s="392">
        <f>SUM(C1057+C1061)</f>
        <v>5265698</v>
      </c>
      <c r="D1063" s="392">
        <f>SUM(D1057+D1061+D1062)</f>
        <v>5796968</v>
      </c>
      <c r="E1063" s="392">
        <f>SUM(E1057+E1061+E1062)</f>
        <v>5600292</v>
      </c>
      <c r="F1063" s="941">
        <f t="shared" si="48"/>
        <v>0.966072608991459</v>
      </c>
    </row>
  </sheetData>
  <sheetProtection/>
  <mergeCells count="5">
    <mergeCell ref="A1:F1"/>
    <mergeCell ref="F5:F7"/>
    <mergeCell ref="A2:F2"/>
    <mergeCell ref="D5:D7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7" max="255" man="1"/>
    <brk id="260" max="255" man="1"/>
    <brk id="327" max="255" man="1"/>
    <brk id="394" max="255" man="1"/>
    <brk id="458" max="255" man="1"/>
    <brk id="523" max="255" man="1"/>
    <brk id="589" max="255" man="1"/>
    <brk id="657" max="255" man="1"/>
    <brk id="725" max="255" man="1"/>
    <brk id="792" max="255" man="1"/>
    <brk id="856" max="255" man="1"/>
    <brk id="925" max="255" man="1"/>
    <brk id="99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showZeros="0" zoomScalePageLayoutView="0" workbookViewId="0" topLeftCell="A67">
      <selection activeCell="E36" sqref="E36"/>
    </sheetView>
  </sheetViews>
  <sheetFormatPr defaultColWidth="9.00390625" defaultRowHeight="12.75"/>
  <cols>
    <col min="1" max="1" width="6.875" style="67" customWidth="1"/>
    <col min="2" max="2" width="50.125" style="68" customWidth="1"/>
    <col min="3" max="3" width="13.75390625" style="68" customWidth="1"/>
    <col min="4" max="5" width="12.75390625" style="68" customWidth="1"/>
    <col min="6" max="16384" width="9.125" style="68" customWidth="1"/>
  </cols>
  <sheetData>
    <row r="1" spans="1:6" ht="12">
      <c r="A1" s="1284" t="s">
        <v>1189</v>
      </c>
      <c r="B1" s="1285"/>
      <c r="C1" s="1285"/>
      <c r="D1" s="1286"/>
      <c r="E1" s="1286"/>
      <c r="F1" s="1286"/>
    </row>
    <row r="2" spans="1:6" ht="12.75">
      <c r="A2" s="1284" t="s">
        <v>1190</v>
      </c>
      <c r="B2" s="1285"/>
      <c r="C2" s="1285"/>
      <c r="D2" s="1286"/>
      <c r="E2" s="1286"/>
      <c r="F2" s="1286"/>
    </row>
    <row r="3" spans="1:3" s="1" customFormat="1" ht="11.25" customHeight="1">
      <c r="A3" s="90"/>
      <c r="B3" s="90"/>
      <c r="C3" s="247"/>
    </row>
    <row r="4" spans="3:6" ht="11.25" customHeight="1">
      <c r="C4" s="178"/>
      <c r="F4" s="178" t="s">
        <v>1060</v>
      </c>
    </row>
    <row r="5" spans="1:6" s="66" customFormat="1" ht="11.25" customHeight="1">
      <c r="A5" s="14"/>
      <c r="B5" s="91"/>
      <c r="C5" s="205" t="s">
        <v>930</v>
      </c>
      <c r="D5" s="1263" t="s">
        <v>302</v>
      </c>
      <c r="E5" s="1263" t="s">
        <v>850</v>
      </c>
      <c r="F5" s="1263" t="s">
        <v>231</v>
      </c>
    </row>
    <row r="6" spans="1:6" s="66" customFormat="1" ht="12" customHeight="1">
      <c r="A6" s="86" t="s">
        <v>1097</v>
      </c>
      <c r="B6" s="92" t="s">
        <v>1114</v>
      </c>
      <c r="C6" s="15" t="s">
        <v>194</v>
      </c>
      <c r="D6" s="1278"/>
      <c r="E6" s="1278"/>
      <c r="F6" s="1278"/>
    </row>
    <row r="7" spans="1:6" s="66" customFormat="1" ht="12.75" customHeight="1" thickBot="1">
      <c r="A7" s="80"/>
      <c r="B7" s="93"/>
      <c r="C7" s="52" t="s">
        <v>195</v>
      </c>
      <c r="D7" s="1279"/>
      <c r="E7" s="1279"/>
      <c r="F7" s="1283"/>
    </row>
    <row r="8" spans="1:6" s="66" customFormat="1" ht="12" customHeight="1">
      <c r="A8" s="95" t="s">
        <v>1016</v>
      </c>
      <c r="B8" s="130" t="s">
        <v>1017</v>
      </c>
      <c r="C8" s="18" t="s">
        <v>1018</v>
      </c>
      <c r="D8" s="95" t="s">
        <v>1019</v>
      </c>
      <c r="E8" s="95" t="s">
        <v>1020</v>
      </c>
      <c r="F8" s="95" t="s">
        <v>1148</v>
      </c>
    </row>
    <row r="9" spans="1:6" ht="12" customHeight="1">
      <c r="A9" s="14">
        <v>3010</v>
      </c>
      <c r="B9" s="96" t="s">
        <v>897</v>
      </c>
      <c r="C9" s="89">
        <f>SUM(C18+C27)</f>
        <v>23012</v>
      </c>
      <c r="D9" s="89">
        <f>SUM(D18+D27)</f>
        <v>25722</v>
      </c>
      <c r="E9" s="89">
        <f>SUM(E18+E27)</f>
        <v>20833</v>
      </c>
      <c r="F9" s="582">
        <f>SUM(E9/D9)</f>
        <v>0.8099292434491875</v>
      </c>
    </row>
    <row r="10" spans="1:6" ht="12" customHeight="1">
      <c r="A10" s="15">
        <v>3011</v>
      </c>
      <c r="B10" s="76" t="s">
        <v>898</v>
      </c>
      <c r="C10" s="89"/>
      <c r="D10" s="89"/>
      <c r="E10" s="89"/>
      <c r="F10" s="582"/>
    </row>
    <row r="11" spans="1:6" ht="12" customHeight="1">
      <c r="A11" s="70"/>
      <c r="B11" s="71" t="s">
        <v>899</v>
      </c>
      <c r="C11" s="77">
        <v>2830</v>
      </c>
      <c r="D11" s="77">
        <v>3075</v>
      </c>
      <c r="E11" s="77">
        <v>2867</v>
      </c>
      <c r="F11" s="575">
        <f>SUM(E11/D11)</f>
        <v>0.9323577235772358</v>
      </c>
    </row>
    <row r="12" spans="1:6" ht="12" customHeight="1">
      <c r="A12" s="70"/>
      <c r="B12" s="7" t="s">
        <v>1141</v>
      </c>
      <c r="C12" s="77">
        <v>703</v>
      </c>
      <c r="D12" s="77">
        <v>797</v>
      </c>
      <c r="E12" s="77">
        <v>748</v>
      </c>
      <c r="F12" s="575">
        <f>SUM(E12/D12)</f>
        <v>0.9385194479297365</v>
      </c>
    </row>
    <row r="13" spans="1:6" ht="12" customHeight="1">
      <c r="A13" s="84"/>
      <c r="B13" s="85" t="s">
        <v>1102</v>
      </c>
      <c r="C13" s="77">
        <v>5000</v>
      </c>
      <c r="D13" s="77">
        <v>5000</v>
      </c>
      <c r="E13" s="77">
        <v>2389</v>
      </c>
      <c r="F13" s="575">
        <f>SUM(E13/D13)</f>
        <v>0.4778</v>
      </c>
    </row>
    <row r="14" spans="1:6" ht="12" customHeight="1">
      <c r="A14" s="70"/>
      <c r="B14" s="10" t="s">
        <v>1116</v>
      </c>
      <c r="C14" s="77"/>
      <c r="D14" s="77"/>
      <c r="E14" s="77"/>
      <c r="F14" s="575"/>
    </row>
    <row r="15" spans="1:6" ht="12" customHeight="1">
      <c r="A15" s="70"/>
      <c r="B15" s="10" t="s">
        <v>914</v>
      </c>
      <c r="C15" s="77"/>
      <c r="D15" s="77"/>
      <c r="E15" s="77"/>
      <c r="F15" s="582"/>
    </row>
    <row r="16" spans="1:6" ht="12" customHeight="1">
      <c r="A16" s="84"/>
      <c r="B16" s="55" t="s">
        <v>303</v>
      </c>
      <c r="C16" s="77">
        <v>2000</v>
      </c>
      <c r="D16" s="77">
        <v>2000</v>
      </c>
      <c r="E16" s="77"/>
      <c r="F16" s="582">
        <f>SUM(E16/D16)</f>
        <v>0</v>
      </c>
    </row>
    <row r="17" spans="1:6" ht="12" customHeight="1" thickBot="1">
      <c r="A17" s="70"/>
      <c r="B17" s="97" t="s">
        <v>1031</v>
      </c>
      <c r="C17" s="78"/>
      <c r="D17" s="78"/>
      <c r="E17" s="78"/>
      <c r="F17" s="940"/>
    </row>
    <row r="18" spans="1:6" ht="12" customHeight="1" thickBot="1">
      <c r="A18" s="80"/>
      <c r="B18" s="57" t="s">
        <v>1095</v>
      </c>
      <c r="C18" s="82">
        <f>SUM(C11:C17)</f>
        <v>10533</v>
      </c>
      <c r="D18" s="82">
        <f>SUM(D11:D17)</f>
        <v>10872</v>
      </c>
      <c r="E18" s="82">
        <f>SUM(E11:E17)</f>
        <v>6004</v>
      </c>
      <c r="F18" s="938">
        <f>SUM(E18/D18)</f>
        <v>0.5522442972774099</v>
      </c>
    </row>
    <row r="19" spans="1:6" ht="12" customHeight="1">
      <c r="A19" s="86">
        <v>3012</v>
      </c>
      <c r="B19" s="102" t="s">
        <v>991</v>
      </c>
      <c r="C19" s="99"/>
      <c r="D19" s="99"/>
      <c r="E19" s="89"/>
      <c r="F19" s="582"/>
    </row>
    <row r="20" spans="1:6" ht="12" customHeight="1">
      <c r="A20" s="15"/>
      <c r="B20" s="71" t="s">
        <v>899</v>
      </c>
      <c r="C20" s="166">
        <v>9947</v>
      </c>
      <c r="D20" s="166">
        <v>11525</v>
      </c>
      <c r="E20" s="267">
        <v>11302</v>
      </c>
      <c r="F20" s="575">
        <f>SUM(E20/D20)</f>
        <v>0.980650759219089</v>
      </c>
    </row>
    <row r="21" spans="1:6" ht="12" customHeight="1">
      <c r="A21" s="15"/>
      <c r="B21" s="7" t="s">
        <v>1141</v>
      </c>
      <c r="C21" s="166">
        <v>2532</v>
      </c>
      <c r="D21" s="166">
        <v>3325</v>
      </c>
      <c r="E21" s="267">
        <v>3218</v>
      </c>
      <c r="F21" s="575">
        <f>SUM(E21/D21)</f>
        <v>0.9678195488721805</v>
      </c>
    </row>
    <row r="22" spans="1:6" ht="12" customHeight="1">
      <c r="A22" s="86"/>
      <c r="B22" s="85" t="s">
        <v>1102</v>
      </c>
      <c r="C22" s="166"/>
      <c r="D22" s="166"/>
      <c r="E22" s="267">
        <v>309</v>
      </c>
      <c r="F22" s="582"/>
    </row>
    <row r="23" spans="1:6" ht="12" customHeight="1">
      <c r="A23" s="15"/>
      <c r="B23" s="10" t="s">
        <v>1116</v>
      </c>
      <c r="C23" s="47"/>
      <c r="D23" s="47"/>
      <c r="E23" s="89"/>
      <c r="F23" s="582"/>
    </row>
    <row r="24" spans="1:6" ht="12" customHeight="1">
      <c r="A24" s="15"/>
      <c r="B24" s="10" t="s">
        <v>914</v>
      </c>
      <c r="C24" s="47"/>
      <c r="D24" s="47"/>
      <c r="E24" s="89"/>
      <c r="F24" s="582"/>
    </row>
    <row r="25" spans="1:6" ht="12" customHeight="1">
      <c r="A25" s="86"/>
      <c r="B25" s="55" t="s">
        <v>1103</v>
      </c>
      <c r="C25" s="47"/>
      <c r="D25" s="47"/>
      <c r="E25" s="89"/>
      <c r="F25" s="582"/>
    </row>
    <row r="26" spans="1:6" ht="12" customHeight="1" thickBot="1">
      <c r="A26" s="15"/>
      <c r="B26" s="97" t="s">
        <v>1031</v>
      </c>
      <c r="C26" s="48"/>
      <c r="D26" s="48"/>
      <c r="E26" s="48"/>
      <c r="F26" s="940"/>
    </row>
    <row r="27" spans="1:6" ht="12" customHeight="1" thickBot="1">
      <c r="A27" s="86"/>
      <c r="B27" s="57" t="s">
        <v>1095</v>
      </c>
      <c r="C27" s="88">
        <f>SUM(C20:C26)</f>
        <v>12479</v>
      </c>
      <c r="D27" s="88">
        <f>SUM(D20:D26)</f>
        <v>14850</v>
      </c>
      <c r="E27" s="88">
        <f>SUM(E20:E26)</f>
        <v>14829</v>
      </c>
      <c r="F27" s="938">
        <f>SUM(E27/D27)</f>
        <v>0.9985858585858586</v>
      </c>
    </row>
    <row r="28" spans="1:6" s="66" customFormat="1" ht="12" customHeight="1">
      <c r="A28" s="107">
        <v>3020</v>
      </c>
      <c r="B28" s="98" t="s">
        <v>900</v>
      </c>
      <c r="C28" s="99">
        <f>SUM(C38+C62+C70+C46+C54+C79)</f>
        <v>1980082</v>
      </c>
      <c r="D28" s="99">
        <f>SUM(D38+D62+D70+D46+D54+D79)</f>
        <v>2066788</v>
      </c>
      <c r="E28" s="99">
        <f>SUM(E38+E62+E70+E46+E54+E79)</f>
        <v>1858770</v>
      </c>
      <c r="F28" s="582">
        <f>SUM(E28/D28)</f>
        <v>0.8993520380416375</v>
      </c>
    </row>
    <row r="29" spans="1:6" s="66" customFormat="1" ht="12" customHeight="1">
      <c r="A29" s="86">
        <v>3021</v>
      </c>
      <c r="B29" s="100" t="s">
        <v>901</v>
      </c>
      <c r="C29" s="89"/>
      <c r="D29" s="89"/>
      <c r="E29" s="89"/>
      <c r="F29" s="582"/>
    </row>
    <row r="30" spans="1:6" ht="12" customHeight="1">
      <c r="A30" s="70"/>
      <c r="B30" s="71" t="s">
        <v>899</v>
      </c>
      <c r="C30" s="77">
        <v>1069824</v>
      </c>
      <c r="D30" s="77">
        <v>1119003</v>
      </c>
      <c r="E30" s="77">
        <v>1080196</v>
      </c>
      <c r="F30" s="575">
        <f>SUM(E30/D30)</f>
        <v>0.9653200214834098</v>
      </c>
    </row>
    <row r="31" spans="1:6" ht="12" customHeight="1">
      <c r="A31" s="70"/>
      <c r="B31" s="7" t="s">
        <v>1141</v>
      </c>
      <c r="C31" s="77">
        <v>265467</v>
      </c>
      <c r="D31" s="77">
        <v>317603</v>
      </c>
      <c r="E31" s="77">
        <v>292923</v>
      </c>
      <c r="F31" s="575">
        <f>SUM(E31/D31)</f>
        <v>0.9222929254446589</v>
      </c>
    </row>
    <row r="32" spans="1:6" ht="12" customHeight="1">
      <c r="A32" s="84"/>
      <c r="B32" s="85" t="s">
        <v>1102</v>
      </c>
      <c r="C32" s="77">
        <v>343793</v>
      </c>
      <c r="D32" s="77">
        <v>337175</v>
      </c>
      <c r="E32" s="77">
        <v>245293</v>
      </c>
      <c r="F32" s="575">
        <f>SUM(E32/D32)</f>
        <v>0.7274946244531771</v>
      </c>
    </row>
    <row r="33" spans="1:6" ht="12" customHeight="1">
      <c r="A33" s="70"/>
      <c r="B33" s="10" t="s">
        <v>1116</v>
      </c>
      <c r="C33" s="77"/>
      <c r="D33" s="77"/>
      <c r="E33" s="77"/>
      <c r="F33" s="575"/>
    </row>
    <row r="34" spans="1:6" ht="12" customHeight="1">
      <c r="A34" s="70"/>
      <c r="B34" s="10" t="s">
        <v>914</v>
      </c>
      <c r="C34" s="77"/>
      <c r="D34" s="77">
        <v>268</v>
      </c>
      <c r="E34" s="77">
        <v>268</v>
      </c>
      <c r="F34" s="575">
        <f>SUM(E34/D34)</f>
        <v>1</v>
      </c>
    </row>
    <row r="35" spans="1:6" ht="12" customHeight="1">
      <c r="A35" s="84"/>
      <c r="B35" s="74" t="s">
        <v>283</v>
      </c>
      <c r="C35" s="72">
        <v>8000</v>
      </c>
      <c r="D35" s="72">
        <v>4591</v>
      </c>
      <c r="E35" s="77">
        <v>4590</v>
      </c>
      <c r="F35" s="575">
        <f>SUM(E35/D35)</f>
        <v>0.999782182531039</v>
      </c>
    </row>
    <row r="36" spans="1:6" ht="12" customHeight="1">
      <c r="A36" s="84"/>
      <c r="B36" s="55" t="s">
        <v>282</v>
      </c>
      <c r="C36" s="72"/>
      <c r="D36" s="72">
        <v>4864</v>
      </c>
      <c r="E36" s="77">
        <v>4864</v>
      </c>
      <c r="F36" s="575">
        <f>SUM(E36/D36)</f>
        <v>1</v>
      </c>
    </row>
    <row r="37" spans="1:6" ht="12" customHeight="1" thickBot="1">
      <c r="A37" s="70"/>
      <c r="B37" s="97" t="s">
        <v>1030</v>
      </c>
      <c r="C37" s="78">
        <v>25000</v>
      </c>
      <c r="D37" s="78"/>
      <c r="E37" s="78"/>
      <c r="F37" s="940"/>
    </row>
    <row r="38" spans="1:6" ht="12" customHeight="1" thickBot="1">
      <c r="A38" s="80"/>
      <c r="B38" s="57" t="s">
        <v>1095</v>
      </c>
      <c r="C38" s="82">
        <f>SUM(C30:C37)</f>
        <v>1712084</v>
      </c>
      <c r="D38" s="82">
        <f>SUM(D30:D37)</f>
        <v>1783504</v>
      </c>
      <c r="E38" s="82">
        <f>SUM(E30:E37)</f>
        <v>1628134</v>
      </c>
      <c r="F38" s="938">
        <f>SUM(E38/D38)</f>
        <v>0.912884972503566</v>
      </c>
    </row>
    <row r="39" spans="1:6" ht="12" customHeight="1">
      <c r="A39" s="86">
        <v>3022</v>
      </c>
      <c r="B39" s="101" t="s">
        <v>902</v>
      </c>
      <c r="C39" s="89"/>
      <c r="D39" s="89"/>
      <c r="E39" s="89"/>
      <c r="F39" s="582"/>
    </row>
    <row r="40" spans="1:6" ht="12" customHeight="1">
      <c r="A40" s="70"/>
      <c r="B40" s="71" t="s">
        <v>899</v>
      </c>
      <c r="C40" s="77">
        <v>44834</v>
      </c>
      <c r="D40" s="77">
        <v>44915</v>
      </c>
      <c r="E40" s="77">
        <v>43697</v>
      </c>
      <c r="F40" s="575">
        <f>SUM(E40/D40)</f>
        <v>0.9728821106534565</v>
      </c>
    </row>
    <row r="41" spans="1:6" ht="12" customHeight="1">
      <c r="A41" s="70"/>
      <c r="B41" s="7" t="s">
        <v>1141</v>
      </c>
      <c r="C41" s="77">
        <v>12105</v>
      </c>
      <c r="D41" s="77">
        <v>12161</v>
      </c>
      <c r="E41" s="77">
        <v>10895</v>
      </c>
      <c r="F41" s="575">
        <f>SUM(E41/D41)</f>
        <v>0.8958967190198175</v>
      </c>
    </row>
    <row r="42" spans="1:6" ht="12" customHeight="1">
      <c r="A42" s="84"/>
      <c r="B42" s="85" t="s">
        <v>1102</v>
      </c>
      <c r="C42" s="77">
        <v>1711</v>
      </c>
      <c r="D42" s="77">
        <v>1711</v>
      </c>
      <c r="E42" s="77">
        <v>1655</v>
      </c>
      <c r="F42" s="575">
        <f>SUM(E42/D42)</f>
        <v>0.967270601987142</v>
      </c>
    </row>
    <row r="43" spans="1:6" ht="12" customHeight="1">
      <c r="A43" s="70"/>
      <c r="B43" s="10" t="s">
        <v>1116</v>
      </c>
      <c r="C43" s="77"/>
      <c r="D43" s="77"/>
      <c r="E43" s="77"/>
      <c r="F43" s="582"/>
    </row>
    <row r="44" spans="1:6" ht="12" customHeight="1">
      <c r="A44" s="70"/>
      <c r="B44" s="10" t="s">
        <v>914</v>
      </c>
      <c r="C44" s="77"/>
      <c r="D44" s="77"/>
      <c r="E44" s="77"/>
      <c r="F44" s="582"/>
    </row>
    <row r="45" spans="1:6" ht="12" customHeight="1" thickBot="1">
      <c r="A45" s="84"/>
      <c r="B45" s="55" t="s">
        <v>1103</v>
      </c>
      <c r="C45" s="72"/>
      <c r="D45" s="72"/>
      <c r="E45" s="673"/>
      <c r="F45" s="940"/>
    </row>
    <row r="46" spans="1:6" ht="12.75" thickBot="1">
      <c r="A46" s="80"/>
      <c r="B46" s="57" t="s">
        <v>1095</v>
      </c>
      <c r="C46" s="82">
        <f>SUM(C40:C45)</f>
        <v>58650</v>
      </c>
      <c r="D46" s="82">
        <f>SUM(D40:D45)</f>
        <v>58787</v>
      </c>
      <c r="E46" s="82">
        <f>SUM(E40:E45)</f>
        <v>56247</v>
      </c>
      <c r="F46" s="938">
        <f>SUM(E46/D46)</f>
        <v>0.9567931685576743</v>
      </c>
    </row>
    <row r="47" spans="1:6" ht="12">
      <c r="A47" s="228">
        <v>3023</v>
      </c>
      <c r="B47" s="98" t="s">
        <v>1043</v>
      </c>
      <c r="C47" s="99"/>
      <c r="D47" s="99"/>
      <c r="E47" s="89"/>
      <c r="F47" s="582"/>
    </row>
    <row r="48" spans="1:6" ht="12">
      <c r="A48" s="58"/>
      <c r="B48" s="71" t="s">
        <v>899</v>
      </c>
      <c r="C48" s="77"/>
      <c r="D48" s="77"/>
      <c r="E48" s="77"/>
      <c r="F48" s="582"/>
    </row>
    <row r="49" spans="1:6" ht="12">
      <c r="A49" s="219"/>
      <c r="B49" s="7" t="s">
        <v>1141</v>
      </c>
      <c r="C49" s="77"/>
      <c r="D49" s="77"/>
      <c r="E49" s="77"/>
      <c r="F49" s="582"/>
    </row>
    <row r="50" spans="1:6" ht="12">
      <c r="A50" s="55"/>
      <c r="B50" s="85" t="s">
        <v>1102</v>
      </c>
      <c r="C50" s="77">
        <v>27795</v>
      </c>
      <c r="D50" s="77">
        <v>37938</v>
      </c>
      <c r="E50" s="77">
        <v>37938</v>
      </c>
      <c r="F50" s="575">
        <f>SUM(E50/D50)</f>
        <v>1</v>
      </c>
    </row>
    <row r="51" spans="1:6" ht="12">
      <c r="A51" s="36"/>
      <c r="B51" s="10" t="s">
        <v>1116</v>
      </c>
      <c r="C51" s="77"/>
      <c r="D51" s="77"/>
      <c r="E51" s="77"/>
      <c r="F51" s="582"/>
    </row>
    <row r="52" spans="1:6" ht="12">
      <c r="A52" s="36"/>
      <c r="B52" s="10" t="s">
        <v>914</v>
      </c>
      <c r="C52" s="77"/>
      <c r="D52" s="77"/>
      <c r="E52" s="77"/>
      <c r="F52" s="582"/>
    </row>
    <row r="53" spans="1:6" ht="12.75" thickBot="1">
      <c r="A53" s="58"/>
      <c r="B53" s="74" t="s">
        <v>1103</v>
      </c>
      <c r="C53" s="77"/>
      <c r="D53" s="77"/>
      <c r="E53" s="78"/>
      <c r="F53" s="940"/>
    </row>
    <row r="54" spans="1:6" ht="12.75" thickBot="1">
      <c r="A54" s="179"/>
      <c r="B54" s="57" t="s">
        <v>1095</v>
      </c>
      <c r="C54" s="82">
        <f>SUM(C48:C53)</f>
        <v>27795</v>
      </c>
      <c r="D54" s="82">
        <f>SUM(D48:D53)</f>
        <v>37938</v>
      </c>
      <c r="E54" s="82">
        <f>SUM(E48:E53)</f>
        <v>37938</v>
      </c>
      <c r="F54" s="938">
        <f>SUM(E54/D54)</f>
        <v>1</v>
      </c>
    </row>
    <row r="55" spans="1:6" ht="12">
      <c r="A55" s="86">
        <v>3024</v>
      </c>
      <c r="B55" s="101" t="s">
        <v>903</v>
      </c>
      <c r="C55" s="89"/>
      <c r="D55" s="89"/>
      <c r="E55" s="89"/>
      <c r="F55" s="582"/>
    </row>
    <row r="56" spans="1:6" ht="12" customHeight="1">
      <c r="A56" s="70"/>
      <c r="B56" s="71" t="s">
        <v>899</v>
      </c>
      <c r="C56" s="77"/>
      <c r="D56" s="77"/>
      <c r="E56" s="77"/>
      <c r="F56" s="582"/>
    </row>
    <row r="57" spans="1:6" ht="12" customHeight="1">
      <c r="A57" s="70"/>
      <c r="B57" s="7" t="s">
        <v>1141</v>
      </c>
      <c r="C57" s="77"/>
      <c r="D57" s="77"/>
      <c r="E57" s="77"/>
      <c r="F57" s="582"/>
    </row>
    <row r="58" spans="1:6" ht="12" customHeight="1">
      <c r="A58" s="84"/>
      <c r="B58" s="85" t="s">
        <v>1102</v>
      </c>
      <c r="C58" s="77">
        <v>10000</v>
      </c>
      <c r="D58" s="77">
        <v>10000</v>
      </c>
      <c r="E58" s="77">
        <v>5996</v>
      </c>
      <c r="F58" s="575">
        <f>SUM(E58/D58)</f>
        <v>0.5996</v>
      </c>
    </row>
    <row r="59" spans="1:6" ht="12" customHeight="1">
      <c r="A59" s="70"/>
      <c r="B59" s="10" t="s">
        <v>1116</v>
      </c>
      <c r="C59" s="77"/>
      <c r="D59" s="77"/>
      <c r="E59" s="77"/>
      <c r="F59" s="582"/>
    </row>
    <row r="60" spans="1:6" ht="12" customHeight="1">
      <c r="A60" s="70"/>
      <c r="B60" s="10" t="s">
        <v>914</v>
      </c>
      <c r="C60" s="77"/>
      <c r="D60" s="77"/>
      <c r="E60" s="77"/>
      <c r="F60" s="582"/>
    </row>
    <row r="61" spans="1:6" ht="12" customHeight="1" thickBot="1">
      <c r="A61" s="84"/>
      <c r="B61" s="55" t="s">
        <v>1103</v>
      </c>
      <c r="C61" s="72"/>
      <c r="D61" s="72"/>
      <c r="E61" s="673"/>
      <c r="F61" s="940"/>
    </row>
    <row r="62" spans="1:6" ht="12" customHeight="1" thickBot="1">
      <c r="A62" s="80"/>
      <c r="B62" s="57" t="s">
        <v>1095</v>
      </c>
      <c r="C62" s="82">
        <f>SUM(C56:C61)</f>
        <v>10000</v>
      </c>
      <c r="D62" s="82">
        <f>SUM(D56:D61)</f>
        <v>10000</v>
      </c>
      <c r="E62" s="82">
        <f>SUM(E56:E61)</f>
        <v>5996</v>
      </c>
      <c r="F62" s="938">
        <f>SUM(E62/D62)</f>
        <v>0.5996</v>
      </c>
    </row>
    <row r="63" spans="1:6" ht="12" customHeight="1">
      <c r="A63" s="86">
        <v>3025</v>
      </c>
      <c r="B63" s="103" t="s">
        <v>904</v>
      </c>
      <c r="C63" s="89"/>
      <c r="D63" s="89"/>
      <c r="E63" s="89"/>
      <c r="F63" s="582"/>
    </row>
    <row r="64" spans="1:6" ht="12" customHeight="1">
      <c r="A64" s="84"/>
      <c r="B64" s="71" t="s">
        <v>899</v>
      </c>
      <c r="C64" s="77">
        <v>1939</v>
      </c>
      <c r="D64" s="77">
        <v>41</v>
      </c>
      <c r="E64" s="77">
        <v>41</v>
      </c>
      <c r="F64" s="575">
        <f>SUM(E64/D64)</f>
        <v>1</v>
      </c>
    </row>
    <row r="65" spans="1:6" ht="12" customHeight="1">
      <c r="A65" s="84"/>
      <c r="B65" s="7" t="s">
        <v>1141</v>
      </c>
      <c r="C65" s="77">
        <v>550</v>
      </c>
      <c r="D65" s="77">
        <v>136</v>
      </c>
      <c r="E65" s="77">
        <v>136</v>
      </c>
      <c r="F65" s="575">
        <f>SUM(E65/D65)</f>
        <v>1</v>
      </c>
    </row>
    <row r="66" spans="1:6" ht="12" customHeight="1">
      <c r="A66" s="84"/>
      <c r="B66" s="85" t="s">
        <v>1102</v>
      </c>
      <c r="C66" s="77">
        <v>2584</v>
      </c>
      <c r="D66" s="77">
        <v>508</v>
      </c>
      <c r="E66" s="77">
        <v>504</v>
      </c>
      <c r="F66" s="575">
        <f>SUM(E66/D66)</f>
        <v>0.9921259842519685</v>
      </c>
    </row>
    <row r="67" spans="1:6" ht="12" customHeight="1">
      <c r="A67" s="84"/>
      <c r="B67" s="10" t="s">
        <v>1116</v>
      </c>
      <c r="C67" s="47"/>
      <c r="D67" s="47"/>
      <c r="E67" s="89"/>
      <c r="F67" s="582"/>
    </row>
    <row r="68" spans="1:6" ht="12" customHeight="1">
      <c r="A68" s="84"/>
      <c r="B68" s="10" t="s">
        <v>914</v>
      </c>
      <c r="C68" s="104"/>
      <c r="D68" s="104"/>
      <c r="E68" s="83"/>
      <c r="F68" s="582"/>
    </row>
    <row r="69" spans="1:6" ht="12" customHeight="1" thickBot="1">
      <c r="A69" s="84"/>
      <c r="B69" s="74" t="s">
        <v>1103</v>
      </c>
      <c r="C69" s="160"/>
      <c r="D69" s="160"/>
      <c r="E69" s="160"/>
      <c r="F69" s="940"/>
    </row>
    <row r="70" spans="1:6" ht="12" customHeight="1" thickBot="1">
      <c r="A70" s="80"/>
      <c r="B70" s="57" t="s">
        <v>1095</v>
      </c>
      <c r="C70" s="82">
        <f>SUM(C63:C69)</f>
        <v>5073</v>
      </c>
      <c r="D70" s="82">
        <f>SUM(D63:D69)</f>
        <v>685</v>
      </c>
      <c r="E70" s="82">
        <f>SUM(E63:E69)</f>
        <v>681</v>
      </c>
      <c r="F70" s="941">
        <f>SUM(E70/D70)</f>
        <v>0.9941605839416059</v>
      </c>
    </row>
    <row r="71" spans="1:6" ht="12" customHeight="1">
      <c r="A71" s="69">
        <v>3026</v>
      </c>
      <c r="B71" s="102" t="s">
        <v>1127</v>
      </c>
      <c r="C71" s="89"/>
      <c r="D71" s="89"/>
      <c r="E71" s="89"/>
      <c r="F71" s="582"/>
    </row>
    <row r="72" spans="1:6" ht="12" customHeight="1">
      <c r="A72" s="15"/>
      <c r="B72" s="71" t="s">
        <v>899</v>
      </c>
      <c r="C72" s="77"/>
      <c r="D72" s="77"/>
      <c r="E72" s="77"/>
      <c r="F72" s="582"/>
    </row>
    <row r="73" spans="1:6" ht="12" customHeight="1">
      <c r="A73" s="15"/>
      <c r="B73" s="7" t="s">
        <v>1141</v>
      </c>
      <c r="C73" s="77"/>
      <c r="D73" s="77"/>
      <c r="E73" s="77"/>
      <c r="F73" s="582"/>
    </row>
    <row r="74" spans="1:6" ht="12" customHeight="1">
      <c r="A74" s="15"/>
      <c r="B74" s="85" t="s">
        <v>1102</v>
      </c>
      <c r="C74" s="77">
        <v>91238</v>
      </c>
      <c r="D74" s="77">
        <v>81142</v>
      </c>
      <c r="E74" s="77">
        <v>75081</v>
      </c>
      <c r="F74" s="575">
        <f aca="true" t="shared" si="0" ref="F74:F94">SUM(E74/D74)</f>
        <v>0.9253037884203003</v>
      </c>
    </row>
    <row r="75" spans="1:6" ht="12" customHeight="1">
      <c r="A75" s="15"/>
      <c r="B75" s="10" t="s">
        <v>1116</v>
      </c>
      <c r="C75" s="47"/>
      <c r="D75" s="47"/>
      <c r="E75" s="89"/>
      <c r="F75" s="575"/>
    </row>
    <row r="76" spans="1:6" ht="12" customHeight="1">
      <c r="A76" s="15"/>
      <c r="B76" s="10" t="s">
        <v>914</v>
      </c>
      <c r="C76" s="104"/>
      <c r="D76" s="104"/>
      <c r="E76" s="47"/>
      <c r="F76" s="575"/>
    </row>
    <row r="77" spans="1:6" ht="12" customHeight="1">
      <c r="A77" s="15"/>
      <c r="B77" s="74" t="s">
        <v>293</v>
      </c>
      <c r="C77" s="166">
        <v>75242</v>
      </c>
      <c r="D77" s="166">
        <v>94280</v>
      </c>
      <c r="E77" s="267">
        <v>54241</v>
      </c>
      <c r="F77" s="575">
        <f t="shared" si="0"/>
        <v>0.5753182011030972</v>
      </c>
    </row>
    <row r="78" spans="1:6" ht="12" customHeight="1" thickBot="1">
      <c r="A78" s="15"/>
      <c r="B78" s="55" t="s">
        <v>282</v>
      </c>
      <c r="C78" s="295"/>
      <c r="D78" s="295">
        <v>452</v>
      </c>
      <c r="E78" s="295">
        <v>452</v>
      </c>
      <c r="F78" s="937">
        <f t="shared" si="0"/>
        <v>1</v>
      </c>
    </row>
    <row r="79" spans="1:6" ht="12" customHeight="1" thickBot="1">
      <c r="A79" s="52"/>
      <c r="B79" s="57" t="s">
        <v>1095</v>
      </c>
      <c r="C79" s="82">
        <f>SUM(C71:C77)</f>
        <v>166480</v>
      </c>
      <c r="D79" s="82">
        <f>SUM(D71:D78)</f>
        <v>175874</v>
      </c>
      <c r="E79" s="82">
        <f>SUM(E71:E78)</f>
        <v>129774</v>
      </c>
      <c r="F79" s="941">
        <f t="shared" si="0"/>
        <v>0.7378805281053481</v>
      </c>
    </row>
    <row r="80" spans="1:6" ht="12" customHeight="1">
      <c r="A80" s="107">
        <v>3029</v>
      </c>
      <c r="B80" s="102" t="s">
        <v>906</v>
      </c>
      <c r="C80" s="658"/>
      <c r="D80" s="658"/>
      <c r="E80" s="77"/>
      <c r="F80" s="582"/>
    </row>
    <row r="81" spans="1:6" ht="12" customHeight="1">
      <c r="A81" s="86"/>
      <c r="B81" s="211" t="s">
        <v>867</v>
      </c>
      <c r="C81" s="77"/>
      <c r="D81" s="77"/>
      <c r="E81" s="77"/>
      <c r="F81" s="582"/>
    </row>
    <row r="82" spans="1:6" ht="12" customHeight="1">
      <c r="A82" s="70"/>
      <c r="B82" s="71" t="s">
        <v>899</v>
      </c>
      <c r="C82" s="77">
        <f aca="true" t="shared" si="1" ref="C82:E83">SUM(C64+C56+C40+C30+C11+C20)</f>
        <v>1129374</v>
      </c>
      <c r="D82" s="77">
        <f t="shared" si="1"/>
        <v>1178559</v>
      </c>
      <c r="E82" s="77">
        <f t="shared" si="1"/>
        <v>1138103</v>
      </c>
      <c r="F82" s="575">
        <f t="shared" si="0"/>
        <v>0.9656733349794113</v>
      </c>
    </row>
    <row r="83" spans="1:6" ht="12" customHeight="1">
      <c r="A83" s="70"/>
      <c r="B83" s="7" t="s">
        <v>1141</v>
      </c>
      <c r="C83" s="77">
        <f t="shared" si="1"/>
        <v>281357</v>
      </c>
      <c r="D83" s="77">
        <f t="shared" si="1"/>
        <v>334022</v>
      </c>
      <c r="E83" s="77">
        <f t="shared" si="1"/>
        <v>307920</v>
      </c>
      <c r="F83" s="575">
        <f t="shared" si="0"/>
        <v>0.9218554466472269</v>
      </c>
    </row>
    <row r="84" spans="1:6" ht="12" customHeight="1">
      <c r="A84" s="84"/>
      <c r="B84" s="10" t="s">
        <v>1128</v>
      </c>
      <c r="C84" s="77">
        <f>SUM(C66+C58+C42+C32+C13+C22+C50+C74)</f>
        <v>482121</v>
      </c>
      <c r="D84" s="77">
        <f>SUM(D66+D58+D42+D32+D13+D22+D50+D74)</f>
        <v>473474</v>
      </c>
      <c r="E84" s="77">
        <f>SUM(E66+E58+E42+E32+E13+E22+E50+E74)</f>
        <v>369165</v>
      </c>
      <c r="F84" s="575">
        <f t="shared" si="0"/>
        <v>0.779694344356818</v>
      </c>
    </row>
    <row r="85" spans="1:6" ht="12" customHeight="1">
      <c r="A85" s="70"/>
      <c r="B85" s="10" t="s">
        <v>1116</v>
      </c>
      <c r="C85" s="77">
        <f>SUM(C67+C59+C43+C14+C23)</f>
        <v>0</v>
      </c>
      <c r="D85" s="77">
        <f>SUM(D67+D59+D43+D14+D23)</f>
        <v>0</v>
      </c>
      <c r="E85" s="77">
        <f>SUM(E67+E59+E43+E14+E23)</f>
        <v>0</v>
      </c>
      <c r="F85" s="575"/>
    </row>
    <row r="86" spans="1:6" ht="12" customHeight="1">
      <c r="A86" s="70"/>
      <c r="B86" s="10" t="s">
        <v>914</v>
      </c>
      <c r="C86" s="77">
        <f>SUM(C68+C60+C44+C33+C15+C24)</f>
        <v>0</v>
      </c>
      <c r="D86" s="77">
        <f>SUM(D68+D60+D44+D34+D15+D24)</f>
        <v>268</v>
      </c>
      <c r="E86" s="77">
        <f>SUM(E68+E60+E44+E34+E15+E24)</f>
        <v>268</v>
      </c>
      <c r="F86" s="575">
        <f t="shared" si="0"/>
        <v>1</v>
      </c>
    </row>
    <row r="87" spans="1:6" ht="12" customHeight="1">
      <c r="A87" s="70"/>
      <c r="B87" s="171" t="s">
        <v>868</v>
      </c>
      <c r="C87" s="283">
        <f>SUM(C82:C86)</f>
        <v>1892852</v>
      </c>
      <c r="D87" s="283">
        <f>SUM(D82:D86)</f>
        <v>1986323</v>
      </c>
      <c r="E87" s="283">
        <f>SUM(E82:E86)</f>
        <v>1815456</v>
      </c>
      <c r="F87" s="582">
        <f t="shared" si="0"/>
        <v>0.9139782401955775</v>
      </c>
    </row>
    <row r="88" spans="1:6" ht="12" customHeight="1">
      <c r="A88" s="70"/>
      <c r="B88" s="281" t="s">
        <v>869</v>
      </c>
      <c r="C88" s="77"/>
      <c r="D88" s="77"/>
      <c r="E88" s="77"/>
      <c r="F88" s="582"/>
    </row>
    <row r="89" spans="1:6" ht="12" customHeight="1">
      <c r="A89" s="70"/>
      <c r="B89" s="10" t="s">
        <v>870</v>
      </c>
      <c r="C89" s="77"/>
      <c r="D89" s="77">
        <f>SUM(D78+D36)</f>
        <v>5316</v>
      </c>
      <c r="E89" s="77">
        <f>SUM(E78+E36)</f>
        <v>5316</v>
      </c>
      <c r="F89" s="575">
        <f t="shared" si="0"/>
        <v>1</v>
      </c>
    </row>
    <row r="90" spans="1:6" ht="12" customHeight="1">
      <c r="A90" s="70"/>
      <c r="B90" s="10" t="s">
        <v>871</v>
      </c>
      <c r="C90" s="77">
        <f>SUM(C35+C16+C77)</f>
        <v>85242</v>
      </c>
      <c r="D90" s="77">
        <f>SUM(D35+D16+D77)</f>
        <v>100871</v>
      </c>
      <c r="E90" s="77">
        <f>SUM(E35+E16+E77)</f>
        <v>58831</v>
      </c>
      <c r="F90" s="575">
        <f t="shared" si="0"/>
        <v>0.5832300661240595</v>
      </c>
    </row>
    <row r="91" spans="1:6" ht="12" customHeight="1">
      <c r="A91" s="70"/>
      <c r="B91" s="10" t="s">
        <v>872</v>
      </c>
      <c r="C91" s="77"/>
      <c r="D91" s="77"/>
      <c r="E91" s="77"/>
      <c r="F91" s="582"/>
    </row>
    <row r="92" spans="1:6" ht="12" customHeight="1">
      <c r="A92" s="70"/>
      <c r="B92" s="171" t="s">
        <v>874</v>
      </c>
      <c r="C92" s="283">
        <f>SUM(C90:C91)</f>
        <v>85242</v>
      </c>
      <c r="D92" s="283">
        <f>SUM(D89:D91)</f>
        <v>106187</v>
      </c>
      <c r="E92" s="283">
        <f>SUM(E89:E91)</f>
        <v>64147</v>
      </c>
      <c r="F92" s="582">
        <f t="shared" si="0"/>
        <v>0.6040946631885259</v>
      </c>
    </row>
    <row r="93" spans="1:6" ht="12" customHeight="1" thickBot="1">
      <c r="A93" s="70"/>
      <c r="B93" s="282" t="s">
        <v>1031</v>
      </c>
      <c r="C93" s="283">
        <f>SUM(C37)</f>
        <v>25000</v>
      </c>
      <c r="D93" s="283">
        <f>SUM(D37)</f>
        <v>0</v>
      </c>
      <c r="E93" s="283">
        <f>SUM(E37)</f>
        <v>0</v>
      </c>
      <c r="F93" s="940"/>
    </row>
    <row r="94" spans="1:6" ht="12" customHeight="1" thickBot="1">
      <c r="A94" s="80"/>
      <c r="B94" s="57" t="s">
        <v>1095</v>
      </c>
      <c r="C94" s="82">
        <f>SUM(C87+C92+C93)</f>
        <v>2003094</v>
      </c>
      <c r="D94" s="82">
        <f>SUM(D87+D92+D93)</f>
        <v>2092510</v>
      </c>
      <c r="E94" s="82">
        <f>SUM(E87+E92+E93)</f>
        <v>1879603</v>
      </c>
      <c r="F94" s="938">
        <f t="shared" si="0"/>
        <v>0.8982528159961004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9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6" max="255" man="1"/>
    <brk id="79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3">
      <selection activeCell="B39" sqref="B39"/>
    </sheetView>
  </sheetViews>
  <sheetFormatPr defaultColWidth="9.00390625" defaultRowHeight="12.75"/>
  <cols>
    <col min="1" max="1" width="9.125" style="248" customWidth="1"/>
    <col min="2" max="2" width="50.75390625" style="248" customWidth="1"/>
    <col min="3" max="3" width="12.125" style="248" customWidth="1"/>
    <col min="4" max="5" width="11.75390625" style="248" customWidth="1"/>
    <col min="6" max="16384" width="9.125" style="248" customWidth="1"/>
  </cols>
  <sheetData>
    <row r="2" spans="1:6" ht="15">
      <c r="A2" s="1288" t="s">
        <v>1187</v>
      </c>
      <c r="B2" s="1286"/>
      <c r="C2" s="1286"/>
      <c r="D2" s="1286"/>
      <c r="E2" s="1286"/>
      <c r="F2" s="1286"/>
    </row>
    <row r="3" spans="1:6" ht="12.75">
      <c r="A3" s="1287" t="s">
        <v>314</v>
      </c>
      <c r="B3" s="1286"/>
      <c r="C3" s="1286"/>
      <c r="D3" s="1286"/>
      <c r="E3" s="1286"/>
      <c r="F3" s="1286"/>
    </row>
    <row r="4" spans="2:3" ht="12.75">
      <c r="B4" s="249"/>
      <c r="C4" s="250"/>
    </row>
    <row r="5" spans="2:3" ht="12.75">
      <c r="B5" s="249"/>
      <c r="C5" s="250"/>
    </row>
    <row r="6" spans="2:3" ht="12.75">
      <c r="B6" s="249"/>
      <c r="C6" s="250"/>
    </row>
    <row r="7" spans="3:6" ht="12.75">
      <c r="C7" s="291"/>
      <c r="F7" s="291" t="s">
        <v>1060</v>
      </c>
    </row>
    <row r="8" spans="1:6" ht="12.75" customHeight="1">
      <c r="A8" s="263"/>
      <c r="B8" s="251" t="s">
        <v>1015</v>
      </c>
      <c r="C8" s="205" t="s">
        <v>930</v>
      </c>
      <c r="D8" s="1263" t="s">
        <v>302</v>
      </c>
      <c r="E8" s="1263" t="s">
        <v>850</v>
      </c>
      <c r="F8" s="1263" t="s">
        <v>231</v>
      </c>
    </row>
    <row r="9" spans="1:6" ht="12.75">
      <c r="A9" s="256"/>
      <c r="B9" s="252" t="s">
        <v>1098</v>
      </c>
      <c r="C9" s="15" t="s">
        <v>194</v>
      </c>
      <c r="D9" s="1278"/>
      <c r="E9" s="1278"/>
      <c r="F9" s="1278"/>
    </row>
    <row r="10" spans="1:6" ht="13.5" thickBot="1">
      <c r="A10" s="257"/>
      <c r="B10" s="254"/>
      <c r="C10" s="52" t="s">
        <v>195</v>
      </c>
      <c r="D10" s="1279"/>
      <c r="E10" s="1279"/>
      <c r="F10" s="1283"/>
    </row>
    <row r="11" spans="1:6" ht="13.5" thickBot="1">
      <c r="A11" s="607" t="s">
        <v>1016</v>
      </c>
      <c r="B11" s="254" t="s">
        <v>1017</v>
      </c>
      <c r="C11" s="255" t="s">
        <v>1018</v>
      </c>
      <c r="D11" s="255" t="s">
        <v>1019</v>
      </c>
      <c r="E11" s="255" t="s">
        <v>1020</v>
      </c>
      <c r="F11" s="583" t="s">
        <v>1148</v>
      </c>
    </row>
    <row r="12" spans="1:6" ht="15" customHeight="1">
      <c r="A12" s="265">
        <v>3030</v>
      </c>
      <c r="B12" s="266" t="s">
        <v>1088</v>
      </c>
      <c r="C12" s="253"/>
      <c r="D12" s="253"/>
      <c r="E12" s="253"/>
      <c r="F12" s="256"/>
    </row>
    <row r="13" spans="1:6" ht="15" customHeight="1">
      <c r="A13" s="265"/>
      <c r="B13" s="266" t="s">
        <v>1143</v>
      </c>
      <c r="C13" s="253"/>
      <c r="D13" s="253"/>
      <c r="E13" s="253"/>
      <c r="F13" s="256"/>
    </row>
    <row r="14" spans="1:6" ht="15" customHeight="1">
      <c r="A14" s="593"/>
      <c r="B14" s="600" t="s">
        <v>1164</v>
      </c>
      <c r="C14" s="595">
        <v>226527</v>
      </c>
      <c r="D14" s="595">
        <v>222257</v>
      </c>
      <c r="E14" s="595">
        <v>220932</v>
      </c>
      <c r="F14" s="574">
        <f>SUM(E14/D14)</f>
        <v>0.9940384329852379</v>
      </c>
    </row>
    <row r="15" spans="1:6" ht="15" customHeight="1">
      <c r="A15" s="593"/>
      <c r="B15" s="600" t="s">
        <v>291</v>
      </c>
      <c r="C15" s="595"/>
      <c r="D15" s="595">
        <v>70</v>
      </c>
      <c r="E15" s="595">
        <v>54</v>
      </c>
      <c r="F15" s="933">
        <f aca="true" t="shared" si="0" ref="F15:F40">SUM(E15/D15)</f>
        <v>0.7714285714285715</v>
      </c>
    </row>
    <row r="16" spans="1:6" ht="15" customHeight="1">
      <c r="A16" s="593"/>
      <c r="B16" s="600" t="s">
        <v>1345</v>
      </c>
      <c r="C16" s="595"/>
      <c r="D16" s="595">
        <v>16</v>
      </c>
      <c r="E16" s="595">
        <v>16</v>
      </c>
      <c r="F16" s="574">
        <f t="shared" si="0"/>
        <v>1</v>
      </c>
    </row>
    <row r="17" spans="1:6" ht="15" customHeight="1">
      <c r="A17" s="329"/>
      <c r="B17" s="601" t="s">
        <v>220</v>
      </c>
      <c r="C17" s="598"/>
      <c r="D17" s="599">
        <f>SUM(D14:D16)</f>
        <v>222343</v>
      </c>
      <c r="E17" s="599">
        <f>SUM(E14:E16)</f>
        <v>221002</v>
      </c>
      <c r="F17" s="933">
        <f t="shared" si="0"/>
        <v>0.9939687779691737</v>
      </c>
    </row>
    <row r="18" spans="1:6" ht="15" customHeight="1">
      <c r="A18" s="265"/>
      <c r="B18" s="356" t="s">
        <v>1265</v>
      </c>
      <c r="C18" s="328"/>
      <c r="D18" s="328">
        <v>3050</v>
      </c>
      <c r="E18" s="328">
        <v>3050</v>
      </c>
      <c r="F18" s="574">
        <f t="shared" si="0"/>
        <v>1</v>
      </c>
    </row>
    <row r="19" spans="1:6" ht="15" customHeight="1">
      <c r="A19" s="593"/>
      <c r="B19" s="594" t="s">
        <v>1266</v>
      </c>
      <c r="C19" s="595"/>
      <c r="D19" s="595"/>
      <c r="E19" s="328"/>
      <c r="F19" s="575"/>
    </row>
    <row r="20" spans="1:6" ht="15" customHeight="1">
      <c r="A20" s="329"/>
      <c r="B20" s="597" t="s">
        <v>1255</v>
      </c>
      <c r="C20" s="598"/>
      <c r="D20" s="599">
        <f>SUM(D18:D19)</f>
        <v>3050</v>
      </c>
      <c r="E20" s="599">
        <f>SUM(E18:E19)</f>
        <v>3050</v>
      </c>
      <c r="F20" s="933">
        <f t="shared" si="0"/>
        <v>1</v>
      </c>
    </row>
    <row r="21" spans="1:6" ht="15" customHeight="1">
      <c r="A21" s="593"/>
      <c r="B21" s="596" t="s">
        <v>1165</v>
      </c>
      <c r="C21" s="608">
        <f>SUM(C14)</f>
        <v>226527</v>
      </c>
      <c r="D21" s="608">
        <f>SUM(D20,D17)</f>
        <v>225393</v>
      </c>
      <c r="E21" s="608">
        <f>SUM(E20,E17)</f>
        <v>224052</v>
      </c>
      <c r="F21" s="933">
        <f t="shared" si="0"/>
        <v>0.9940503919820047</v>
      </c>
    </row>
    <row r="22" spans="1:6" ht="15" customHeight="1">
      <c r="A22" s="265"/>
      <c r="B22" s="271" t="s">
        <v>867</v>
      </c>
      <c r="C22" s="253"/>
      <c r="D22" s="253"/>
      <c r="E22" s="253"/>
      <c r="F22" s="574"/>
    </row>
    <row r="23" spans="1:6" ht="12.75">
      <c r="A23" s="256"/>
      <c r="B23" s="261" t="s">
        <v>1101</v>
      </c>
      <c r="C23" s="284">
        <v>142952</v>
      </c>
      <c r="D23" s="284">
        <v>130834</v>
      </c>
      <c r="E23" s="284">
        <v>130473</v>
      </c>
      <c r="F23" s="574">
        <f t="shared" si="0"/>
        <v>0.9972407783909382</v>
      </c>
    </row>
    <row r="24" spans="1:6" ht="12.75">
      <c r="A24" s="256"/>
      <c r="B24" s="36" t="s">
        <v>888</v>
      </c>
      <c r="C24" s="284">
        <v>39849</v>
      </c>
      <c r="D24" s="284">
        <v>35285</v>
      </c>
      <c r="E24" s="284">
        <v>34609</v>
      </c>
      <c r="F24" s="574">
        <f t="shared" si="0"/>
        <v>0.980841717443673</v>
      </c>
    </row>
    <row r="25" spans="1:6" ht="12.75">
      <c r="A25" s="256"/>
      <c r="B25" s="36" t="s">
        <v>1128</v>
      </c>
      <c r="C25" s="284">
        <v>28726</v>
      </c>
      <c r="D25" s="284">
        <v>38224</v>
      </c>
      <c r="E25" s="284">
        <v>34672</v>
      </c>
      <c r="F25" s="574">
        <f t="shared" si="0"/>
        <v>0.907074089577229</v>
      </c>
    </row>
    <row r="26" spans="1:6" ht="12.75">
      <c r="A26" s="256"/>
      <c r="B26" s="262" t="s">
        <v>1116</v>
      </c>
      <c r="C26" s="284"/>
      <c r="D26" s="284"/>
      <c r="E26" s="284"/>
      <c r="F26" s="574"/>
    </row>
    <row r="27" spans="1:6" ht="12.75">
      <c r="A27" s="256"/>
      <c r="B27" s="262" t="s">
        <v>1089</v>
      </c>
      <c r="C27" s="284"/>
      <c r="D27" s="284"/>
      <c r="E27" s="284"/>
      <c r="F27" s="574"/>
    </row>
    <row r="28" spans="1:6" ht="12.75">
      <c r="A28" s="256"/>
      <c r="B28" s="262" t="s">
        <v>914</v>
      </c>
      <c r="C28" s="284"/>
      <c r="D28" s="284"/>
      <c r="E28" s="284"/>
      <c r="F28" s="574"/>
    </row>
    <row r="29" spans="1:6" ht="12.75">
      <c r="A29" s="286"/>
      <c r="B29" s="170" t="s">
        <v>868</v>
      </c>
      <c r="C29" s="287">
        <f>SUM(C23:C28)</f>
        <v>211527</v>
      </c>
      <c r="D29" s="287">
        <f>SUM(D23:D28)</f>
        <v>204343</v>
      </c>
      <c r="E29" s="287">
        <f>SUM(E23:E28)</f>
        <v>199754</v>
      </c>
      <c r="F29" s="573">
        <f t="shared" si="0"/>
        <v>0.9775426611139114</v>
      </c>
    </row>
    <row r="30" spans="1:6" ht="12.75">
      <c r="A30" s="263"/>
      <c r="B30" s="292" t="s">
        <v>869</v>
      </c>
      <c r="C30" s="293"/>
      <c r="D30" s="293"/>
      <c r="E30" s="674"/>
      <c r="F30" s="574"/>
    </row>
    <row r="31" spans="1:6" ht="12.75">
      <c r="A31" s="256"/>
      <c r="B31" s="36" t="s">
        <v>870</v>
      </c>
      <c r="C31" s="284"/>
      <c r="D31" s="284">
        <v>4667</v>
      </c>
      <c r="E31" s="284">
        <v>4667</v>
      </c>
      <c r="F31" s="574">
        <f t="shared" si="0"/>
        <v>1</v>
      </c>
    </row>
    <row r="32" spans="1:6" ht="12.75">
      <c r="A32" s="256"/>
      <c r="B32" s="36" t="s">
        <v>871</v>
      </c>
      <c r="C32" s="284">
        <v>15000</v>
      </c>
      <c r="D32" s="284">
        <v>16383</v>
      </c>
      <c r="E32" s="284">
        <v>16382</v>
      </c>
      <c r="F32" s="574">
        <f t="shared" si="0"/>
        <v>0.9999389611182323</v>
      </c>
    </row>
    <row r="33" spans="1:6" ht="12.75">
      <c r="A33" s="264"/>
      <c r="B33" s="10" t="s">
        <v>872</v>
      </c>
      <c r="C33" s="288"/>
      <c r="D33" s="288"/>
      <c r="E33" s="284"/>
      <c r="F33" s="574"/>
    </row>
    <row r="34" spans="1:6" ht="12.75">
      <c r="A34" s="286"/>
      <c r="B34" s="170" t="s">
        <v>874</v>
      </c>
      <c r="C34" s="287">
        <f>SUM(C32:C33)</f>
        <v>15000</v>
      </c>
      <c r="D34" s="287">
        <f>SUM(D31:D33)</f>
        <v>21050</v>
      </c>
      <c r="E34" s="287">
        <f>SUM(E31:E33)</f>
        <v>21049</v>
      </c>
      <c r="F34" s="933">
        <f t="shared" si="0"/>
        <v>0.9999524940617577</v>
      </c>
    </row>
    <row r="35" spans="1:6" ht="12.75">
      <c r="A35" s="286"/>
      <c r="B35" s="170" t="s">
        <v>873</v>
      </c>
      <c r="C35" s="289"/>
      <c r="D35" s="289"/>
      <c r="E35" s="289"/>
      <c r="F35" s="933"/>
    </row>
    <row r="36" spans="1:6" ht="12.75">
      <c r="A36" s="286"/>
      <c r="B36" s="281" t="s">
        <v>876</v>
      </c>
      <c r="C36" s="289"/>
      <c r="D36" s="289"/>
      <c r="E36" s="289"/>
      <c r="F36" s="933"/>
    </row>
    <row r="37" spans="1:6" ht="13.5" thickBot="1">
      <c r="A37" s="257"/>
      <c r="B37" s="171" t="s">
        <v>875</v>
      </c>
      <c r="C37" s="285"/>
      <c r="D37" s="285"/>
      <c r="E37" s="285"/>
      <c r="F37" s="937"/>
    </row>
    <row r="38" spans="1:6" ht="13.5" thickBot="1">
      <c r="A38" s="259"/>
      <c r="B38" s="258" t="s">
        <v>315</v>
      </c>
      <c r="C38" s="270">
        <f>SUM(C29+C34+C35+C37)</f>
        <v>226527</v>
      </c>
      <c r="D38" s="270">
        <f>SUM(D29+D34+D35+D37)</f>
        <v>225393</v>
      </c>
      <c r="E38" s="270">
        <f>SUM(E29+E34+E35+E37)</f>
        <v>220803</v>
      </c>
      <c r="F38" s="942">
        <f t="shared" si="0"/>
        <v>0.9796355698712915</v>
      </c>
    </row>
    <row r="39" spans="1:6" ht="13.5" thickBot="1">
      <c r="A39" s="259"/>
      <c r="B39" s="9" t="s">
        <v>232</v>
      </c>
      <c r="C39" s="269"/>
      <c r="D39" s="269"/>
      <c r="E39" s="960">
        <v>-1477</v>
      </c>
      <c r="F39" s="942"/>
    </row>
    <row r="40" spans="1:6" ht="13.5" thickBot="1">
      <c r="A40" s="259"/>
      <c r="B40" s="260" t="s">
        <v>890</v>
      </c>
      <c r="C40" s="290">
        <f>SUM(C38)</f>
        <v>226527</v>
      </c>
      <c r="D40" s="290">
        <f>SUM(D38)</f>
        <v>225393</v>
      </c>
      <c r="E40" s="290">
        <f>SUM(E38+E39)</f>
        <v>219326</v>
      </c>
      <c r="F40" s="942">
        <f t="shared" si="0"/>
        <v>0.9730825713309641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2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80"/>
  <sheetViews>
    <sheetView showZeros="0" zoomScaleSheetLayoutView="100" zoomScalePageLayoutView="0" workbookViewId="0" topLeftCell="A252">
      <selection activeCell="E299" sqref="E299"/>
    </sheetView>
  </sheetViews>
  <sheetFormatPr defaultColWidth="9.00390625" defaultRowHeight="12.75"/>
  <cols>
    <col min="1" max="1" width="6.125" style="49" customWidth="1"/>
    <col min="2" max="2" width="50.875" style="68" customWidth="1"/>
    <col min="3" max="3" width="14.625" style="114" customWidth="1"/>
    <col min="4" max="5" width="12.25390625" style="114" customWidth="1"/>
    <col min="6" max="6" width="9.75390625" style="114" customWidth="1"/>
    <col min="7" max="7" width="39.75390625" style="114" customWidth="1"/>
    <col min="8" max="9" width="7.25390625" style="114" customWidth="1"/>
    <col min="10" max="16384" width="9.125" style="68" customWidth="1"/>
  </cols>
  <sheetData>
    <row r="1" spans="1:9" ht="12.75">
      <c r="A1" s="1280" t="s">
        <v>1188</v>
      </c>
      <c r="B1" s="1286"/>
      <c r="C1" s="1286"/>
      <c r="D1" s="1286"/>
      <c r="E1" s="1286"/>
      <c r="F1" s="1286"/>
      <c r="G1" s="1286"/>
      <c r="H1" s="141"/>
      <c r="I1" s="141"/>
    </row>
    <row r="2" spans="1:9" ht="12.75">
      <c r="A2" s="1289" t="s">
        <v>859</v>
      </c>
      <c r="B2" s="1268"/>
      <c r="C2" s="1268"/>
      <c r="D2" s="1268"/>
      <c r="E2" s="1268"/>
      <c r="F2" s="1268"/>
      <c r="G2" s="1268"/>
      <c r="H2" s="149"/>
      <c r="I2" s="149"/>
    </row>
    <row r="3" spans="1:9" ht="12.75">
      <c r="A3" s="149"/>
      <c r="B3" s="149"/>
      <c r="C3" s="149"/>
      <c r="D3" s="149"/>
      <c r="E3" s="149"/>
      <c r="F3" s="149"/>
      <c r="G3" s="149"/>
      <c r="H3" s="149"/>
      <c r="I3" s="149"/>
    </row>
    <row r="4" spans="3:16" ht="12">
      <c r="C4" s="148"/>
      <c r="D4" s="148"/>
      <c r="E4" s="148"/>
      <c r="F4" s="577"/>
      <c r="G4" s="207" t="s">
        <v>1060</v>
      </c>
      <c r="H4" s="148"/>
      <c r="I4" s="148"/>
      <c r="J4" s="50"/>
      <c r="K4" s="50"/>
      <c r="L4" s="50"/>
      <c r="M4" s="50"/>
      <c r="N4" s="50"/>
      <c r="O4" s="50"/>
      <c r="P4" s="50"/>
    </row>
    <row r="5" spans="1:7" s="66" customFormat="1" ht="12" customHeight="1">
      <c r="A5" s="14"/>
      <c r="B5" s="91"/>
      <c r="C5" s="205" t="s">
        <v>930</v>
      </c>
      <c r="D5" s="1263" t="s">
        <v>302</v>
      </c>
      <c r="E5" s="1263" t="s">
        <v>850</v>
      </c>
      <c r="F5" s="1263" t="s">
        <v>231</v>
      </c>
      <c r="G5" s="3" t="s">
        <v>982</v>
      </c>
    </row>
    <row r="6" spans="1:7" s="66" customFormat="1" ht="12" customHeight="1">
      <c r="A6" s="86" t="s">
        <v>1097</v>
      </c>
      <c r="B6" s="92" t="s">
        <v>1114</v>
      </c>
      <c r="C6" s="15" t="s">
        <v>194</v>
      </c>
      <c r="D6" s="1278"/>
      <c r="E6" s="1278"/>
      <c r="F6" s="1278"/>
      <c r="G6" s="15" t="s">
        <v>983</v>
      </c>
    </row>
    <row r="7" spans="1:7" s="66" customFormat="1" ht="12.75" customHeight="1" thickBot="1">
      <c r="A7" s="86"/>
      <c r="B7" s="93"/>
      <c r="C7" s="52" t="s">
        <v>195</v>
      </c>
      <c r="D7" s="1279"/>
      <c r="E7" s="1279"/>
      <c r="F7" s="1283"/>
      <c r="G7" s="52"/>
    </row>
    <row r="8" spans="1:7" s="66" customFormat="1" ht="12">
      <c r="A8" s="95" t="s">
        <v>1016</v>
      </c>
      <c r="B8" s="31" t="s">
        <v>1017</v>
      </c>
      <c r="C8" s="18" t="s">
        <v>1018</v>
      </c>
      <c r="D8" s="18" t="s">
        <v>1019</v>
      </c>
      <c r="E8" s="18" t="s">
        <v>1020</v>
      </c>
      <c r="F8" s="18" t="s">
        <v>1148</v>
      </c>
      <c r="G8" s="31" t="s">
        <v>229</v>
      </c>
    </row>
    <row r="9" spans="1:8" s="66" customFormat="1" ht="12" customHeight="1">
      <c r="A9" s="86">
        <v>3050</v>
      </c>
      <c r="B9" s="215" t="s">
        <v>1139</v>
      </c>
      <c r="C9" s="216">
        <f>SUM(C17)</f>
        <v>120000</v>
      </c>
      <c r="D9" s="216">
        <f>SUM(D17)</f>
        <v>212095</v>
      </c>
      <c r="E9" s="216">
        <f>SUM(E17)</f>
        <v>180499</v>
      </c>
      <c r="F9" s="573">
        <f>SUM(E9/D9)</f>
        <v>0.8510290200146161</v>
      </c>
      <c r="G9" s="4"/>
      <c r="H9" s="213"/>
    </row>
    <row r="10" spans="1:7" s="66" customFormat="1" ht="12" customHeight="1">
      <c r="A10" s="86">
        <v>3051</v>
      </c>
      <c r="B10" s="110" t="s">
        <v>910</v>
      </c>
      <c r="C10" s="89"/>
      <c r="D10" s="89"/>
      <c r="E10" s="89"/>
      <c r="F10" s="573"/>
      <c r="G10" s="5"/>
    </row>
    <row r="11" spans="1:9" ht="12" customHeight="1">
      <c r="A11" s="84"/>
      <c r="B11" s="71" t="s">
        <v>899</v>
      </c>
      <c r="C11" s="77"/>
      <c r="D11" s="77"/>
      <c r="E11" s="77"/>
      <c r="F11" s="573"/>
      <c r="G11" s="186"/>
      <c r="H11" s="68"/>
      <c r="I11" s="68"/>
    </row>
    <row r="12" spans="1:9" ht="12" customHeight="1">
      <c r="A12" s="84"/>
      <c r="B12" s="7" t="s">
        <v>1141</v>
      </c>
      <c r="C12" s="77"/>
      <c r="D12" s="77"/>
      <c r="E12" s="77"/>
      <c r="F12" s="573"/>
      <c r="G12" s="186"/>
      <c r="H12" s="68"/>
      <c r="I12" s="68"/>
    </row>
    <row r="13" spans="1:9" ht="12" customHeight="1">
      <c r="A13" s="84"/>
      <c r="B13" s="85" t="s">
        <v>1102</v>
      </c>
      <c r="C13" s="77">
        <v>120000</v>
      </c>
      <c r="D13" s="77">
        <v>212095</v>
      </c>
      <c r="E13" s="77">
        <v>180499</v>
      </c>
      <c r="F13" s="933">
        <f>SUM(E13/D13)</f>
        <v>0.8510290200146161</v>
      </c>
      <c r="G13" s="186"/>
      <c r="H13" s="68"/>
      <c r="I13" s="68"/>
    </row>
    <row r="14" spans="1:9" ht="12" customHeight="1">
      <c r="A14" s="84"/>
      <c r="B14" s="10" t="s">
        <v>1116</v>
      </c>
      <c r="C14" s="77"/>
      <c r="D14" s="77"/>
      <c r="E14" s="77"/>
      <c r="F14" s="573"/>
      <c r="G14" s="186"/>
      <c r="H14" s="68"/>
      <c r="I14" s="68"/>
    </row>
    <row r="15" spans="1:9" ht="12" customHeight="1">
      <c r="A15" s="84"/>
      <c r="B15" s="10" t="s">
        <v>914</v>
      </c>
      <c r="C15" s="77"/>
      <c r="D15" s="77"/>
      <c r="E15" s="77"/>
      <c r="F15" s="573"/>
      <c r="G15" s="186"/>
      <c r="H15" s="68"/>
      <c r="I15" s="68"/>
    </row>
    <row r="16" spans="1:9" ht="12" customHeight="1" thickBot="1">
      <c r="A16" s="84"/>
      <c r="B16" s="74" t="s">
        <v>1103</v>
      </c>
      <c r="C16" s="77"/>
      <c r="D16" s="77"/>
      <c r="E16" s="78"/>
      <c r="F16" s="940"/>
      <c r="G16" s="186"/>
      <c r="H16" s="68"/>
      <c r="I16" s="68"/>
    </row>
    <row r="17" spans="1:9" ht="13.5" customHeight="1" thickBot="1">
      <c r="A17" s="80"/>
      <c r="B17" s="57" t="s">
        <v>1095</v>
      </c>
      <c r="C17" s="82">
        <f>SUM(C11:C16)</f>
        <v>120000</v>
      </c>
      <c r="D17" s="82">
        <f>SUM(D11:D16)</f>
        <v>212095</v>
      </c>
      <c r="E17" s="82">
        <f>SUM(E11:E16)</f>
        <v>180499</v>
      </c>
      <c r="F17" s="938">
        <f>SUM(E17/D17)</f>
        <v>0.8510290200146161</v>
      </c>
      <c r="G17" s="187"/>
      <c r="H17" s="68"/>
      <c r="I17" s="68"/>
    </row>
    <row r="18" spans="1:9" ht="12">
      <c r="A18" s="86">
        <v>3060</v>
      </c>
      <c r="B18" s="108" t="s">
        <v>915</v>
      </c>
      <c r="C18" s="99">
        <f>SUM(C26)</f>
        <v>58105</v>
      </c>
      <c r="D18" s="99">
        <f>SUM(D26)</f>
        <v>17566</v>
      </c>
      <c r="E18" s="99">
        <f>SUM(E26)</f>
        <v>15572</v>
      </c>
      <c r="F18" s="582">
        <f>SUM(E18/D18)</f>
        <v>0.8864852556074234</v>
      </c>
      <c r="G18" s="31"/>
      <c r="H18" s="68"/>
      <c r="I18" s="68"/>
    </row>
    <row r="19" spans="1:9" ht="12" customHeight="1">
      <c r="A19" s="86">
        <v>3061</v>
      </c>
      <c r="B19" s="110" t="s">
        <v>917</v>
      </c>
      <c r="C19" s="89"/>
      <c r="D19" s="89"/>
      <c r="E19" s="89"/>
      <c r="F19" s="573"/>
      <c r="G19" s="186"/>
      <c r="H19" s="68"/>
      <c r="I19" s="68"/>
    </row>
    <row r="20" spans="1:9" ht="12" customHeight="1">
      <c r="A20" s="84"/>
      <c r="B20" s="71" t="s">
        <v>899</v>
      </c>
      <c r="C20" s="77"/>
      <c r="D20" s="77"/>
      <c r="E20" s="77"/>
      <c r="F20" s="573"/>
      <c r="G20" s="186"/>
      <c r="H20" s="68"/>
      <c r="I20" s="68"/>
    </row>
    <row r="21" spans="1:9" ht="12" customHeight="1">
      <c r="A21" s="84"/>
      <c r="B21" s="7" t="s">
        <v>1141</v>
      </c>
      <c r="C21" s="77"/>
      <c r="D21" s="77"/>
      <c r="E21" s="77"/>
      <c r="F21" s="573"/>
      <c r="G21" s="186"/>
      <c r="H21" s="68"/>
      <c r="I21" s="68"/>
    </row>
    <row r="22" spans="1:9" ht="12" customHeight="1">
      <c r="A22" s="70"/>
      <c r="B22" s="85" t="s">
        <v>1102</v>
      </c>
      <c r="C22" s="77">
        <v>58105</v>
      </c>
      <c r="D22" s="77">
        <v>17566</v>
      </c>
      <c r="E22" s="77">
        <v>15572</v>
      </c>
      <c r="F22" s="933">
        <f>SUM(E22/D22)</f>
        <v>0.8864852556074234</v>
      </c>
      <c r="G22" s="186"/>
      <c r="H22" s="68"/>
      <c r="I22" s="68"/>
    </row>
    <row r="23" spans="1:9" ht="12" customHeight="1">
      <c r="A23" s="70"/>
      <c r="B23" s="10" t="s">
        <v>1116</v>
      </c>
      <c r="C23" s="77"/>
      <c r="D23" s="77"/>
      <c r="E23" s="77"/>
      <c r="F23" s="573"/>
      <c r="G23" s="186"/>
      <c r="H23" s="68"/>
      <c r="I23" s="68"/>
    </row>
    <row r="24" spans="1:9" ht="12" customHeight="1">
      <c r="A24" s="70"/>
      <c r="B24" s="10" t="s">
        <v>914</v>
      </c>
      <c r="C24" s="77"/>
      <c r="D24" s="77"/>
      <c r="E24" s="77"/>
      <c r="F24" s="573"/>
      <c r="G24" s="192"/>
      <c r="H24" s="68"/>
      <c r="I24" s="68"/>
    </row>
    <row r="25" spans="1:9" ht="12" customHeight="1" thickBot="1">
      <c r="A25" s="70"/>
      <c r="B25" s="74" t="s">
        <v>1103</v>
      </c>
      <c r="C25" s="77"/>
      <c r="D25" s="77"/>
      <c r="E25" s="78"/>
      <c r="F25" s="940"/>
      <c r="G25" s="30"/>
      <c r="H25" s="68"/>
      <c r="I25" s="68"/>
    </row>
    <row r="26" spans="1:9" ht="12" customHeight="1" thickBot="1">
      <c r="A26" s="52"/>
      <c r="B26" s="57" t="s">
        <v>1095</v>
      </c>
      <c r="C26" s="82">
        <f>SUM(C20:C25)</f>
        <v>58105</v>
      </c>
      <c r="D26" s="82">
        <f>SUM(D20:D25)</f>
        <v>17566</v>
      </c>
      <c r="E26" s="82">
        <f>SUM(E20:E25)</f>
        <v>15572</v>
      </c>
      <c r="F26" s="938">
        <f>SUM(E26/D26)</f>
        <v>0.8864852556074234</v>
      </c>
      <c r="G26" s="188"/>
      <c r="H26" s="68"/>
      <c r="I26" s="68"/>
    </row>
    <row r="27" spans="1:9" ht="12" customHeight="1">
      <c r="A27" s="15">
        <v>3070</v>
      </c>
      <c r="B27" s="108" t="s">
        <v>971</v>
      </c>
      <c r="C27" s="99">
        <f>SUM(C35)</f>
        <v>10000</v>
      </c>
      <c r="D27" s="99">
        <f>SUM(D35)</f>
        <v>10000</v>
      </c>
      <c r="E27" s="99">
        <f>SUM(E35)</f>
        <v>4455</v>
      </c>
      <c r="F27" s="582">
        <f>SUM(E27/D27)</f>
        <v>0.4455</v>
      </c>
      <c r="G27" s="4" t="s">
        <v>1011</v>
      </c>
      <c r="H27" s="68"/>
      <c r="I27" s="68"/>
    </row>
    <row r="28" spans="1:9" ht="12" customHeight="1">
      <c r="A28" s="15">
        <v>3071</v>
      </c>
      <c r="B28" s="103" t="s">
        <v>972</v>
      </c>
      <c r="C28" s="89"/>
      <c r="D28" s="89"/>
      <c r="E28" s="89"/>
      <c r="F28" s="573"/>
      <c r="G28" s="5" t="s">
        <v>1012</v>
      </c>
      <c r="H28" s="68"/>
      <c r="I28" s="68"/>
    </row>
    <row r="29" spans="1:9" ht="12" customHeight="1">
      <c r="A29" s="70"/>
      <c r="B29" s="71" t="s">
        <v>899</v>
      </c>
      <c r="C29" s="77"/>
      <c r="D29" s="77"/>
      <c r="E29" s="77"/>
      <c r="F29" s="573"/>
      <c r="G29" s="186"/>
      <c r="H29" s="68"/>
      <c r="I29" s="68"/>
    </row>
    <row r="30" spans="1:9" ht="12" customHeight="1">
      <c r="A30" s="84"/>
      <c r="B30" s="7" t="s">
        <v>1141</v>
      </c>
      <c r="C30" s="77"/>
      <c r="D30" s="77"/>
      <c r="E30" s="77"/>
      <c r="F30" s="573"/>
      <c r="G30" s="186"/>
      <c r="H30" s="68"/>
      <c r="I30" s="68"/>
    </row>
    <row r="31" spans="1:9" ht="12" customHeight="1">
      <c r="A31" s="84"/>
      <c r="B31" s="85" t="s">
        <v>1102</v>
      </c>
      <c r="C31" s="77">
        <v>10000</v>
      </c>
      <c r="D31" s="77">
        <v>10000</v>
      </c>
      <c r="E31" s="77">
        <v>4455</v>
      </c>
      <c r="F31" s="933">
        <f>SUM(E31/D31)</f>
        <v>0.4455</v>
      </c>
      <c r="G31" s="186"/>
      <c r="H31" s="68"/>
      <c r="I31" s="68"/>
    </row>
    <row r="32" spans="1:9" ht="12" customHeight="1">
      <c r="A32" s="84"/>
      <c r="B32" s="10" t="s">
        <v>1116</v>
      </c>
      <c r="C32" s="77"/>
      <c r="D32" s="77"/>
      <c r="E32" s="77"/>
      <c r="F32" s="573"/>
      <c r="G32" s="192"/>
      <c r="H32" s="68"/>
      <c r="I32" s="68"/>
    </row>
    <row r="33" spans="1:9" ht="12" customHeight="1">
      <c r="A33" s="84"/>
      <c r="B33" s="10" t="s">
        <v>914</v>
      </c>
      <c r="C33" s="72"/>
      <c r="D33" s="72"/>
      <c r="E33" s="72"/>
      <c r="F33" s="573"/>
      <c r="G33" s="5"/>
      <c r="H33" s="68"/>
      <c r="I33" s="68"/>
    </row>
    <row r="34" spans="1:9" ht="12" customHeight="1" thickBot="1">
      <c r="A34" s="84"/>
      <c r="B34" s="74" t="s">
        <v>1103</v>
      </c>
      <c r="C34" s="77"/>
      <c r="D34" s="77"/>
      <c r="E34" s="78"/>
      <c r="F34" s="940"/>
      <c r="G34" s="189"/>
      <c r="H34" s="68"/>
      <c r="I34" s="68"/>
    </row>
    <row r="35" spans="1:9" ht="12" customHeight="1" thickBot="1">
      <c r="A35" s="80"/>
      <c r="B35" s="57" t="s">
        <v>1095</v>
      </c>
      <c r="C35" s="82">
        <f>SUM(C29:C34)</f>
        <v>10000</v>
      </c>
      <c r="D35" s="82">
        <f>SUM(D29:D34)</f>
        <v>10000</v>
      </c>
      <c r="E35" s="82">
        <f>SUM(E29:E34)</f>
        <v>4455</v>
      </c>
      <c r="F35" s="938">
        <f>SUM(E35/D35)</f>
        <v>0.4455</v>
      </c>
      <c r="G35" s="188"/>
      <c r="H35" s="68"/>
      <c r="I35" s="68"/>
    </row>
    <row r="36" spans="1:9" ht="12" customHeight="1">
      <c r="A36" s="15">
        <v>3080</v>
      </c>
      <c r="B36" s="76" t="s">
        <v>977</v>
      </c>
      <c r="C36" s="89">
        <f>SUM(C45)</f>
        <v>18500</v>
      </c>
      <c r="D36" s="89">
        <f>SUM(D45)</f>
        <v>18500</v>
      </c>
      <c r="E36" s="89">
        <f>SUM(E45)</f>
        <v>15869</v>
      </c>
      <c r="F36" s="582">
        <f>SUM(E36/D36)</f>
        <v>0.8577837837837838</v>
      </c>
      <c r="G36" s="4"/>
      <c r="H36" s="68"/>
      <c r="I36" s="68"/>
    </row>
    <row r="37" spans="1:9" ht="12" customHeight="1">
      <c r="A37" s="15">
        <v>3081</v>
      </c>
      <c r="B37" s="110" t="s">
        <v>978</v>
      </c>
      <c r="C37" s="89"/>
      <c r="D37" s="89"/>
      <c r="E37" s="89"/>
      <c r="F37" s="573"/>
      <c r="G37" s="5"/>
      <c r="H37" s="68"/>
      <c r="I37" s="68"/>
    </row>
    <row r="38" spans="1:9" ht="12" customHeight="1">
      <c r="A38" s="70"/>
      <c r="B38" s="71" t="s">
        <v>899</v>
      </c>
      <c r="C38" s="77"/>
      <c r="D38" s="77"/>
      <c r="E38" s="77"/>
      <c r="F38" s="573"/>
      <c r="G38" s="5"/>
      <c r="H38" s="68"/>
      <c r="I38" s="68"/>
    </row>
    <row r="39" spans="1:9" ht="12" customHeight="1">
      <c r="A39" s="70"/>
      <c r="B39" s="7" t="s">
        <v>1141</v>
      </c>
      <c r="C39" s="77"/>
      <c r="D39" s="77"/>
      <c r="E39" s="77"/>
      <c r="F39" s="573"/>
      <c r="G39" s="5"/>
      <c r="H39" s="68"/>
      <c r="I39" s="68"/>
    </row>
    <row r="40" spans="1:9" ht="12" customHeight="1">
      <c r="A40" s="70"/>
      <c r="B40" s="85" t="s">
        <v>1102</v>
      </c>
      <c r="C40" s="77">
        <v>11000</v>
      </c>
      <c r="D40" s="77">
        <v>10500</v>
      </c>
      <c r="E40" s="77">
        <v>8094</v>
      </c>
      <c r="F40" s="933">
        <f>SUM(E40/D40)</f>
        <v>0.7708571428571429</v>
      </c>
      <c r="G40" s="2"/>
      <c r="H40" s="68"/>
      <c r="I40" s="68"/>
    </row>
    <row r="41" spans="1:9" ht="12" customHeight="1">
      <c r="A41" s="70"/>
      <c r="B41" s="10" t="s">
        <v>1116</v>
      </c>
      <c r="C41" s="77">
        <v>7500</v>
      </c>
      <c r="D41" s="77">
        <v>0</v>
      </c>
      <c r="E41" s="77"/>
      <c r="F41" s="933"/>
      <c r="G41" s="5"/>
      <c r="H41" s="68"/>
      <c r="I41" s="68"/>
    </row>
    <row r="42" spans="1:9" ht="12" customHeight="1">
      <c r="A42" s="70"/>
      <c r="B42" s="10" t="s">
        <v>1382</v>
      </c>
      <c r="C42" s="77"/>
      <c r="D42" s="77">
        <v>8000</v>
      </c>
      <c r="E42" s="77">
        <v>7775</v>
      </c>
      <c r="F42" s="933">
        <f>SUM(E42/D42)</f>
        <v>0.971875</v>
      </c>
      <c r="G42" s="5"/>
      <c r="H42" s="68"/>
      <c r="I42" s="68"/>
    </row>
    <row r="43" spans="1:9" ht="12" customHeight="1">
      <c r="A43" s="70"/>
      <c r="B43" s="10" t="s">
        <v>914</v>
      </c>
      <c r="C43" s="77"/>
      <c r="D43" s="77"/>
      <c r="E43" s="77"/>
      <c r="F43" s="573"/>
      <c r="G43" s="5"/>
      <c r="H43" s="68"/>
      <c r="I43" s="68"/>
    </row>
    <row r="44" spans="1:9" ht="12" customHeight="1" thickBot="1">
      <c r="A44" s="84"/>
      <c r="B44" s="74" t="s">
        <v>1103</v>
      </c>
      <c r="C44" s="77"/>
      <c r="D44" s="77"/>
      <c r="E44" s="78"/>
      <c r="F44" s="940"/>
      <c r="G44" s="189"/>
      <c r="H44" s="68"/>
      <c r="I44" s="68"/>
    </row>
    <row r="45" spans="1:9" ht="12" customHeight="1" thickBot="1">
      <c r="A45" s="80"/>
      <c r="B45" s="57" t="s">
        <v>1095</v>
      </c>
      <c r="C45" s="82">
        <f>SUM(C38:C44)</f>
        <v>18500</v>
      </c>
      <c r="D45" s="82">
        <f>SUM(D38:D44)</f>
        <v>18500</v>
      </c>
      <c r="E45" s="82">
        <f>SUM(E38:E44)</f>
        <v>15869</v>
      </c>
      <c r="F45" s="938">
        <f>SUM(E45/D45)</f>
        <v>0.8577837837837838</v>
      </c>
      <c r="G45" s="188"/>
      <c r="H45" s="68"/>
      <c r="I45" s="68"/>
    </row>
    <row r="46" spans="1:9" ht="12" customHeight="1">
      <c r="A46" s="15">
        <v>3090</v>
      </c>
      <c r="B46" s="76" t="s">
        <v>897</v>
      </c>
      <c r="C46" s="89">
        <f>SUM(C54)</f>
        <v>70032</v>
      </c>
      <c r="D46" s="89">
        <f>SUM(D54)</f>
        <v>70032</v>
      </c>
      <c r="E46" s="89">
        <f>SUM(E54)</f>
        <v>57202</v>
      </c>
      <c r="F46" s="582">
        <f>SUM(E46/D46)</f>
        <v>0.8167980351839159</v>
      </c>
      <c r="G46" s="4"/>
      <c r="H46" s="68"/>
      <c r="I46" s="68"/>
    </row>
    <row r="47" spans="1:9" ht="12" customHeight="1">
      <c r="A47" s="15">
        <v>3091</v>
      </c>
      <c r="B47" s="110" t="s">
        <v>991</v>
      </c>
      <c r="C47" s="89"/>
      <c r="D47" s="89"/>
      <c r="E47" s="89"/>
      <c r="F47" s="573"/>
      <c r="G47" s="5"/>
      <c r="H47" s="68"/>
      <c r="I47" s="68"/>
    </row>
    <row r="48" spans="1:9" ht="12" customHeight="1">
      <c r="A48" s="70"/>
      <c r="B48" s="71" t="s">
        <v>899</v>
      </c>
      <c r="C48" s="77">
        <v>12093</v>
      </c>
      <c r="D48" s="77">
        <v>12093</v>
      </c>
      <c r="E48" s="77">
        <v>10618</v>
      </c>
      <c r="F48" s="933">
        <f>SUM(E48/D48)</f>
        <v>0.8780286115934839</v>
      </c>
      <c r="G48" s="5"/>
      <c r="H48" s="68"/>
      <c r="I48" s="68"/>
    </row>
    <row r="49" spans="1:9" ht="12" customHeight="1">
      <c r="A49" s="70"/>
      <c r="B49" s="7" t="s">
        <v>1141</v>
      </c>
      <c r="C49" s="77">
        <v>2939</v>
      </c>
      <c r="D49" s="77">
        <v>2939</v>
      </c>
      <c r="E49" s="77">
        <v>2462</v>
      </c>
      <c r="F49" s="933">
        <f>SUM(E49/D49)</f>
        <v>0.8376998979244641</v>
      </c>
      <c r="G49" s="5"/>
      <c r="H49" s="68"/>
      <c r="I49" s="68"/>
    </row>
    <row r="50" spans="1:9" ht="12" customHeight="1">
      <c r="A50" s="70"/>
      <c r="B50" s="85" t="s">
        <v>1102</v>
      </c>
      <c r="C50" s="77">
        <v>55000</v>
      </c>
      <c r="D50" s="77">
        <v>55000</v>
      </c>
      <c r="E50" s="77">
        <v>44122</v>
      </c>
      <c r="F50" s="933">
        <f>SUM(E50/D50)</f>
        <v>0.8022181818181818</v>
      </c>
      <c r="G50" s="2"/>
      <c r="H50" s="68"/>
      <c r="I50" s="68"/>
    </row>
    <row r="51" spans="1:9" ht="12" customHeight="1">
      <c r="A51" s="70"/>
      <c r="B51" s="10" t="s">
        <v>1116</v>
      </c>
      <c r="C51" s="77"/>
      <c r="D51" s="77"/>
      <c r="E51" s="77"/>
      <c r="F51" s="573"/>
      <c r="G51" s="5"/>
      <c r="H51" s="68"/>
      <c r="I51" s="68"/>
    </row>
    <row r="52" spans="1:9" ht="12" customHeight="1">
      <c r="A52" s="70"/>
      <c r="B52" s="10" t="s">
        <v>914</v>
      </c>
      <c r="C52" s="77"/>
      <c r="D52" s="77"/>
      <c r="E52" s="77"/>
      <c r="F52" s="573"/>
      <c r="G52" s="5"/>
      <c r="H52" s="68"/>
      <c r="I52" s="68"/>
    </row>
    <row r="53" spans="1:9" ht="12" customHeight="1" thickBot="1">
      <c r="A53" s="84"/>
      <c r="B53" s="74" t="s">
        <v>1103</v>
      </c>
      <c r="C53" s="77"/>
      <c r="D53" s="77"/>
      <c r="E53" s="78"/>
      <c r="F53" s="940"/>
      <c r="G53" s="189"/>
      <c r="H53" s="68"/>
      <c r="I53" s="68"/>
    </row>
    <row r="54" spans="1:9" ht="12" customHeight="1" thickBot="1">
      <c r="A54" s="80"/>
      <c r="B54" s="57" t="s">
        <v>1095</v>
      </c>
      <c r="C54" s="82">
        <f>SUM(C48:C53)</f>
        <v>70032</v>
      </c>
      <c r="D54" s="82">
        <f>SUM(D48:D53)</f>
        <v>70032</v>
      </c>
      <c r="E54" s="82">
        <f>SUM(E48:E53)</f>
        <v>57202</v>
      </c>
      <c r="F54" s="938">
        <f>SUM(E54/D54)</f>
        <v>0.8167980351839159</v>
      </c>
      <c r="G54" s="188"/>
      <c r="H54" s="68"/>
      <c r="I54" s="68"/>
    </row>
    <row r="55" spans="1:9" ht="12" customHeight="1" thickBot="1">
      <c r="A55" s="143">
        <v>3130</v>
      </c>
      <c r="B55" s="73" t="s">
        <v>918</v>
      </c>
      <c r="C55" s="82">
        <f>SUM(C56+C99)</f>
        <v>813333</v>
      </c>
      <c r="D55" s="82">
        <f>SUM(D56+D99)</f>
        <v>829712</v>
      </c>
      <c r="E55" s="82">
        <f>SUM(E56+E99)</f>
        <v>629847</v>
      </c>
      <c r="F55" s="938">
        <f>SUM(E55/D55)</f>
        <v>0.7591152110611875</v>
      </c>
      <c r="G55" s="188"/>
      <c r="H55" s="68"/>
      <c r="I55" s="68"/>
    </row>
    <row r="56" spans="1:9" ht="12" customHeight="1" thickBot="1">
      <c r="A56" s="15">
        <v>3110</v>
      </c>
      <c r="B56" s="73" t="s">
        <v>1081</v>
      </c>
      <c r="C56" s="82">
        <f>SUM(C65+C73+C81+C90+C98)</f>
        <v>768333</v>
      </c>
      <c r="D56" s="82">
        <f>SUM(D65+D73+D81+D90+D98)</f>
        <v>752311</v>
      </c>
      <c r="E56" s="82">
        <f>SUM(E65+E73+E81+E90+E98)</f>
        <v>564215</v>
      </c>
      <c r="F56" s="938">
        <f>SUM(E56/D56)</f>
        <v>0.7499757414154519</v>
      </c>
      <c r="G56" s="188"/>
      <c r="H56" s="68"/>
      <c r="I56" s="68"/>
    </row>
    <row r="57" spans="1:9" ht="12" customHeight="1">
      <c r="A57" s="69">
        <v>3111</v>
      </c>
      <c r="B57" s="98" t="s">
        <v>1009</v>
      </c>
      <c r="C57" s="89"/>
      <c r="D57" s="89"/>
      <c r="E57" s="89"/>
      <c r="F57" s="582"/>
      <c r="G57" s="18" t="s">
        <v>1013</v>
      </c>
      <c r="H57" s="68"/>
      <c r="I57" s="68"/>
    </row>
    <row r="58" spans="1:9" ht="12" customHeight="1">
      <c r="A58" s="84"/>
      <c r="B58" s="71" t="s">
        <v>899</v>
      </c>
      <c r="C58" s="77"/>
      <c r="D58" s="77"/>
      <c r="E58" s="77"/>
      <c r="F58" s="573"/>
      <c r="G58" s="186"/>
      <c r="H58" s="68"/>
      <c r="I58" s="68"/>
    </row>
    <row r="59" spans="1:9" ht="12" customHeight="1">
      <c r="A59" s="84"/>
      <c r="B59" s="7" t="s">
        <v>1141</v>
      </c>
      <c r="C59" s="77"/>
      <c r="D59" s="77"/>
      <c r="E59" s="77"/>
      <c r="F59" s="573"/>
      <c r="G59" s="186"/>
      <c r="H59" s="68"/>
      <c r="I59" s="68"/>
    </row>
    <row r="60" spans="1:9" ht="12" customHeight="1">
      <c r="A60" s="84"/>
      <c r="B60" s="85" t="s">
        <v>1102</v>
      </c>
      <c r="C60" s="77"/>
      <c r="D60" s="77">
        <v>1807</v>
      </c>
      <c r="E60" s="77">
        <v>1807</v>
      </c>
      <c r="F60" s="933">
        <f>SUM(E60/D60)</f>
        <v>1</v>
      </c>
      <c r="G60" s="186"/>
      <c r="H60" s="68"/>
      <c r="I60" s="68"/>
    </row>
    <row r="61" spans="1:9" ht="12" customHeight="1">
      <c r="A61" s="84"/>
      <c r="B61" s="10" t="s">
        <v>1116</v>
      </c>
      <c r="C61" s="77"/>
      <c r="D61" s="77"/>
      <c r="E61" s="77"/>
      <c r="F61" s="933"/>
      <c r="G61" s="186"/>
      <c r="H61" s="68"/>
      <c r="I61" s="68"/>
    </row>
    <row r="62" spans="1:9" ht="12" customHeight="1">
      <c r="A62" s="84"/>
      <c r="B62" s="10" t="s">
        <v>914</v>
      </c>
      <c r="C62" s="77"/>
      <c r="D62" s="77"/>
      <c r="E62" s="77"/>
      <c r="F62" s="933"/>
      <c r="G62" s="186"/>
      <c r="H62" s="68"/>
      <c r="I62" s="68"/>
    </row>
    <row r="63" spans="1:9" ht="12" customHeight="1">
      <c r="A63" s="84"/>
      <c r="B63" s="74" t="s">
        <v>891</v>
      </c>
      <c r="C63" s="77">
        <v>500000</v>
      </c>
      <c r="D63" s="77">
        <v>498193</v>
      </c>
      <c r="E63" s="77">
        <v>349154</v>
      </c>
      <c r="F63" s="933">
        <f>SUM(E63/D63)</f>
        <v>0.7008408387913921</v>
      </c>
      <c r="G63" s="186"/>
      <c r="H63" s="68"/>
      <c r="I63" s="68"/>
    </row>
    <row r="64" spans="1:9" ht="12" customHeight="1" thickBot="1">
      <c r="A64" s="84"/>
      <c r="B64" s="74" t="s">
        <v>1103</v>
      </c>
      <c r="C64" s="78"/>
      <c r="D64" s="78"/>
      <c r="E64" s="78"/>
      <c r="F64" s="940"/>
      <c r="G64" s="54"/>
      <c r="H64" s="68"/>
      <c r="I64" s="68"/>
    </row>
    <row r="65" spans="1:9" ht="12" customHeight="1" thickBot="1">
      <c r="A65" s="80"/>
      <c r="B65" s="57" t="s">
        <v>1095</v>
      </c>
      <c r="C65" s="82">
        <f>SUM(C58:C63)</f>
        <v>500000</v>
      </c>
      <c r="D65" s="82">
        <f>SUM(D58:D63)</f>
        <v>500000</v>
      </c>
      <c r="E65" s="82">
        <f>SUM(E58:E63)</f>
        <v>350961</v>
      </c>
      <c r="F65" s="938">
        <f>SUM(E65/D65)</f>
        <v>0.701922</v>
      </c>
      <c r="G65" s="188"/>
      <c r="H65" s="68"/>
      <c r="I65" s="68"/>
    </row>
    <row r="66" spans="1:9" ht="12" customHeight="1">
      <c r="A66" s="86">
        <v>3112</v>
      </c>
      <c r="B66" s="103" t="s">
        <v>1058</v>
      </c>
      <c r="C66" s="89"/>
      <c r="D66" s="89"/>
      <c r="E66" s="89"/>
      <c r="F66" s="582"/>
      <c r="G66" s="31"/>
      <c r="H66" s="68"/>
      <c r="I66" s="68"/>
    </row>
    <row r="67" spans="1:9" ht="12" customHeight="1">
      <c r="A67" s="84"/>
      <c r="B67" s="71" t="s">
        <v>899</v>
      </c>
      <c r="C67" s="77"/>
      <c r="D67" s="77"/>
      <c r="E67" s="77"/>
      <c r="F67" s="573"/>
      <c r="G67" s="186"/>
      <c r="H67" s="68"/>
      <c r="I67" s="68"/>
    </row>
    <row r="68" spans="1:9" ht="12" customHeight="1">
      <c r="A68" s="84"/>
      <c r="B68" s="7" t="s">
        <v>1141</v>
      </c>
      <c r="C68" s="77"/>
      <c r="D68" s="77"/>
      <c r="E68" s="77"/>
      <c r="F68" s="573"/>
      <c r="G68" s="186"/>
      <c r="H68" s="68"/>
      <c r="I68" s="68"/>
    </row>
    <row r="69" spans="1:9" ht="12" customHeight="1">
      <c r="A69" s="84"/>
      <c r="B69" s="85" t="s">
        <v>1102</v>
      </c>
      <c r="C69" s="77">
        <v>70000</v>
      </c>
      <c r="D69" s="77">
        <v>98188</v>
      </c>
      <c r="E69" s="77">
        <v>98187</v>
      </c>
      <c r="F69" s="933">
        <f>SUM(E69/D69)</f>
        <v>0.9999898154560639</v>
      </c>
      <c r="G69" s="186"/>
      <c r="H69" s="68"/>
      <c r="I69" s="68"/>
    </row>
    <row r="70" spans="1:9" ht="12" customHeight="1">
      <c r="A70" s="84"/>
      <c r="B70" s="10" t="s">
        <v>1116</v>
      </c>
      <c r="C70" s="77"/>
      <c r="D70" s="77"/>
      <c r="E70" s="77"/>
      <c r="F70" s="573"/>
      <c r="G70" s="186"/>
      <c r="H70" s="68"/>
      <c r="I70" s="68"/>
    </row>
    <row r="71" spans="1:9" ht="12" customHeight="1">
      <c r="A71" s="84"/>
      <c r="B71" s="10" t="s">
        <v>914</v>
      </c>
      <c r="C71" s="77"/>
      <c r="D71" s="77"/>
      <c r="E71" s="77"/>
      <c r="F71" s="573"/>
      <c r="G71" s="186"/>
      <c r="H71" s="68"/>
      <c r="I71" s="68"/>
    </row>
    <row r="72" spans="1:9" ht="12" customHeight="1" thickBot="1">
      <c r="A72" s="84"/>
      <c r="B72" s="74" t="s">
        <v>1103</v>
      </c>
      <c r="C72" s="77"/>
      <c r="D72" s="77"/>
      <c r="E72" s="78"/>
      <c r="F72" s="940"/>
      <c r="G72" s="186"/>
      <c r="H72" s="68"/>
      <c r="I72" s="68"/>
    </row>
    <row r="73" spans="1:9" ht="12" customHeight="1" thickBot="1">
      <c r="A73" s="80"/>
      <c r="B73" s="57" t="s">
        <v>1095</v>
      </c>
      <c r="C73" s="82">
        <f>SUM(C67:C72)</f>
        <v>70000</v>
      </c>
      <c r="D73" s="82">
        <f>SUM(D67:D72)</f>
        <v>98188</v>
      </c>
      <c r="E73" s="82">
        <f>SUM(E67:E72)</f>
        <v>98187</v>
      </c>
      <c r="F73" s="938">
        <f>SUM(E73/D73)</f>
        <v>0.9999898154560639</v>
      </c>
      <c r="G73" s="188"/>
      <c r="H73" s="68"/>
      <c r="I73" s="68"/>
    </row>
    <row r="74" spans="1:9" ht="12" customHeight="1">
      <c r="A74" s="86">
        <v>3113</v>
      </c>
      <c r="B74" s="98" t="s">
        <v>1082</v>
      </c>
      <c r="C74" s="99"/>
      <c r="D74" s="99"/>
      <c r="E74" s="89"/>
      <c r="F74" s="582"/>
      <c r="G74" s="4"/>
      <c r="H74" s="68"/>
      <c r="I74" s="68"/>
    </row>
    <row r="75" spans="1:9" ht="12" customHeight="1">
      <c r="A75" s="84"/>
      <c r="B75" s="71" t="s">
        <v>899</v>
      </c>
      <c r="C75" s="77"/>
      <c r="D75" s="77"/>
      <c r="E75" s="77"/>
      <c r="F75" s="573"/>
      <c r="G75" s="186"/>
      <c r="H75" s="68"/>
      <c r="I75" s="68"/>
    </row>
    <row r="76" spans="1:9" ht="12" customHeight="1">
      <c r="A76" s="84"/>
      <c r="B76" s="7" t="s">
        <v>1141</v>
      </c>
      <c r="C76" s="77"/>
      <c r="D76" s="77"/>
      <c r="E76" s="77"/>
      <c r="F76" s="573"/>
      <c r="G76" s="186"/>
      <c r="H76" s="68"/>
      <c r="I76" s="68"/>
    </row>
    <row r="77" spans="1:9" ht="12" customHeight="1">
      <c r="A77" s="84"/>
      <c r="B77" s="85" t="s">
        <v>1102</v>
      </c>
      <c r="C77" s="77">
        <v>19500</v>
      </c>
      <c r="D77" s="77">
        <v>19500</v>
      </c>
      <c r="E77" s="77">
        <v>17452</v>
      </c>
      <c r="F77" s="933">
        <f>SUM(E77/D77)</f>
        <v>0.894974358974359</v>
      </c>
      <c r="G77" s="186"/>
      <c r="H77" s="68"/>
      <c r="I77" s="68"/>
    </row>
    <row r="78" spans="1:9" ht="12" customHeight="1">
      <c r="A78" s="84"/>
      <c r="B78" s="10" t="s">
        <v>1116</v>
      </c>
      <c r="C78" s="77"/>
      <c r="D78" s="77"/>
      <c r="E78" s="77"/>
      <c r="F78" s="573"/>
      <c r="G78" s="186"/>
      <c r="H78" s="68"/>
      <c r="I78" s="68"/>
    </row>
    <row r="79" spans="1:9" ht="12" customHeight="1">
      <c r="A79" s="84"/>
      <c r="B79" s="10" t="s">
        <v>914</v>
      </c>
      <c r="C79" s="77"/>
      <c r="D79" s="77"/>
      <c r="E79" s="77"/>
      <c r="F79" s="573"/>
      <c r="G79" s="186"/>
      <c r="H79" s="68"/>
      <c r="I79" s="68"/>
    </row>
    <row r="80" spans="1:9" ht="12" customHeight="1" thickBot="1">
      <c r="A80" s="84"/>
      <c r="B80" s="74" t="s">
        <v>1103</v>
      </c>
      <c r="C80" s="77"/>
      <c r="D80" s="77"/>
      <c r="E80" s="78"/>
      <c r="F80" s="940"/>
      <c r="G80" s="186"/>
      <c r="H80" s="68"/>
      <c r="I80" s="68"/>
    </row>
    <row r="81" spans="1:9" ht="12" customHeight="1" thickBot="1">
      <c r="A81" s="80"/>
      <c r="B81" s="57" t="s">
        <v>1095</v>
      </c>
      <c r="C81" s="82">
        <f>SUM(C75:C80)</f>
        <v>19500</v>
      </c>
      <c r="D81" s="82">
        <f>SUM(D75:D80)</f>
        <v>19500</v>
      </c>
      <c r="E81" s="82">
        <f>SUM(E75:E80)</f>
        <v>17452</v>
      </c>
      <c r="F81" s="938">
        <f>SUM(E81/D81)</f>
        <v>0.894974358974359</v>
      </c>
      <c r="G81" s="188"/>
      <c r="H81" s="68"/>
      <c r="I81" s="68"/>
    </row>
    <row r="82" spans="1:9" ht="12" customHeight="1">
      <c r="A82" s="86">
        <v>3114</v>
      </c>
      <c r="B82" s="103" t="s">
        <v>921</v>
      </c>
      <c r="C82" s="89"/>
      <c r="D82" s="89"/>
      <c r="E82" s="89"/>
      <c r="F82" s="582"/>
      <c r="G82" s="106"/>
      <c r="H82" s="68"/>
      <c r="I82" s="68"/>
    </row>
    <row r="83" spans="1:9" ht="12" customHeight="1">
      <c r="A83" s="84"/>
      <c r="B83" s="71" t="s">
        <v>899</v>
      </c>
      <c r="C83" s="77"/>
      <c r="D83" s="77"/>
      <c r="E83" s="77"/>
      <c r="F83" s="573"/>
      <c r="G83" s="186"/>
      <c r="H83" s="68"/>
      <c r="I83" s="68"/>
    </row>
    <row r="84" spans="1:9" ht="12" customHeight="1">
      <c r="A84" s="84"/>
      <c r="B84" s="7" t="s">
        <v>1141</v>
      </c>
      <c r="C84" s="77"/>
      <c r="D84" s="77"/>
      <c r="E84" s="77"/>
      <c r="F84" s="573"/>
      <c r="G84" s="186"/>
      <c r="H84" s="68"/>
      <c r="I84" s="68"/>
    </row>
    <row r="85" spans="1:9" ht="12" customHeight="1">
      <c r="A85" s="84"/>
      <c r="B85" s="85" t="s">
        <v>1102</v>
      </c>
      <c r="C85" s="77">
        <v>133000</v>
      </c>
      <c r="D85" s="77">
        <v>82025</v>
      </c>
      <c r="E85" s="77">
        <v>49194</v>
      </c>
      <c r="F85" s="933">
        <f>SUM(E85/D85)</f>
        <v>0.5997439804937519</v>
      </c>
      <c r="G85" s="186"/>
      <c r="H85" s="68"/>
      <c r="I85" s="68"/>
    </row>
    <row r="86" spans="1:9" ht="12" customHeight="1">
      <c r="A86" s="84"/>
      <c r="B86" s="10" t="s">
        <v>1116</v>
      </c>
      <c r="C86" s="77"/>
      <c r="D86" s="77"/>
      <c r="E86" s="77"/>
      <c r="F86" s="573"/>
      <c r="G86" s="186"/>
      <c r="H86" s="68"/>
      <c r="I86" s="68"/>
    </row>
    <row r="87" spans="1:9" ht="12" customHeight="1">
      <c r="A87" s="84"/>
      <c r="B87" s="10" t="s">
        <v>914</v>
      </c>
      <c r="C87" s="77"/>
      <c r="D87" s="77"/>
      <c r="E87" s="77"/>
      <c r="F87" s="573"/>
      <c r="G87" s="186"/>
      <c r="H87" s="68"/>
      <c r="I87" s="68"/>
    </row>
    <row r="88" spans="1:9" ht="12" customHeight="1">
      <c r="A88" s="84"/>
      <c r="B88" s="10" t="s">
        <v>282</v>
      </c>
      <c r="C88" s="77"/>
      <c r="D88" s="77">
        <v>1812</v>
      </c>
      <c r="E88" s="77">
        <v>1802</v>
      </c>
      <c r="F88" s="933">
        <f>SUM(E88/D88)</f>
        <v>0.9944812362030905</v>
      </c>
      <c r="G88" s="186"/>
      <c r="H88" s="68"/>
      <c r="I88" s="68"/>
    </row>
    <row r="89" spans="1:9" ht="12" customHeight="1" thickBot="1">
      <c r="A89" s="70"/>
      <c r="B89" s="74" t="s">
        <v>283</v>
      </c>
      <c r="C89" s="77"/>
      <c r="D89" s="77">
        <v>4953</v>
      </c>
      <c r="E89" s="78">
        <v>4953</v>
      </c>
      <c r="F89" s="937">
        <f>SUM(E89/D89)</f>
        <v>1</v>
      </c>
      <c r="G89" s="186"/>
      <c r="H89" s="68"/>
      <c r="I89" s="68"/>
    </row>
    <row r="90" spans="1:9" ht="12" customHeight="1" thickBot="1">
      <c r="A90" s="52"/>
      <c r="B90" s="57" t="s">
        <v>1095</v>
      </c>
      <c r="C90" s="82">
        <f>SUM(C83:C89)</f>
        <v>133000</v>
      </c>
      <c r="D90" s="82">
        <f>SUM(D83:D89)</f>
        <v>88790</v>
      </c>
      <c r="E90" s="82">
        <f>SUM(E83:E89)</f>
        <v>55949</v>
      </c>
      <c r="F90" s="938">
        <f>SUM(E90/D90)</f>
        <v>0.6301272665840748</v>
      </c>
      <c r="G90" s="188"/>
      <c r="H90" s="68"/>
      <c r="I90" s="68"/>
    </row>
    <row r="91" spans="1:9" ht="12" customHeight="1">
      <c r="A91" s="86">
        <v>3115</v>
      </c>
      <c r="B91" s="103" t="s">
        <v>1138</v>
      </c>
      <c r="C91" s="89"/>
      <c r="D91" s="89"/>
      <c r="E91" s="89"/>
      <c r="F91" s="582"/>
      <c r="G91" s="106"/>
      <c r="H91" s="68"/>
      <c r="I91" s="68"/>
    </row>
    <row r="92" spans="1:9" ht="12" customHeight="1">
      <c r="A92" s="84"/>
      <c r="B92" s="71" t="s">
        <v>899</v>
      </c>
      <c r="C92" s="77"/>
      <c r="D92" s="77"/>
      <c r="E92" s="77"/>
      <c r="F92" s="573"/>
      <c r="G92" s="186"/>
      <c r="H92" s="68"/>
      <c r="I92" s="68"/>
    </row>
    <row r="93" spans="1:9" ht="12" customHeight="1">
      <c r="A93" s="84"/>
      <c r="B93" s="7" t="s">
        <v>1141</v>
      </c>
      <c r="C93" s="77"/>
      <c r="D93" s="77"/>
      <c r="E93" s="77"/>
      <c r="F93" s="573"/>
      <c r="G93" s="186"/>
      <c r="H93" s="68"/>
      <c r="I93" s="68"/>
    </row>
    <row r="94" spans="1:9" ht="12" customHeight="1">
      <c r="A94" s="84"/>
      <c r="B94" s="85" t="s">
        <v>1102</v>
      </c>
      <c r="C94" s="77">
        <v>45833</v>
      </c>
      <c r="D94" s="77">
        <v>45833</v>
      </c>
      <c r="E94" s="77">
        <v>41666</v>
      </c>
      <c r="F94" s="933">
        <f>SUM(E94/D94)</f>
        <v>0.9090829751489101</v>
      </c>
      <c r="G94" s="186"/>
      <c r="H94" s="68"/>
      <c r="I94" s="68"/>
    </row>
    <row r="95" spans="1:9" ht="12" customHeight="1">
      <c r="A95" s="84"/>
      <c r="B95" s="10" t="s">
        <v>1116</v>
      </c>
      <c r="C95" s="77"/>
      <c r="D95" s="77"/>
      <c r="E95" s="77"/>
      <c r="F95" s="573"/>
      <c r="G95" s="186"/>
      <c r="H95" s="68"/>
      <c r="I95" s="68"/>
    </row>
    <row r="96" spans="1:9" ht="12" customHeight="1">
      <c r="A96" s="84"/>
      <c r="B96" s="10" t="s">
        <v>914</v>
      </c>
      <c r="C96" s="77"/>
      <c r="D96" s="77"/>
      <c r="E96" s="77"/>
      <c r="F96" s="573"/>
      <c r="G96" s="186"/>
      <c r="H96" s="68"/>
      <c r="I96" s="68"/>
    </row>
    <row r="97" spans="1:9" ht="12" customHeight="1" thickBot="1">
      <c r="A97" s="70"/>
      <c r="B97" s="74" t="s">
        <v>1103</v>
      </c>
      <c r="C97" s="77"/>
      <c r="D97" s="77"/>
      <c r="E97" s="78"/>
      <c r="F97" s="940"/>
      <c r="G97" s="186"/>
      <c r="H97" s="68"/>
      <c r="I97" s="68"/>
    </row>
    <row r="98" spans="1:9" ht="12" customHeight="1" thickBot="1">
      <c r="A98" s="52"/>
      <c r="B98" s="57" t="s">
        <v>1095</v>
      </c>
      <c r="C98" s="82">
        <f>SUM(C92:C97)</f>
        <v>45833</v>
      </c>
      <c r="D98" s="82">
        <f>SUM(D92:D97)</f>
        <v>45833</v>
      </c>
      <c r="E98" s="82">
        <f>SUM(E92:E97)</f>
        <v>41666</v>
      </c>
      <c r="F98" s="938">
        <f>SUM(E98/D98)</f>
        <v>0.9090829751489101</v>
      </c>
      <c r="G98" s="188"/>
      <c r="H98" s="68"/>
      <c r="I98" s="68"/>
    </row>
    <row r="99" spans="1:9" ht="12" customHeight="1" thickBot="1">
      <c r="A99" s="15">
        <v>3120</v>
      </c>
      <c r="B99" s="73" t="s">
        <v>1137</v>
      </c>
      <c r="C99" s="82">
        <f>SUM(C107+C115+C123+C131)</f>
        <v>45000</v>
      </c>
      <c r="D99" s="82">
        <f>SUM(D107+D115+D123+D131+D139)</f>
        <v>77401</v>
      </c>
      <c r="E99" s="82">
        <f>SUM(E107+E115+E123+E131+E139)</f>
        <v>65632</v>
      </c>
      <c r="F99" s="938">
        <f>SUM(E99/D99)</f>
        <v>0.8479477009340964</v>
      </c>
      <c r="G99" s="188"/>
      <c r="H99" s="68"/>
      <c r="I99" s="68"/>
    </row>
    <row r="100" spans="1:9" ht="12" customHeight="1">
      <c r="A100" s="15">
        <v>3121</v>
      </c>
      <c r="B100" s="184" t="s">
        <v>1072</v>
      </c>
      <c r="C100" s="99"/>
      <c r="D100" s="99"/>
      <c r="E100" s="89"/>
      <c r="F100" s="582"/>
      <c r="G100" s="4"/>
      <c r="H100" s="68"/>
      <c r="I100" s="68"/>
    </row>
    <row r="101" spans="1:9" ht="12" customHeight="1">
      <c r="A101" s="15"/>
      <c r="B101" s="71" t="s">
        <v>899</v>
      </c>
      <c r="C101" s="47"/>
      <c r="D101" s="47"/>
      <c r="E101" s="47"/>
      <c r="F101" s="573"/>
      <c r="G101" s="5"/>
      <c r="H101" s="68"/>
      <c r="I101" s="68"/>
    </row>
    <row r="102" spans="1:9" ht="12" customHeight="1">
      <c r="A102" s="15"/>
      <c r="B102" s="7" t="s">
        <v>1141</v>
      </c>
      <c r="C102" s="47"/>
      <c r="D102" s="47"/>
      <c r="E102" s="47"/>
      <c r="F102" s="573"/>
      <c r="G102" s="5"/>
      <c r="H102" s="68"/>
      <c r="I102" s="68"/>
    </row>
    <row r="103" spans="1:9" ht="12" customHeight="1">
      <c r="A103" s="86"/>
      <c r="B103" s="85" t="s">
        <v>1102</v>
      </c>
      <c r="C103" s="166">
        <v>10000</v>
      </c>
      <c r="D103" s="166">
        <v>3500</v>
      </c>
      <c r="E103" s="166">
        <v>1565</v>
      </c>
      <c r="F103" s="933">
        <f>SUM(E103/D103)</f>
        <v>0.4471428571428571</v>
      </c>
      <c r="G103" s="5"/>
      <c r="H103" s="68"/>
      <c r="I103" s="68"/>
    </row>
    <row r="104" spans="1:9" ht="12" customHeight="1">
      <c r="A104" s="15"/>
      <c r="B104" s="10" t="s">
        <v>1116</v>
      </c>
      <c r="C104" s="47"/>
      <c r="D104" s="47"/>
      <c r="E104" s="47"/>
      <c r="F104" s="573"/>
      <c r="G104" s="5"/>
      <c r="H104" s="68"/>
      <c r="I104" s="68"/>
    </row>
    <row r="105" spans="1:9" ht="12" customHeight="1">
      <c r="A105" s="15"/>
      <c r="B105" s="10" t="s">
        <v>914</v>
      </c>
      <c r="C105" s="47"/>
      <c r="D105" s="47"/>
      <c r="E105" s="47"/>
      <c r="F105" s="573"/>
      <c r="G105" s="5"/>
      <c r="H105" s="68"/>
      <c r="I105" s="68"/>
    </row>
    <row r="106" spans="1:9" ht="12" customHeight="1" thickBot="1">
      <c r="A106" s="15"/>
      <c r="B106" s="74" t="s">
        <v>1103</v>
      </c>
      <c r="C106" s="48"/>
      <c r="D106" s="48"/>
      <c r="E106" s="48"/>
      <c r="F106" s="940"/>
      <c r="G106" s="3"/>
      <c r="H106" s="68"/>
      <c r="I106" s="68"/>
    </row>
    <row r="107" spans="1:9" ht="12" customHeight="1" thickBot="1">
      <c r="A107" s="52"/>
      <c r="B107" s="57" t="s">
        <v>1095</v>
      </c>
      <c r="C107" s="82">
        <f>SUM(C103:C106)</f>
        <v>10000</v>
      </c>
      <c r="D107" s="82">
        <f>SUM(D103:D106)</f>
        <v>3500</v>
      </c>
      <c r="E107" s="82">
        <f>SUM(E103:E106)</f>
        <v>1565</v>
      </c>
      <c r="F107" s="938">
        <f>SUM(E107/D107)</f>
        <v>0.4471428571428571</v>
      </c>
      <c r="G107" s="188"/>
      <c r="H107" s="68"/>
      <c r="I107" s="68"/>
    </row>
    <row r="108" spans="1:9" ht="12" customHeight="1">
      <c r="A108" s="86">
        <v>3122</v>
      </c>
      <c r="B108" s="103" t="s">
        <v>1057</v>
      </c>
      <c r="C108" s="89"/>
      <c r="D108" s="89"/>
      <c r="E108" s="89"/>
      <c r="F108" s="582"/>
      <c r="G108" s="22"/>
      <c r="H108" s="68"/>
      <c r="I108" s="68"/>
    </row>
    <row r="109" spans="1:9" ht="12" customHeight="1">
      <c r="A109" s="84"/>
      <c r="B109" s="71" t="s">
        <v>899</v>
      </c>
      <c r="C109" s="77"/>
      <c r="D109" s="77"/>
      <c r="E109" s="77"/>
      <c r="F109" s="573"/>
      <c r="G109" s="186"/>
      <c r="H109" s="68"/>
      <c r="I109" s="68"/>
    </row>
    <row r="110" spans="1:9" ht="12" customHeight="1">
      <c r="A110" s="84"/>
      <c r="B110" s="7" t="s">
        <v>1141</v>
      </c>
      <c r="C110" s="77"/>
      <c r="D110" s="77"/>
      <c r="E110" s="77"/>
      <c r="F110" s="573"/>
      <c r="G110" s="186"/>
      <c r="H110" s="68"/>
      <c r="I110" s="68"/>
    </row>
    <row r="111" spans="1:9" ht="12" customHeight="1">
      <c r="A111" s="84"/>
      <c r="B111" s="85" t="s">
        <v>1102</v>
      </c>
      <c r="C111" s="77">
        <v>10000</v>
      </c>
      <c r="D111" s="77">
        <v>15000</v>
      </c>
      <c r="E111" s="77">
        <v>8968</v>
      </c>
      <c r="F111" s="933">
        <f>SUM(E111/D111)</f>
        <v>0.5978666666666667</v>
      </c>
      <c r="G111" s="186"/>
      <c r="H111" s="68"/>
      <c r="I111" s="68"/>
    </row>
    <row r="112" spans="1:9" ht="12" customHeight="1">
      <c r="A112" s="84"/>
      <c r="B112" s="10" t="s">
        <v>1116</v>
      </c>
      <c r="C112" s="77"/>
      <c r="D112" s="77"/>
      <c r="E112" s="77"/>
      <c r="F112" s="573"/>
      <c r="G112" s="186"/>
      <c r="H112" s="68"/>
      <c r="I112" s="68"/>
    </row>
    <row r="113" spans="1:9" ht="12" customHeight="1">
      <c r="A113" s="84"/>
      <c r="B113" s="10" t="s">
        <v>914</v>
      </c>
      <c r="C113" s="77"/>
      <c r="D113" s="77"/>
      <c r="E113" s="77"/>
      <c r="F113" s="573"/>
      <c r="G113" s="186"/>
      <c r="H113" s="68"/>
      <c r="I113" s="68"/>
    </row>
    <row r="114" spans="1:9" ht="12" customHeight="1" thickBot="1">
      <c r="A114" s="84"/>
      <c r="B114" s="74" t="s">
        <v>1103</v>
      </c>
      <c r="C114" s="77"/>
      <c r="D114" s="77"/>
      <c r="E114" s="78"/>
      <c r="F114" s="940"/>
      <c r="G114" s="186"/>
      <c r="H114" s="68"/>
      <c r="I114" s="68"/>
    </row>
    <row r="115" spans="1:9" ht="12" customHeight="1" thickBot="1">
      <c r="A115" s="80"/>
      <c r="B115" s="57" t="s">
        <v>1095</v>
      </c>
      <c r="C115" s="82">
        <f>SUM(C109:C114)</f>
        <v>10000</v>
      </c>
      <c r="D115" s="82">
        <f>SUM(D109:D114)</f>
        <v>15000</v>
      </c>
      <c r="E115" s="82">
        <f>SUM(E109:E114)</f>
        <v>8968</v>
      </c>
      <c r="F115" s="938">
        <f>SUM(E115/D115)</f>
        <v>0.5978666666666667</v>
      </c>
      <c r="G115" s="188"/>
      <c r="H115" s="68"/>
      <c r="I115" s="68"/>
    </row>
    <row r="116" spans="1:9" ht="12" customHeight="1">
      <c r="A116" s="86">
        <v>3123</v>
      </c>
      <c r="B116" s="98" t="s">
        <v>920</v>
      </c>
      <c r="C116" s="99"/>
      <c r="D116" s="99"/>
      <c r="E116" s="89"/>
      <c r="F116" s="582"/>
      <c r="G116" s="18"/>
      <c r="H116" s="68"/>
      <c r="I116" s="68"/>
    </row>
    <row r="117" spans="1:9" ht="12" customHeight="1">
      <c r="A117" s="84"/>
      <c r="B117" s="71" t="s">
        <v>899</v>
      </c>
      <c r="C117" s="77"/>
      <c r="D117" s="77"/>
      <c r="E117" s="77"/>
      <c r="F117" s="573"/>
      <c r="G117" s="186"/>
      <c r="H117" s="68"/>
      <c r="I117" s="68"/>
    </row>
    <row r="118" spans="1:9" ht="12" customHeight="1">
      <c r="A118" s="84"/>
      <c r="B118" s="7" t="s">
        <v>1141</v>
      </c>
      <c r="C118" s="77"/>
      <c r="D118" s="77"/>
      <c r="E118" s="77"/>
      <c r="F118" s="573"/>
      <c r="G118" s="186"/>
      <c r="H118" s="68"/>
      <c r="I118" s="68"/>
    </row>
    <row r="119" spans="1:9" ht="12" customHeight="1">
      <c r="A119" s="84"/>
      <c r="B119" s="85" t="s">
        <v>1102</v>
      </c>
      <c r="C119" s="77">
        <v>10000</v>
      </c>
      <c r="D119" s="77">
        <v>23294</v>
      </c>
      <c r="E119" s="77">
        <v>19523</v>
      </c>
      <c r="F119" s="933">
        <f>SUM(E119/D119)</f>
        <v>0.8381128187516098</v>
      </c>
      <c r="G119" s="186"/>
      <c r="H119" s="68"/>
      <c r="I119" s="68"/>
    </row>
    <row r="120" spans="1:9" ht="12" customHeight="1">
      <c r="A120" s="84"/>
      <c r="B120" s="10" t="s">
        <v>1116</v>
      </c>
      <c r="C120" s="77"/>
      <c r="D120" s="77"/>
      <c r="E120" s="77"/>
      <c r="F120" s="573"/>
      <c r="G120" s="186"/>
      <c r="H120" s="68"/>
      <c r="I120" s="68"/>
    </row>
    <row r="121" spans="1:9" ht="12" customHeight="1">
      <c r="A121" s="84"/>
      <c r="B121" s="10" t="s">
        <v>914</v>
      </c>
      <c r="C121" s="77"/>
      <c r="D121" s="77"/>
      <c r="E121" s="77"/>
      <c r="F121" s="573"/>
      <c r="G121" s="186"/>
      <c r="H121" s="68"/>
      <c r="I121" s="68"/>
    </row>
    <row r="122" spans="1:9" ht="12" customHeight="1" thickBot="1">
      <c r="A122" s="84"/>
      <c r="B122" s="74" t="s">
        <v>1103</v>
      </c>
      <c r="C122" s="77"/>
      <c r="D122" s="77"/>
      <c r="E122" s="78"/>
      <c r="F122" s="940"/>
      <c r="G122" s="186"/>
      <c r="H122" s="68"/>
      <c r="I122" s="68"/>
    </row>
    <row r="123" spans="1:9" ht="12" customHeight="1" thickBot="1">
      <c r="A123" s="80"/>
      <c r="B123" s="57" t="s">
        <v>1095</v>
      </c>
      <c r="C123" s="82">
        <f>SUM(C117:C122)</f>
        <v>10000</v>
      </c>
      <c r="D123" s="82">
        <f>SUM(D117:D122)</f>
        <v>23294</v>
      </c>
      <c r="E123" s="82">
        <f>SUM(E117:E122)</f>
        <v>19523</v>
      </c>
      <c r="F123" s="938">
        <f>SUM(E123/D123)</f>
        <v>0.8381128187516098</v>
      </c>
      <c r="G123" s="188"/>
      <c r="H123" s="68"/>
      <c r="I123" s="68"/>
    </row>
    <row r="124" spans="1:9" ht="12" customHeight="1">
      <c r="A124" s="86">
        <v>3124</v>
      </c>
      <c r="B124" s="98" t="s">
        <v>925</v>
      </c>
      <c r="C124" s="99"/>
      <c r="D124" s="99"/>
      <c r="E124" s="89"/>
      <c r="F124" s="582"/>
      <c r="G124" s="18" t="s">
        <v>1013</v>
      </c>
      <c r="H124" s="68"/>
      <c r="I124" s="68"/>
    </row>
    <row r="125" spans="1:9" ht="12" customHeight="1">
      <c r="A125" s="84"/>
      <c r="B125" s="71" t="s">
        <v>899</v>
      </c>
      <c r="C125" s="77"/>
      <c r="D125" s="77"/>
      <c r="E125" s="77"/>
      <c r="F125" s="573"/>
      <c r="G125" s="186"/>
      <c r="H125" s="68"/>
      <c r="I125" s="68"/>
    </row>
    <row r="126" spans="1:9" ht="12" customHeight="1">
      <c r="A126" s="84"/>
      <c r="B126" s="7" t="s">
        <v>1141</v>
      </c>
      <c r="C126" s="77"/>
      <c r="D126" s="77"/>
      <c r="E126" s="77"/>
      <c r="F126" s="573"/>
      <c r="G126" s="186"/>
      <c r="H126" s="68"/>
      <c r="I126" s="68"/>
    </row>
    <row r="127" spans="1:9" ht="12" customHeight="1">
      <c r="A127" s="84"/>
      <c r="B127" s="85" t="s">
        <v>1102</v>
      </c>
      <c r="C127" s="77">
        <v>15000</v>
      </c>
      <c r="D127" s="77">
        <v>31607</v>
      </c>
      <c r="E127" s="77">
        <v>31576</v>
      </c>
      <c r="F127" s="933">
        <f>SUM(E127/D127)</f>
        <v>0.9990192046065745</v>
      </c>
      <c r="G127" s="186"/>
      <c r="H127" s="68"/>
      <c r="I127" s="68"/>
    </row>
    <row r="128" spans="1:9" ht="12" customHeight="1">
      <c r="A128" s="84"/>
      <c r="B128" s="10" t="s">
        <v>1116</v>
      </c>
      <c r="C128" s="77"/>
      <c r="D128" s="77"/>
      <c r="E128" s="77"/>
      <c r="F128" s="573"/>
      <c r="G128" s="186"/>
      <c r="H128" s="68"/>
      <c r="I128" s="68"/>
    </row>
    <row r="129" spans="1:9" ht="12" customHeight="1">
      <c r="A129" s="84"/>
      <c r="B129" s="10" t="s">
        <v>914</v>
      </c>
      <c r="C129" s="77"/>
      <c r="D129" s="77"/>
      <c r="E129" s="77"/>
      <c r="F129" s="573"/>
      <c r="G129" s="186"/>
      <c r="H129" s="68"/>
      <c r="I129" s="68"/>
    </row>
    <row r="130" spans="1:9" ht="12" customHeight="1" thickBot="1">
      <c r="A130" s="84"/>
      <c r="B130" s="74" t="s">
        <v>1103</v>
      </c>
      <c r="C130" s="77"/>
      <c r="D130" s="77"/>
      <c r="E130" s="78"/>
      <c r="F130" s="940"/>
      <c r="G130" s="186"/>
      <c r="H130" s="68"/>
      <c r="I130" s="68"/>
    </row>
    <row r="131" spans="1:9" ht="12" customHeight="1" thickBot="1">
      <c r="A131" s="80"/>
      <c r="B131" s="57" t="s">
        <v>1095</v>
      </c>
      <c r="C131" s="82">
        <f>SUM(C125:C130)</f>
        <v>15000</v>
      </c>
      <c r="D131" s="82">
        <f>SUM(D125:D130)</f>
        <v>31607</v>
      </c>
      <c r="E131" s="82">
        <f>SUM(E125:E130)</f>
        <v>31576</v>
      </c>
      <c r="F131" s="938">
        <f>SUM(E131/D131)</f>
        <v>0.9990192046065745</v>
      </c>
      <c r="G131" s="188"/>
      <c r="H131" s="68"/>
      <c r="I131" s="68"/>
    </row>
    <row r="132" spans="1:9" ht="12" customHeight="1">
      <c r="A132" s="86">
        <v>3125</v>
      </c>
      <c r="B132" s="98" t="s">
        <v>265</v>
      </c>
      <c r="C132" s="99"/>
      <c r="D132" s="99"/>
      <c r="E132" s="89"/>
      <c r="F132" s="582"/>
      <c r="G132" s="31"/>
      <c r="H132" s="68"/>
      <c r="I132" s="68"/>
    </row>
    <row r="133" spans="1:9" ht="12" customHeight="1">
      <c r="A133" s="84"/>
      <c r="B133" s="71" t="s">
        <v>899</v>
      </c>
      <c r="C133" s="47"/>
      <c r="D133" s="47"/>
      <c r="E133" s="47"/>
      <c r="F133" s="573"/>
      <c r="G133" s="5"/>
      <c r="H133" s="68"/>
      <c r="I133" s="68"/>
    </row>
    <row r="134" spans="1:9" ht="12" customHeight="1">
      <c r="A134" s="84"/>
      <c r="B134" s="7" t="s">
        <v>1141</v>
      </c>
      <c r="C134" s="47"/>
      <c r="D134" s="47"/>
      <c r="E134" s="47"/>
      <c r="F134" s="573"/>
      <c r="G134" s="5"/>
      <c r="H134" s="68"/>
      <c r="I134" s="68"/>
    </row>
    <row r="135" spans="1:9" ht="12" customHeight="1">
      <c r="A135" s="84"/>
      <c r="B135" s="85" t="s">
        <v>1102</v>
      </c>
      <c r="C135" s="47"/>
      <c r="D135" s="166">
        <v>4000</v>
      </c>
      <c r="E135" s="166">
        <v>4000</v>
      </c>
      <c r="F135" s="933">
        <f>SUM(E135/D135)</f>
        <v>1</v>
      </c>
      <c r="G135" s="5"/>
      <c r="H135" s="68"/>
      <c r="I135" s="68"/>
    </row>
    <row r="136" spans="1:9" ht="12" customHeight="1">
      <c r="A136" s="84"/>
      <c r="B136" s="10" t="s">
        <v>1116</v>
      </c>
      <c r="C136" s="47"/>
      <c r="D136" s="47"/>
      <c r="E136" s="47"/>
      <c r="F136" s="573"/>
      <c r="G136" s="5"/>
      <c r="H136" s="68"/>
      <c r="I136" s="68"/>
    </row>
    <row r="137" spans="1:9" ht="12" customHeight="1">
      <c r="A137" s="84"/>
      <c r="B137" s="10" t="s">
        <v>914</v>
      </c>
      <c r="C137" s="47"/>
      <c r="D137" s="47"/>
      <c r="E137" s="47"/>
      <c r="F137" s="573"/>
      <c r="G137" s="5"/>
      <c r="H137" s="68"/>
      <c r="I137" s="68"/>
    </row>
    <row r="138" spans="1:9" ht="12" customHeight="1" thickBot="1">
      <c r="A138" s="84"/>
      <c r="B138" s="74" t="s">
        <v>1103</v>
      </c>
      <c r="C138" s="48"/>
      <c r="D138" s="48"/>
      <c r="E138" s="48"/>
      <c r="F138" s="940"/>
      <c r="G138" s="189"/>
      <c r="H138" s="68"/>
      <c r="I138" s="68"/>
    </row>
    <row r="139" spans="1:9" ht="12" customHeight="1" thickBot="1">
      <c r="A139" s="80"/>
      <c r="B139" s="57" t="s">
        <v>1095</v>
      </c>
      <c r="C139" s="88"/>
      <c r="D139" s="88">
        <f>SUM(D135:D138)</f>
        <v>4000</v>
      </c>
      <c r="E139" s="88">
        <f>SUM(E135:E138)</f>
        <v>4000</v>
      </c>
      <c r="F139" s="938">
        <f aca="true" t="shared" si="0" ref="F139:F198">SUM(E139/D139)</f>
        <v>1</v>
      </c>
      <c r="G139" s="188"/>
      <c r="H139" s="68"/>
      <c r="I139" s="68"/>
    </row>
    <row r="140" spans="1:9" ht="12" customHeight="1" thickBot="1">
      <c r="A140" s="143">
        <v>3140</v>
      </c>
      <c r="B140" s="87" t="s">
        <v>928</v>
      </c>
      <c r="C140" s="88">
        <f>SUM(C149+C157+C165+C173)</f>
        <v>71500</v>
      </c>
      <c r="D140" s="88">
        <f>SUM(D149+D157+D165+D173)</f>
        <v>27538</v>
      </c>
      <c r="E140" s="82">
        <f>SUM(E149+E157+E165+E173)</f>
        <v>21914</v>
      </c>
      <c r="F140" s="941">
        <f t="shared" si="0"/>
        <v>0.795773113515869</v>
      </c>
      <c r="G140" s="188"/>
      <c r="H140" s="68"/>
      <c r="I140" s="68"/>
    </row>
    <row r="141" spans="1:9" ht="12" customHeight="1">
      <c r="A141" s="86">
        <v>3141</v>
      </c>
      <c r="B141" s="98" t="s">
        <v>959</v>
      </c>
      <c r="C141" s="99"/>
      <c r="D141" s="99"/>
      <c r="E141" s="89"/>
      <c r="F141" s="582"/>
      <c r="G141" s="186"/>
      <c r="H141" s="68"/>
      <c r="I141" s="68"/>
    </row>
    <row r="142" spans="1:9" ht="12" customHeight="1">
      <c r="A142" s="84"/>
      <c r="B142" s="71" t="s">
        <v>899</v>
      </c>
      <c r="C142" s="77"/>
      <c r="D142" s="77"/>
      <c r="E142" s="77"/>
      <c r="F142" s="573"/>
      <c r="G142" s="186"/>
      <c r="H142" s="68"/>
      <c r="I142" s="68"/>
    </row>
    <row r="143" spans="1:9" ht="12" customHeight="1">
      <c r="A143" s="84"/>
      <c r="B143" s="7" t="s">
        <v>1141</v>
      </c>
      <c r="C143" s="77"/>
      <c r="D143" s="77"/>
      <c r="E143" s="77"/>
      <c r="F143" s="573"/>
      <c r="G143" s="186"/>
      <c r="H143" s="68"/>
      <c r="I143" s="68"/>
    </row>
    <row r="144" spans="1:9" ht="12" customHeight="1">
      <c r="A144" s="84"/>
      <c r="B144" s="85" t="s">
        <v>1102</v>
      </c>
      <c r="C144" s="77"/>
      <c r="D144" s="77">
        <v>5</v>
      </c>
      <c r="E144" s="77">
        <v>5</v>
      </c>
      <c r="F144" s="933">
        <f t="shared" si="0"/>
        <v>1</v>
      </c>
      <c r="G144" s="186"/>
      <c r="H144" s="68"/>
      <c r="I144" s="68"/>
    </row>
    <row r="145" spans="1:9" ht="12" customHeight="1">
      <c r="A145" s="84"/>
      <c r="B145" s="10" t="s">
        <v>1116</v>
      </c>
      <c r="C145" s="267">
        <v>47000</v>
      </c>
      <c r="D145" s="267"/>
      <c r="E145" s="267"/>
      <c r="F145" s="933"/>
      <c r="G145" s="186"/>
      <c r="H145" s="68"/>
      <c r="I145" s="68"/>
    </row>
    <row r="146" spans="1:9" ht="12" customHeight="1">
      <c r="A146" s="84"/>
      <c r="B146" s="10" t="s">
        <v>1382</v>
      </c>
      <c r="C146" s="267"/>
      <c r="D146" s="267">
        <v>6137</v>
      </c>
      <c r="E146" s="267">
        <v>5623</v>
      </c>
      <c r="F146" s="933">
        <f t="shared" si="0"/>
        <v>0.9162457226657976</v>
      </c>
      <c r="G146" s="186"/>
      <c r="H146" s="68"/>
      <c r="I146" s="68"/>
    </row>
    <row r="147" spans="1:9" ht="12" customHeight="1">
      <c r="A147" s="84"/>
      <c r="B147" s="10" t="s">
        <v>914</v>
      </c>
      <c r="C147" s="77"/>
      <c r="D147" s="77"/>
      <c r="E147" s="77"/>
      <c r="F147" s="933"/>
      <c r="G147" s="192"/>
      <c r="H147" s="68"/>
      <c r="I147" s="68"/>
    </row>
    <row r="148" spans="1:9" ht="12" customHeight="1" thickBot="1">
      <c r="A148" s="84"/>
      <c r="B148" s="74" t="s">
        <v>1103</v>
      </c>
      <c r="C148" s="77"/>
      <c r="D148" s="77"/>
      <c r="E148" s="78"/>
      <c r="F148" s="940"/>
      <c r="G148" s="30"/>
      <c r="H148" s="68"/>
      <c r="I148" s="68"/>
    </row>
    <row r="149" spans="1:9" ht="12" customHeight="1" thickBot="1">
      <c r="A149" s="80"/>
      <c r="B149" s="57" t="s">
        <v>1095</v>
      </c>
      <c r="C149" s="82">
        <f>SUM(C142:C148)</f>
        <v>47000</v>
      </c>
      <c r="D149" s="82">
        <f>SUM(D142:D148)</f>
        <v>6142</v>
      </c>
      <c r="E149" s="82">
        <f>SUM(E142:E148)</f>
        <v>5628</v>
      </c>
      <c r="F149" s="938">
        <f t="shared" si="0"/>
        <v>0.9163139042657115</v>
      </c>
      <c r="G149" s="188"/>
      <c r="H149" s="68"/>
      <c r="I149" s="68"/>
    </row>
    <row r="150" spans="1:9" ht="12" customHeight="1">
      <c r="A150" s="86">
        <v>3142</v>
      </c>
      <c r="B150" s="73" t="s">
        <v>1022</v>
      </c>
      <c r="C150" s="89"/>
      <c r="D150" s="89"/>
      <c r="E150" s="89"/>
      <c r="F150" s="582"/>
      <c r="G150" s="4"/>
      <c r="H150" s="68"/>
      <c r="I150" s="68"/>
    </row>
    <row r="151" spans="1:9" ht="12" customHeight="1">
      <c r="A151" s="86"/>
      <c r="B151" s="71" t="s">
        <v>899</v>
      </c>
      <c r="C151" s="72"/>
      <c r="D151" s="72">
        <v>206</v>
      </c>
      <c r="E151" s="72">
        <v>206</v>
      </c>
      <c r="F151" s="933">
        <f t="shared" si="0"/>
        <v>1</v>
      </c>
      <c r="G151" s="5"/>
      <c r="H151" s="68"/>
      <c r="I151" s="68"/>
    </row>
    <row r="152" spans="1:9" ht="12" customHeight="1">
      <c r="A152" s="86"/>
      <c r="B152" s="7" t="s">
        <v>1141</v>
      </c>
      <c r="C152" s="72"/>
      <c r="D152" s="72">
        <v>133</v>
      </c>
      <c r="E152" s="72">
        <v>133</v>
      </c>
      <c r="F152" s="933">
        <f t="shared" si="0"/>
        <v>1</v>
      </c>
      <c r="G152" s="5"/>
      <c r="H152" s="68"/>
      <c r="I152" s="68"/>
    </row>
    <row r="153" spans="1:9" ht="12" customHeight="1">
      <c r="A153" s="86"/>
      <c r="B153" s="85" t="s">
        <v>1102</v>
      </c>
      <c r="C153" s="166">
        <v>14000</v>
      </c>
      <c r="D153" s="166">
        <v>10557</v>
      </c>
      <c r="E153" s="166">
        <v>9635</v>
      </c>
      <c r="F153" s="933">
        <f t="shared" si="0"/>
        <v>0.9126645827413091</v>
      </c>
      <c r="G153" s="227"/>
      <c r="H153" s="68"/>
      <c r="I153" s="68"/>
    </row>
    <row r="154" spans="1:9" ht="12" customHeight="1">
      <c r="A154" s="86"/>
      <c r="B154" s="10" t="s">
        <v>1116</v>
      </c>
      <c r="C154" s="47"/>
      <c r="D154" s="47"/>
      <c r="E154" s="47"/>
      <c r="F154" s="573"/>
      <c r="G154" s="227"/>
      <c r="H154" s="68"/>
      <c r="I154" s="68"/>
    </row>
    <row r="155" spans="1:9" ht="12" customHeight="1">
      <c r="A155" s="86"/>
      <c r="B155" s="10" t="s">
        <v>914</v>
      </c>
      <c r="C155" s="47"/>
      <c r="D155" s="47"/>
      <c r="E155" s="47"/>
      <c r="F155" s="573"/>
      <c r="G155" s="5"/>
      <c r="H155" s="68"/>
      <c r="I155" s="68"/>
    </row>
    <row r="156" spans="1:9" ht="12" customHeight="1" thickBot="1">
      <c r="A156" s="86"/>
      <c r="B156" s="74" t="s">
        <v>1103</v>
      </c>
      <c r="C156" s="48"/>
      <c r="D156" s="48"/>
      <c r="E156" s="48"/>
      <c r="F156" s="940"/>
      <c r="G156" s="30"/>
      <c r="H156" s="68"/>
      <c r="I156" s="68"/>
    </row>
    <row r="157" spans="1:9" ht="12" customHeight="1" thickBot="1">
      <c r="A157" s="80"/>
      <c r="B157" s="57" t="s">
        <v>1095</v>
      </c>
      <c r="C157" s="82">
        <f>SUM(C151:C156)</f>
        <v>14000</v>
      </c>
      <c r="D157" s="82">
        <f>SUM(D151:D156)</f>
        <v>10896</v>
      </c>
      <c r="E157" s="82">
        <f>SUM(E151:E156)</f>
        <v>9974</v>
      </c>
      <c r="F157" s="938">
        <f t="shared" si="0"/>
        <v>0.915381791483113</v>
      </c>
      <c r="G157" s="31"/>
      <c r="H157" s="68"/>
      <c r="I157" s="68"/>
    </row>
    <row r="158" spans="1:9" ht="12" customHeight="1">
      <c r="A158" s="86">
        <v>3143</v>
      </c>
      <c r="B158" s="103" t="s">
        <v>960</v>
      </c>
      <c r="C158" s="89"/>
      <c r="D158" s="89"/>
      <c r="E158" s="89"/>
      <c r="F158" s="582"/>
      <c r="G158" s="31" t="s">
        <v>1065</v>
      </c>
      <c r="H158" s="68"/>
      <c r="I158" s="68"/>
    </row>
    <row r="159" spans="1:9" ht="12" customHeight="1">
      <c r="A159" s="84"/>
      <c r="B159" s="71" t="s">
        <v>899</v>
      </c>
      <c r="C159" s="77"/>
      <c r="D159" s="77">
        <v>192</v>
      </c>
      <c r="E159" s="77">
        <v>192</v>
      </c>
      <c r="F159" s="933">
        <f t="shared" si="0"/>
        <v>1</v>
      </c>
      <c r="G159" s="186"/>
      <c r="H159" s="68"/>
      <c r="I159" s="68"/>
    </row>
    <row r="160" spans="1:9" ht="12" customHeight="1">
      <c r="A160" s="84"/>
      <c r="B160" s="7" t="s">
        <v>1141</v>
      </c>
      <c r="C160" s="77"/>
      <c r="D160" s="77">
        <v>47</v>
      </c>
      <c r="E160" s="77">
        <v>47</v>
      </c>
      <c r="F160" s="933">
        <f t="shared" si="0"/>
        <v>1</v>
      </c>
      <c r="G160" s="186"/>
      <c r="H160" s="68"/>
      <c r="I160" s="68"/>
    </row>
    <row r="161" spans="1:9" ht="12" customHeight="1">
      <c r="A161" s="84"/>
      <c r="B161" s="85" t="s">
        <v>1102</v>
      </c>
      <c r="C161" s="267">
        <v>7000</v>
      </c>
      <c r="D161" s="267">
        <v>2617</v>
      </c>
      <c r="E161" s="267">
        <v>764</v>
      </c>
      <c r="F161" s="933">
        <f t="shared" si="0"/>
        <v>0.2919373328238441</v>
      </c>
      <c r="G161" s="227"/>
      <c r="H161" s="68"/>
      <c r="I161" s="68"/>
    </row>
    <row r="162" spans="1:9" ht="12" customHeight="1">
      <c r="A162" s="84"/>
      <c r="B162" s="10" t="s">
        <v>1116</v>
      </c>
      <c r="C162" s="77"/>
      <c r="D162" s="77">
        <v>3826</v>
      </c>
      <c r="E162" s="77">
        <v>3826</v>
      </c>
      <c r="F162" s="933">
        <f t="shared" si="0"/>
        <v>1</v>
      </c>
      <c r="G162" s="227"/>
      <c r="H162" s="68"/>
      <c r="I162" s="68"/>
    </row>
    <row r="163" spans="1:9" ht="12" customHeight="1">
      <c r="A163" s="84"/>
      <c r="B163" s="10" t="s">
        <v>914</v>
      </c>
      <c r="C163" s="77"/>
      <c r="D163" s="77"/>
      <c r="E163" s="77"/>
      <c r="F163" s="933"/>
      <c r="G163" s="192"/>
      <c r="H163" s="68"/>
      <c r="I163" s="68"/>
    </row>
    <row r="164" spans="1:9" ht="12" customHeight="1" thickBot="1">
      <c r="A164" s="84"/>
      <c r="B164" s="74" t="s">
        <v>283</v>
      </c>
      <c r="C164" s="77"/>
      <c r="D164" s="77">
        <v>318</v>
      </c>
      <c r="E164" s="78">
        <v>318</v>
      </c>
      <c r="F164" s="937">
        <f t="shared" si="0"/>
        <v>1</v>
      </c>
      <c r="G164" s="30"/>
      <c r="H164" s="68"/>
      <c r="I164" s="68"/>
    </row>
    <row r="165" spans="1:9" ht="12" customHeight="1" thickBot="1">
      <c r="A165" s="80"/>
      <c r="B165" s="57" t="s">
        <v>1095</v>
      </c>
      <c r="C165" s="82">
        <f>SUM(C159:C164)</f>
        <v>7000</v>
      </c>
      <c r="D165" s="82">
        <f>SUM(D159:D164)</f>
        <v>7000</v>
      </c>
      <c r="E165" s="82">
        <f>SUM(E159:E164)</f>
        <v>5147</v>
      </c>
      <c r="F165" s="938">
        <f t="shared" si="0"/>
        <v>0.7352857142857143</v>
      </c>
      <c r="G165" s="188"/>
      <c r="H165" s="68"/>
      <c r="I165" s="68"/>
    </row>
    <row r="166" spans="1:9" ht="12" customHeight="1">
      <c r="A166" s="86">
        <v>3144</v>
      </c>
      <c r="B166" s="98" t="s">
        <v>961</v>
      </c>
      <c r="C166" s="99"/>
      <c r="D166" s="99"/>
      <c r="E166" s="89"/>
      <c r="F166" s="582"/>
      <c r="G166" s="186"/>
      <c r="H166" s="68"/>
      <c r="I166" s="68"/>
    </row>
    <row r="167" spans="1:9" ht="12" customHeight="1">
      <c r="A167" s="84"/>
      <c r="B167" s="71" t="s">
        <v>899</v>
      </c>
      <c r="C167" s="77"/>
      <c r="D167" s="77"/>
      <c r="E167" s="77"/>
      <c r="F167" s="573"/>
      <c r="G167" s="186"/>
      <c r="H167" s="68"/>
      <c r="I167" s="68"/>
    </row>
    <row r="168" spans="1:9" ht="12" customHeight="1">
      <c r="A168" s="84"/>
      <c r="B168" s="7" t="s">
        <v>1141</v>
      </c>
      <c r="C168" s="77"/>
      <c r="D168" s="77"/>
      <c r="E168" s="77"/>
      <c r="F168" s="573"/>
      <c r="G168" s="227"/>
      <c r="H168" s="68"/>
      <c r="I168" s="68"/>
    </row>
    <row r="169" spans="1:9" ht="12" customHeight="1">
      <c r="A169" s="84"/>
      <c r="B169" s="85" t="s">
        <v>1102</v>
      </c>
      <c r="C169" s="77"/>
      <c r="D169" s="77">
        <v>5</v>
      </c>
      <c r="E169" s="77">
        <v>5</v>
      </c>
      <c r="F169" s="933">
        <f t="shared" si="0"/>
        <v>1</v>
      </c>
      <c r="G169" s="227"/>
      <c r="H169" s="68"/>
      <c r="I169" s="68"/>
    </row>
    <row r="170" spans="1:9" ht="12" customHeight="1">
      <c r="A170" s="84"/>
      <c r="B170" s="10" t="s">
        <v>1116</v>
      </c>
      <c r="C170" s="77"/>
      <c r="D170" s="77"/>
      <c r="E170" s="77"/>
      <c r="F170" s="933"/>
      <c r="G170" s="186"/>
      <c r="H170" s="68"/>
      <c r="I170" s="68"/>
    </row>
    <row r="171" spans="1:9" ht="12" customHeight="1">
      <c r="A171" s="84"/>
      <c r="B171" s="10" t="s">
        <v>914</v>
      </c>
      <c r="C171" s="267">
        <v>3500</v>
      </c>
      <c r="D171" s="267">
        <v>3495</v>
      </c>
      <c r="E171" s="267">
        <v>1160</v>
      </c>
      <c r="F171" s="933">
        <f t="shared" si="0"/>
        <v>0.3319027181688126</v>
      </c>
      <c r="G171" s="192"/>
      <c r="H171" s="68"/>
      <c r="I171" s="68"/>
    </row>
    <row r="172" spans="1:9" ht="12" customHeight="1" thickBot="1">
      <c r="A172" s="84"/>
      <c r="B172" s="74" t="s">
        <v>1103</v>
      </c>
      <c r="C172" s="77"/>
      <c r="D172" s="77"/>
      <c r="E172" s="78"/>
      <c r="F172" s="940"/>
      <c r="G172" s="30"/>
      <c r="H172" s="68"/>
      <c r="I172" s="68"/>
    </row>
    <row r="173" spans="1:9" ht="12" customHeight="1" thickBot="1">
      <c r="A173" s="80"/>
      <c r="B173" s="57" t="s">
        <v>1095</v>
      </c>
      <c r="C173" s="82">
        <f>SUM(C167:C172)</f>
        <v>3500</v>
      </c>
      <c r="D173" s="82">
        <f>SUM(D167:D172)</f>
        <v>3500</v>
      </c>
      <c r="E173" s="82">
        <f>SUM(E167:E172)</f>
        <v>1165</v>
      </c>
      <c r="F173" s="938">
        <f t="shared" si="0"/>
        <v>0.33285714285714285</v>
      </c>
      <c r="G173" s="188"/>
      <c r="H173" s="68"/>
      <c r="I173" s="68"/>
    </row>
    <row r="174" spans="1:9" ht="12.75" thickBot="1">
      <c r="A174" s="143">
        <v>3200</v>
      </c>
      <c r="B174" s="63" t="s">
        <v>926</v>
      </c>
      <c r="C174" s="82">
        <f>SUM(C190+C198+C206+C214+C222+C230+C255+C289+C238+C246+C263+C182+C271+C280)</f>
        <v>2443864</v>
      </c>
      <c r="D174" s="82">
        <f>SUM(D190+D198+D206+D214+D222+D230+D255+D289+D238+D246+D263+D182+D271+D280)</f>
        <v>2526376</v>
      </c>
      <c r="E174" s="82">
        <f>SUM(E190+E198+E206+E214+E222+E230+E255+E289+E238+E246+E263+E182+E271+E280)</f>
        <v>2159565</v>
      </c>
      <c r="F174" s="938">
        <f t="shared" si="0"/>
        <v>0.8548074395893565</v>
      </c>
      <c r="G174" s="188"/>
      <c r="H174" s="68"/>
      <c r="I174" s="68"/>
    </row>
    <row r="175" spans="1:9" ht="12">
      <c r="A175" s="86">
        <v>3201</v>
      </c>
      <c r="B175" s="500" t="s">
        <v>190</v>
      </c>
      <c r="C175" s="99"/>
      <c r="D175" s="99"/>
      <c r="E175" s="89"/>
      <c r="F175" s="582"/>
      <c r="G175" s="31"/>
      <c r="H175" s="68"/>
      <c r="I175" s="68"/>
    </row>
    <row r="176" spans="1:9" ht="12">
      <c r="A176" s="86"/>
      <c r="B176" s="85" t="s">
        <v>899</v>
      </c>
      <c r="C176" s="47"/>
      <c r="D176" s="166">
        <v>6694</v>
      </c>
      <c r="E176" s="166">
        <v>5721</v>
      </c>
      <c r="F176" s="933">
        <f t="shared" si="0"/>
        <v>0.8546459515984464</v>
      </c>
      <c r="G176" s="5"/>
      <c r="H176" s="68"/>
      <c r="I176" s="68"/>
    </row>
    <row r="177" spans="1:9" ht="12">
      <c r="A177" s="86"/>
      <c r="B177" s="7" t="s">
        <v>1141</v>
      </c>
      <c r="C177" s="47"/>
      <c r="D177" s="166">
        <v>1627</v>
      </c>
      <c r="E177" s="166">
        <v>1639</v>
      </c>
      <c r="F177" s="933">
        <f t="shared" si="0"/>
        <v>1.0073755377996312</v>
      </c>
      <c r="G177" s="5"/>
      <c r="H177" s="68"/>
      <c r="I177" s="68"/>
    </row>
    <row r="178" spans="1:9" ht="12">
      <c r="A178" s="86"/>
      <c r="B178" s="85" t="s">
        <v>1102</v>
      </c>
      <c r="C178" s="166">
        <v>35000</v>
      </c>
      <c r="D178" s="166">
        <v>55962</v>
      </c>
      <c r="E178" s="166">
        <v>51249</v>
      </c>
      <c r="F178" s="933">
        <f t="shared" si="0"/>
        <v>0.9157821378792752</v>
      </c>
      <c r="G178" s="5"/>
      <c r="H178" s="68"/>
      <c r="I178" s="68"/>
    </row>
    <row r="179" spans="1:9" ht="12">
      <c r="A179" s="86"/>
      <c r="B179" s="183" t="s">
        <v>1116</v>
      </c>
      <c r="C179" s="47"/>
      <c r="D179" s="47"/>
      <c r="E179" s="47"/>
      <c r="F179" s="933"/>
      <c r="G179" s="5"/>
      <c r="H179" s="68"/>
      <c r="I179" s="68"/>
    </row>
    <row r="180" spans="1:9" ht="12">
      <c r="A180" s="86"/>
      <c r="B180" s="183" t="s">
        <v>914</v>
      </c>
      <c r="C180" s="47"/>
      <c r="D180" s="166">
        <v>171</v>
      </c>
      <c r="E180" s="166">
        <v>171</v>
      </c>
      <c r="F180" s="933">
        <f t="shared" si="0"/>
        <v>1</v>
      </c>
      <c r="G180" s="5"/>
      <c r="H180" s="68"/>
      <c r="I180" s="68"/>
    </row>
    <row r="181" spans="1:9" ht="12.75" thickBot="1">
      <c r="A181" s="86"/>
      <c r="B181" s="111" t="s">
        <v>283</v>
      </c>
      <c r="C181" s="48"/>
      <c r="D181" s="627">
        <v>199</v>
      </c>
      <c r="E181" s="627">
        <v>199</v>
      </c>
      <c r="F181" s="937">
        <f t="shared" si="0"/>
        <v>1</v>
      </c>
      <c r="G181" s="189"/>
      <c r="H181" s="68"/>
      <c r="I181" s="68"/>
    </row>
    <row r="182" spans="1:9" ht="12.75" thickBot="1">
      <c r="A182" s="52"/>
      <c r="B182" s="57" t="s">
        <v>1095</v>
      </c>
      <c r="C182" s="82">
        <f>SUM(C178:C181)</f>
        <v>35000</v>
      </c>
      <c r="D182" s="82">
        <f>SUM(D176:D181)</f>
        <v>64653</v>
      </c>
      <c r="E182" s="82">
        <f>SUM(E176:E181)</f>
        <v>58979</v>
      </c>
      <c r="F182" s="938">
        <f t="shared" si="0"/>
        <v>0.9122391845699349</v>
      </c>
      <c r="G182" s="188"/>
      <c r="H182" s="68"/>
      <c r="I182" s="68"/>
    </row>
    <row r="183" spans="1:9" ht="12">
      <c r="A183" s="15">
        <v>3202</v>
      </c>
      <c r="B183" s="73" t="s">
        <v>1104</v>
      </c>
      <c r="C183" s="83"/>
      <c r="D183" s="83"/>
      <c r="E183" s="83"/>
      <c r="F183" s="582"/>
      <c r="G183" s="3" t="s">
        <v>1065</v>
      </c>
      <c r="H183" s="68"/>
      <c r="I183" s="68"/>
    </row>
    <row r="184" spans="1:9" ht="12">
      <c r="A184" s="15"/>
      <c r="B184" s="71" t="s">
        <v>899</v>
      </c>
      <c r="C184" s="166">
        <v>8268</v>
      </c>
      <c r="D184" s="166">
        <v>8440</v>
      </c>
      <c r="E184" s="166">
        <v>5059</v>
      </c>
      <c r="F184" s="933">
        <f t="shared" si="0"/>
        <v>0.5994075829383886</v>
      </c>
      <c r="G184" s="5"/>
      <c r="H184" s="68"/>
      <c r="I184" s="68"/>
    </row>
    <row r="185" spans="1:9" ht="12">
      <c r="A185" s="15"/>
      <c r="B185" s="7" t="s">
        <v>1141</v>
      </c>
      <c r="C185" s="166">
        <v>2232</v>
      </c>
      <c r="D185" s="166">
        <v>2240</v>
      </c>
      <c r="E185" s="166">
        <v>1431</v>
      </c>
      <c r="F185" s="933">
        <f t="shared" si="0"/>
        <v>0.6388392857142857</v>
      </c>
      <c r="G185" s="227"/>
      <c r="H185" s="68"/>
      <c r="I185" s="68"/>
    </row>
    <row r="186" spans="1:9" ht="12">
      <c r="A186" s="15"/>
      <c r="B186" s="85" t="s">
        <v>1102</v>
      </c>
      <c r="C186" s="166">
        <v>2500</v>
      </c>
      <c r="D186" s="166">
        <v>3250</v>
      </c>
      <c r="E186" s="166">
        <v>3153</v>
      </c>
      <c r="F186" s="933">
        <f t="shared" si="0"/>
        <v>0.9701538461538461</v>
      </c>
      <c r="G186" s="227"/>
      <c r="H186" s="68"/>
      <c r="I186" s="68"/>
    </row>
    <row r="187" spans="1:9" ht="12">
      <c r="A187" s="15"/>
      <c r="B187" s="10" t="s">
        <v>1116</v>
      </c>
      <c r="C187" s="47"/>
      <c r="D187" s="47"/>
      <c r="E187" s="47"/>
      <c r="F187" s="573"/>
      <c r="G187" s="227"/>
      <c r="H187" s="68"/>
      <c r="I187" s="68"/>
    </row>
    <row r="188" spans="1:9" ht="12">
      <c r="A188" s="15"/>
      <c r="B188" s="10" t="s">
        <v>914</v>
      </c>
      <c r="C188" s="47"/>
      <c r="D188" s="47"/>
      <c r="E188" s="47"/>
      <c r="F188" s="573"/>
      <c r="G188" s="5"/>
      <c r="H188" s="68"/>
      <c r="I188" s="68"/>
    </row>
    <row r="189" spans="1:9" ht="12.75" thickBot="1">
      <c r="A189" s="15"/>
      <c r="B189" s="74" t="s">
        <v>243</v>
      </c>
      <c r="C189" s="48"/>
      <c r="D189" s="627">
        <v>250</v>
      </c>
      <c r="E189" s="627">
        <v>250</v>
      </c>
      <c r="F189" s="937">
        <f t="shared" si="0"/>
        <v>1</v>
      </c>
      <c r="G189" s="189"/>
      <c r="H189" s="68"/>
      <c r="I189" s="68"/>
    </row>
    <row r="190" spans="1:9" ht="12.75" thickBot="1">
      <c r="A190" s="52"/>
      <c r="B190" s="57" t="s">
        <v>1095</v>
      </c>
      <c r="C190" s="82">
        <f>SUM(C184:C189)</f>
        <v>13000</v>
      </c>
      <c r="D190" s="82">
        <f>SUM(D184:D189)</f>
        <v>14180</v>
      </c>
      <c r="E190" s="82">
        <f>SUM(E184:E189)</f>
        <v>9893</v>
      </c>
      <c r="F190" s="938">
        <f t="shared" si="0"/>
        <v>0.697672778561354</v>
      </c>
      <c r="G190" s="188"/>
      <c r="H190" s="68"/>
      <c r="I190" s="68"/>
    </row>
    <row r="191" spans="1:9" ht="12">
      <c r="A191" s="15">
        <v>3203</v>
      </c>
      <c r="B191" s="103" t="s">
        <v>1032</v>
      </c>
      <c r="C191" s="89"/>
      <c r="D191" s="89"/>
      <c r="E191" s="89"/>
      <c r="F191" s="582"/>
      <c r="G191" s="4" t="s">
        <v>1011</v>
      </c>
      <c r="H191" s="68"/>
      <c r="I191" s="68"/>
    </row>
    <row r="192" spans="1:9" ht="12" customHeight="1">
      <c r="A192" s="70"/>
      <c r="B192" s="71" t="s">
        <v>899</v>
      </c>
      <c r="C192" s="77"/>
      <c r="D192" s="77"/>
      <c r="E192" s="77"/>
      <c r="F192" s="573"/>
      <c r="G192" s="5" t="s">
        <v>1012</v>
      </c>
      <c r="H192" s="68"/>
      <c r="I192" s="68"/>
    </row>
    <row r="193" spans="1:9" ht="12" customHeight="1">
      <c r="A193" s="70"/>
      <c r="B193" s="7" t="s">
        <v>1141</v>
      </c>
      <c r="C193" s="77"/>
      <c r="D193" s="77"/>
      <c r="E193" s="77"/>
      <c r="F193" s="573"/>
      <c r="G193" s="4"/>
      <c r="H193" s="68"/>
      <c r="I193" s="68"/>
    </row>
    <row r="194" spans="1:9" ht="12" customHeight="1">
      <c r="A194" s="70"/>
      <c r="B194" s="85" t="s">
        <v>1102</v>
      </c>
      <c r="C194" s="77">
        <v>30000</v>
      </c>
      <c r="D194" s="77">
        <v>12917</v>
      </c>
      <c r="E194" s="77">
        <v>247</v>
      </c>
      <c r="F194" s="933">
        <f t="shared" si="0"/>
        <v>0.01912208717194395</v>
      </c>
      <c r="G194" s="4"/>
      <c r="H194" s="68"/>
      <c r="I194" s="68"/>
    </row>
    <row r="195" spans="1:9" ht="12" customHeight="1">
      <c r="A195" s="70"/>
      <c r="B195" s="10" t="s">
        <v>1116</v>
      </c>
      <c r="C195" s="77"/>
      <c r="D195" s="77">
        <v>1300</v>
      </c>
      <c r="E195" s="77">
        <v>1300</v>
      </c>
      <c r="F195" s="933">
        <f t="shared" si="0"/>
        <v>1</v>
      </c>
      <c r="G195" s="4"/>
      <c r="H195" s="68"/>
      <c r="I195" s="68"/>
    </row>
    <row r="196" spans="1:9" ht="12" customHeight="1">
      <c r="A196" s="70"/>
      <c r="B196" s="10" t="s">
        <v>914</v>
      </c>
      <c r="C196" s="77"/>
      <c r="D196" s="77"/>
      <c r="E196" s="77"/>
      <c r="F196" s="933"/>
      <c r="G196" s="5"/>
      <c r="H196" s="68"/>
      <c r="I196" s="68"/>
    </row>
    <row r="197" spans="1:9" ht="12" customHeight="1" thickBot="1">
      <c r="A197" s="70"/>
      <c r="B197" s="74" t="s">
        <v>242</v>
      </c>
      <c r="C197" s="77"/>
      <c r="D197" s="77">
        <v>544</v>
      </c>
      <c r="E197" s="175">
        <v>544</v>
      </c>
      <c r="F197" s="937">
        <f t="shared" si="0"/>
        <v>1</v>
      </c>
      <c r="G197" s="30"/>
      <c r="H197" s="68"/>
      <c r="I197" s="68"/>
    </row>
    <row r="198" spans="1:9" ht="12" customHeight="1" thickBot="1">
      <c r="A198" s="52"/>
      <c r="B198" s="57" t="s">
        <v>1095</v>
      </c>
      <c r="C198" s="82">
        <f>SUM(C192:C197)</f>
        <v>30000</v>
      </c>
      <c r="D198" s="82">
        <f>SUM(D192:D197)</f>
        <v>14761</v>
      </c>
      <c r="E198" s="82">
        <f>SUM(E192:E197)</f>
        <v>2091</v>
      </c>
      <c r="F198" s="938">
        <f t="shared" si="0"/>
        <v>0.14165706930424768</v>
      </c>
      <c r="G198" s="188"/>
      <c r="H198" s="68"/>
      <c r="I198" s="68"/>
    </row>
    <row r="199" spans="1:9" ht="12" customHeight="1">
      <c r="A199" s="15">
        <v>3204</v>
      </c>
      <c r="B199" s="103" t="s">
        <v>1117</v>
      </c>
      <c r="C199" s="89"/>
      <c r="D199" s="89"/>
      <c r="E199" s="89"/>
      <c r="F199" s="582"/>
      <c r="G199" s="186"/>
      <c r="H199" s="68"/>
      <c r="I199" s="68"/>
    </row>
    <row r="200" spans="1:9" ht="12" customHeight="1">
      <c r="A200" s="70"/>
      <c r="B200" s="71" t="s">
        <v>899</v>
      </c>
      <c r="C200" s="77"/>
      <c r="D200" s="77"/>
      <c r="E200" s="77"/>
      <c r="F200" s="573"/>
      <c r="G200" s="186"/>
      <c r="H200" s="68"/>
      <c r="I200" s="68"/>
    </row>
    <row r="201" spans="1:9" ht="12" customHeight="1">
      <c r="A201" s="70"/>
      <c r="B201" s="7" t="s">
        <v>1141</v>
      </c>
      <c r="C201" s="77"/>
      <c r="D201" s="77"/>
      <c r="E201" s="77"/>
      <c r="F201" s="573"/>
      <c r="G201" s="186"/>
      <c r="H201" s="68"/>
      <c r="I201" s="68"/>
    </row>
    <row r="202" spans="1:9" ht="12" customHeight="1">
      <c r="A202" s="70"/>
      <c r="B202" s="85" t="s">
        <v>1102</v>
      </c>
      <c r="C202" s="77">
        <v>52249</v>
      </c>
      <c r="D202" s="77">
        <v>37319</v>
      </c>
      <c r="E202" s="77">
        <v>37319</v>
      </c>
      <c r="F202" s="933">
        <f>SUM(E202/D202)</f>
        <v>1</v>
      </c>
      <c r="G202" s="186"/>
      <c r="H202" s="68"/>
      <c r="I202" s="68"/>
    </row>
    <row r="203" spans="1:9" ht="12" customHeight="1">
      <c r="A203" s="70"/>
      <c r="B203" s="10" t="s">
        <v>1116</v>
      </c>
      <c r="C203" s="77"/>
      <c r="D203" s="77"/>
      <c r="E203" s="77"/>
      <c r="F203" s="573"/>
      <c r="G203" s="186"/>
      <c r="H203" s="68"/>
      <c r="I203" s="68"/>
    </row>
    <row r="204" spans="1:9" ht="12" customHeight="1">
      <c r="A204" s="70"/>
      <c r="B204" s="10" t="s">
        <v>914</v>
      </c>
      <c r="C204" s="77"/>
      <c r="D204" s="77"/>
      <c r="E204" s="77"/>
      <c r="F204" s="573"/>
      <c r="G204" s="192"/>
      <c r="H204" s="68"/>
      <c r="I204" s="68"/>
    </row>
    <row r="205" spans="1:9" ht="12" customHeight="1" thickBot="1">
      <c r="A205" s="70"/>
      <c r="B205" s="74" t="s">
        <v>1103</v>
      </c>
      <c r="C205" s="77"/>
      <c r="D205" s="77"/>
      <c r="E205" s="78"/>
      <c r="F205" s="940"/>
      <c r="G205" s="30"/>
      <c r="H205" s="68"/>
      <c r="I205" s="68"/>
    </row>
    <row r="206" spans="1:9" ht="12" customHeight="1" thickBot="1">
      <c r="A206" s="52"/>
      <c r="B206" s="57" t="s">
        <v>1095</v>
      </c>
      <c r="C206" s="82">
        <f>SUM(C200:C205)</f>
        <v>52249</v>
      </c>
      <c r="D206" s="82">
        <f>SUM(D200:D205)</f>
        <v>37319</v>
      </c>
      <c r="E206" s="82">
        <f>SUM(E200:E205)</f>
        <v>37319</v>
      </c>
      <c r="F206" s="938">
        <f>SUM(E206/D206)</f>
        <v>1</v>
      </c>
      <c r="G206" s="188"/>
      <c r="H206" s="68"/>
      <c r="I206" s="68"/>
    </row>
    <row r="207" spans="1:9" ht="12" customHeight="1">
      <c r="A207" s="15">
        <v>3205</v>
      </c>
      <c r="B207" s="103" t="s">
        <v>197</v>
      </c>
      <c r="C207" s="89"/>
      <c r="D207" s="89"/>
      <c r="E207" s="89"/>
      <c r="F207" s="582"/>
      <c r="G207" s="4" t="s">
        <v>1011</v>
      </c>
      <c r="H207" s="68"/>
      <c r="I207" s="68"/>
    </row>
    <row r="208" spans="1:9" ht="12" customHeight="1">
      <c r="A208" s="70"/>
      <c r="B208" s="71" t="s">
        <v>899</v>
      </c>
      <c r="C208" s="77"/>
      <c r="D208" s="77">
        <v>1045</v>
      </c>
      <c r="E208" s="77">
        <v>1045</v>
      </c>
      <c r="F208" s="933">
        <f>SUM(E208/D208)</f>
        <v>1</v>
      </c>
      <c r="G208" s="5" t="s">
        <v>1012</v>
      </c>
      <c r="H208" s="68"/>
      <c r="I208" s="68"/>
    </row>
    <row r="209" spans="1:9" ht="12" customHeight="1">
      <c r="A209" s="70"/>
      <c r="B209" s="7" t="s">
        <v>1141</v>
      </c>
      <c r="C209" s="77"/>
      <c r="D209" s="77">
        <v>239</v>
      </c>
      <c r="E209" s="77">
        <v>239</v>
      </c>
      <c r="F209" s="933">
        <f>SUM(E209/D209)</f>
        <v>1</v>
      </c>
      <c r="G209" s="186"/>
      <c r="H209" s="68"/>
      <c r="I209" s="68"/>
    </row>
    <row r="210" spans="1:9" ht="12" customHeight="1">
      <c r="A210" s="84"/>
      <c r="B210" s="85" t="s">
        <v>1102</v>
      </c>
      <c r="C210" s="77">
        <v>20000</v>
      </c>
      <c r="D210" s="77">
        <v>39505</v>
      </c>
      <c r="E210" s="77">
        <v>31471</v>
      </c>
      <c r="F210" s="933">
        <f>SUM(E210/D210)</f>
        <v>0.7966333375522086</v>
      </c>
      <c r="G210" s="186"/>
      <c r="H210" s="68"/>
      <c r="I210" s="68"/>
    </row>
    <row r="211" spans="1:9" ht="12" customHeight="1">
      <c r="A211" s="84"/>
      <c r="B211" s="10" t="s">
        <v>1116</v>
      </c>
      <c r="C211" s="77"/>
      <c r="D211" s="77">
        <v>5370</v>
      </c>
      <c r="E211" s="77">
        <v>5370</v>
      </c>
      <c r="F211" s="933">
        <f>SUM(E211/D211)</f>
        <v>1</v>
      </c>
      <c r="G211" s="54"/>
      <c r="H211" s="68"/>
      <c r="I211" s="68"/>
    </row>
    <row r="212" spans="1:9" ht="12" customHeight="1">
      <c r="A212" s="84"/>
      <c r="B212" s="10" t="s">
        <v>914</v>
      </c>
      <c r="C212" s="77"/>
      <c r="D212" s="77"/>
      <c r="E212" s="77"/>
      <c r="F212" s="933"/>
      <c r="G212" s="192"/>
      <c r="H212" s="68"/>
      <c r="I212" s="68"/>
    </row>
    <row r="213" spans="1:9" ht="12" customHeight="1" thickBot="1">
      <c r="A213" s="84"/>
      <c r="B213" s="74" t="s">
        <v>1103</v>
      </c>
      <c r="C213" s="77"/>
      <c r="D213" s="77"/>
      <c r="E213" s="78"/>
      <c r="F213" s="940"/>
      <c r="G213" s="62"/>
      <c r="H213" s="68"/>
      <c r="I213" s="68"/>
    </row>
    <row r="214" spans="1:9" ht="12" customHeight="1" thickBot="1">
      <c r="A214" s="52"/>
      <c r="B214" s="57" t="s">
        <v>1095</v>
      </c>
      <c r="C214" s="82">
        <f>SUM(C208:C213)</f>
        <v>20000</v>
      </c>
      <c r="D214" s="82">
        <f>SUM(D208:D213)</f>
        <v>46159</v>
      </c>
      <c r="E214" s="82">
        <f>SUM(E208:E213)</f>
        <v>38125</v>
      </c>
      <c r="F214" s="938">
        <f>SUM(E214/D214)</f>
        <v>0.8259494356463528</v>
      </c>
      <c r="G214" s="193"/>
      <c r="H214" s="68"/>
      <c r="I214" s="68"/>
    </row>
    <row r="215" spans="1:9" ht="12" customHeight="1">
      <c r="A215" s="86">
        <v>3206</v>
      </c>
      <c r="B215" s="103" t="s">
        <v>927</v>
      </c>
      <c r="C215" s="89"/>
      <c r="D215" s="89"/>
      <c r="E215" s="89"/>
      <c r="F215" s="582"/>
      <c r="G215" s="4" t="s">
        <v>1011</v>
      </c>
      <c r="H215" s="68"/>
      <c r="I215" s="68"/>
    </row>
    <row r="216" spans="1:9" ht="12" customHeight="1">
      <c r="A216" s="84"/>
      <c r="B216" s="71" t="s">
        <v>899</v>
      </c>
      <c r="C216" s="77"/>
      <c r="D216" s="77"/>
      <c r="E216" s="77"/>
      <c r="F216" s="573"/>
      <c r="G216" s="5" t="s">
        <v>1012</v>
      </c>
      <c r="H216" s="68"/>
      <c r="I216" s="68"/>
    </row>
    <row r="217" spans="1:9" ht="12" customHeight="1">
      <c r="A217" s="84"/>
      <c r="B217" s="7" t="s">
        <v>1141</v>
      </c>
      <c r="C217" s="77"/>
      <c r="D217" s="77"/>
      <c r="E217" s="77"/>
      <c r="F217" s="573"/>
      <c r="G217" s="186"/>
      <c r="H217" s="68"/>
      <c r="I217" s="68"/>
    </row>
    <row r="218" spans="1:9" ht="12" customHeight="1">
      <c r="A218" s="84"/>
      <c r="B218" s="85" t="s">
        <v>1102</v>
      </c>
      <c r="C218" s="77">
        <v>3000</v>
      </c>
      <c r="D218" s="77">
        <v>3000</v>
      </c>
      <c r="E218" s="77"/>
      <c r="F218" s="573">
        <f>SUM(E218/D218)</f>
        <v>0</v>
      </c>
      <c r="G218" s="186"/>
      <c r="H218" s="68"/>
      <c r="I218" s="68"/>
    </row>
    <row r="219" spans="1:9" ht="12" customHeight="1">
      <c r="A219" s="70"/>
      <c r="B219" s="10" t="s">
        <v>1116</v>
      </c>
      <c r="C219" s="77"/>
      <c r="D219" s="77"/>
      <c r="E219" s="77"/>
      <c r="F219" s="573"/>
      <c r="G219" s="186"/>
      <c r="H219" s="68"/>
      <c r="I219" s="68"/>
    </row>
    <row r="220" spans="1:9" ht="12" customHeight="1">
      <c r="A220" s="70"/>
      <c r="B220" s="10" t="s">
        <v>914</v>
      </c>
      <c r="C220" s="77"/>
      <c r="D220" s="77"/>
      <c r="E220" s="77"/>
      <c r="F220" s="573"/>
      <c r="G220" s="192"/>
      <c r="H220" s="68"/>
      <c r="I220" s="68"/>
    </row>
    <row r="221" spans="1:9" ht="12" customHeight="1" thickBot="1">
      <c r="A221" s="70"/>
      <c r="B221" s="74" t="s">
        <v>1103</v>
      </c>
      <c r="C221" s="77"/>
      <c r="D221" s="77"/>
      <c r="E221" s="78"/>
      <c r="F221" s="940"/>
      <c r="G221" s="30"/>
      <c r="H221" s="68"/>
      <c r="I221" s="68"/>
    </row>
    <row r="222" spans="1:9" ht="12" customHeight="1" thickBot="1">
      <c r="A222" s="52"/>
      <c r="B222" s="57" t="s">
        <v>1095</v>
      </c>
      <c r="C222" s="82">
        <f>SUM(C216:C221)</f>
        <v>3000</v>
      </c>
      <c r="D222" s="82">
        <f>SUM(D216:D221)</f>
        <v>3000</v>
      </c>
      <c r="E222" s="82">
        <f>SUM(E216:E221)</f>
        <v>0</v>
      </c>
      <c r="F222" s="938">
        <f>SUM(E222/D222)</f>
        <v>0</v>
      </c>
      <c r="G222" s="194"/>
      <c r="H222" s="68"/>
      <c r="I222" s="68"/>
    </row>
    <row r="223" spans="1:9" ht="12" customHeight="1">
      <c r="A223" s="86">
        <v>3207</v>
      </c>
      <c r="B223" s="103" t="s">
        <v>1113</v>
      </c>
      <c r="C223" s="89"/>
      <c r="D223" s="89"/>
      <c r="E223" s="89"/>
      <c r="F223" s="582"/>
      <c r="G223" s="186"/>
      <c r="H223" s="68"/>
      <c r="I223" s="68"/>
    </row>
    <row r="224" spans="1:9" ht="12" customHeight="1">
      <c r="A224" s="84"/>
      <c r="B224" s="71" t="s">
        <v>899</v>
      </c>
      <c r="C224" s="77"/>
      <c r="D224" s="77"/>
      <c r="E224" s="77"/>
      <c r="F224" s="573"/>
      <c r="G224" s="186"/>
      <c r="H224" s="68"/>
      <c r="I224" s="68"/>
    </row>
    <row r="225" spans="1:9" ht="12" customHeight="1">
      <c r="A225" s="84"/>
      <c r="B225" s="7" t="s">
        <v>1141</v>
      </c>
      <c r="C225" s="77"/>
      <c r="D225" s="77"/>
      <c r="E225" s="77"/>
      <c r="F225" s="573"/>
      <c r="G225" s="186"/>
      <c r="H225" s="68"/>
      <c r="I225" s="68"/>
    </row>
    <row r="226" spans="1:9" ht="12" customHeight="1">
      <c r="A226" s="84"/>
      <c r="B226" s="85" t="s">
        <v>1102</v>
      </c>
      <c r="C226" s="77">
        <v>22000</v>
      </c>
      <c r="D226" s="77">
        <v>23095</v>
      </c>
      <c r="E226" s="77">
        <v>21150</v>
      </c>
      <c r="F226" s="933">
        <f>SUM(E226/D226)</f>
        <v>0.9157826369344014</v>
      </c>
      <c r="G226" s="186"/>
      <c r="H226" s="68"/>
      <c r="I226" s="68"/>
    </row>
    <row r="227" spans="1:9" ht="12" customHeight="1">
      <c r="A227" s="84"/>
      <c r="B227" s="10" t="s">
        <v>1116</v>
      </c>
      <c r="C227" s="77"/>
      <c r="D227" s="77"/>
      <c r="E227" s="77"/>
      <c r="F227" s="573"/>
      <c r="G227" s="186"/>
      <c r="H227" s="68"/>
      <c r="I227" s="68"/>
    </row>
    <row r="228" spans="1:9" ht="12" customHeight="1">
      <c r="A228" s="84"/>
      <c r="B228" s="10" t="s">
        <v>914</v>
      </c>
      <c r="C228" s="77"/>
      <c r="D228" s="77"/>
      <c r="E228" s="77"/>
      <c r="F228" s="573"/>
      <c r="G228" s="192"/>
      <c r="H228" s="68"/>
      <c r="I228" s="68"/>
    </row>
    <row r="229" spans="1:9" ht="12" customHeight="1" thickBot="1">
      <c r="A229" s="84"/>
      <c r="B229" s="74" t="s">
        <v>1103</v>
      </c>
      <c r="C229" s="77"/>
      <c r="D229" s="77"/>
      <c r="E229" s="78"/>
      <c r="F229" s="940"/>
      <c r="G229" s="3"/>
      <c r="H229" s="68"/>
      <c r="I229" s="68"/>
    </row>
    <row r="230" spans="1:9" ht="12.75" thickBot="1">
      <c r="A230" s="80"/>
      <c r="B230" s="57" t="s">
        <v>1095</v>
      </c>
      <c r="C230" s="82">
        <f>SUM(C224:C229)</f>
        <v>22000</v>
      </c>
      <c r="D230" s="82">
        <f>SUM(D224:D229)</f>
        <v>23095</v>
      </c>
      <c r="E230" s="82">
        <f>SUM(E224:E229)</f>
        <v>21150</v>
      </c>
      <c r="F230" s="938">
        <f>SUM(E230/D230)</f>
        <v>0.9157826369344014</v>
      </c>
      <c r="G230" s="188"/>
      <c r="H230" s="68"/>
      <c r="I230" s="68"/>
    </row>
    <row r="231" spans="1:9" ht="12">
      <c r="A231" s="86">
        <v>3208</v>
      </c>
      <c r="B231" s="103" t="s">
        <v>1083</v>
      </c>
      <c r="C231" s="89"/>
      <c r="D231" s="89"/>
      <c r="E231" s="89"/>
      <c r="F231" s="582"/>
      <c r="G231" s="186"/>
      <c r="H231" s="68"/>
      <c r="I231" s="68"/>
    </row>
    <row r="232" spans="1:9" ht="12">
      <c r="A232" s="84"/>
      <c r="B232" s="71" t="s">
        <v>899</v>
      </c>
      <c r="C232" s="77"/>
      <c r="D232" s="77"/>
      <c r="E232" s="77"/>
      <c r="F232" s="573"/>
      <c r="G232" s="186"/>
      <c r="H232" s="68"/>
      <c r="I232" s="68"/>
    </row>
    <row r="233" spans="1:9" ht="12">
      <c r="A233" s="84"/>
      <c r="B233" s="7" t="s">
        <v>1141</v>
      </c>
      <c r="C233" s="77"/>
      <c r="D233" s="77"/>
      <c r="E233" s="77"/>
      <c r="F233" s="573"/>
      <c r="G233" s="186"/>
      <c r="H233" s="68"/>
      <c r="I233" s="68"/>
    </row>
    <row r="234" spans="1:9" ht="12">
      <c r="A234" s="84"/>
      <c r="B234" s="85" t="s">
        <v>1102</v>
      </c>
      <c r="C234" s="77">
        <v>20500</v>
      </c>
      <c r="D234" s="77">
        <v>20500</v>
      </c>
      <c r="E234" s="77">
        <v>17883</v>
      </c>
      <c r="F234" s="933">
        <f>SUM(E234/D234)</f>
        <v>0.8723414634146341</v>
      </c>
      <c r="G234" s="186"/>
      <c r="H234" s="68"/>
      <c r="I234" s="68"/>
    </row>
    <row r="235" spans="1:9" ht="12">
      <c r="A235" s="84"/>
      <c r="B235" s="10" t="s">
        <v>1116</v>
      </c>
      <c r="C235" s="77"/>
      <c r="D235" s="77"/>
      <c r="E235" s="77"/>
      <c r="F235" s="573"/>
      <c r="G235" s="186"/>
      <c r="H235" s="68"/>
      <c r="I235" s="68"/>
    </row>
    <row r="236" spans="1:9" ht="12">
      <c r="A236" s="84"/>
      <c r="B236" s="10" t="s">
        <v>914</v>
      </c>
      <c r="C236" s="77"/>
      <c r="D236" s="77"/>
      <c r="E236" s="77"/>
      <c r="F236" s="573"/>
      <c r="G236" s="192"/>
      <c r="H236" s="68"/>
      <c r="I236" s="68"/>
    </row>
    <row r="237" spans="1:9" ht="12.75" thickBot="1">
      <c r="A237" s="84"/>
      <c r="B237" s="74" t="s">
        <v>1103</v>
      </c>
      <c r="C237" s="77"/>
      <c r="D237" s="77"/>
      <c r="E237" s="78"/>
      <c r="F237" s="940"/>
      <c r="G237" s="3"/>
      <c r="H237" s="68"/>
      <c r="I237" s="68"/>
    </row>
    <row r="238" spans="1:9" ht="12.75" thickBot="1">
      <c r="A238" s="80"/>
      <c r="B238" s="57" t="s">
        <v>1095</v>
      </c>
      <c r="C238" s="82">
        <f>SUM(C232:C237)</f>
        <v>20500</v>
      </c>
      <c r="D238" s="82">
        <f>SUM(D232:D237)</f>
        <v>20500</v>
      </c>
      <c r="E238" s="82">
        <f>SUM(E232:E237)</f>
        <v>17883</v>
      </c>
      <c r="F238" s="938">
        <f>SUM(E238/D238)</f>
        <v>0.8723414634146341</v>
      </c>
      <c r="G238" s="188"/>
      <c r="H238" s="68"/>
      <c r="I238" s="68"/>
    </row>
    <row r="239" spans="1:9" ht="12">
      <c r="A239" s="15">
        <v>3209</v>
      </c>
      <c r="B239" s="102" t="s">
        <v>1063</v>
      </c>
      <c r="C239" s="89"/>
      <c r="D239" s="89"/>
      <c r="E239" s="89"/>
      <c r="F239" s="582"/>
      <c r="G239" s="4"/>
      <c r="H239" s="68"/>
      <c r="I239" s="68"/>
    </row>
    <row r="240" spans="1:9" ht="12">
      <c r="A240" s="15"/>
      <c r="B240" s="85" t="s">
        <v>899</v>
      </c>
      <c r="C240" s="47"/>
      <c r="D240" s="47"/>
      <c r="E240" s="47"/>
      <c r="F240" s="573"/>
      <c r="G240" s="5"/>
      <c r="H240" s="68"/>
      <c r="I240" s="68"/>
    </row>
    <row r="241" spans="1:9" ht="12">
      <c r="A241" s="15"/>
      <c r="B241" s="7" t="s">
        <v>1141</v>
      </c>
      <c r="C241" s="47"/>
      <c r="D241" s="166">
        <v>89</v>
      </c>
      <c r="E241" s="166">
        <v>89</v>
      </c>
      <c r="F241" s="933">
        <f>SUM(E241/D241)</f>
        <v>1</v>
      </c>
      <c r="G241" s="227"/>
      <c r="H241" s="68"/>
      <c r="I241" s="68"/>
    </row>
    <row r="242" spans="1:9" ht="12">
      <c r="A242" s="15"/>
      <c r="B242" s="85" t="s">
        <v>1102</v>
      </c>
      <c r="C242" s="166">
        <v>4300</v>
      </c>
      <c r="D242" s="166">
        <v>1411</v>
      </c>
      <c r="E242" s="166">
        <v>1028</v>
      </c>
      <c r="F242" s="933">
        <f>SUM(E242/D242)</f>
        <v>0.7285613040396882</v>
      </c>
      <c r="G242" s="227"/>
      <c r="H242" s="68"/>
      <c r="I242" s="68"/>
    </row>
    <row r="243" spans="1:9" ht="12">
      <c r="A243" s="15"/>
      <c r="B243" s="183" t="s">
        <v>1116</v>
      </c>
      <c r="C243" s="166">
        <v>700</v>
      </c>
      <c r="D243" s="166">
        <v>3500</v>
      </c>
      <c r="E243" s="166">
        <v>3150</v>
      </c>
      <c r="F243" s="933">
        <f>SUM(E243/D243)</f>
        <v>0.9</v>
      </c>
      <c r="G243" s="5"/>
      <c r="H243" s="68"/>
      <c r="I243" s="68"/>
    </row>
    <row r="244" spans="1:9" ht="12">
      <c r="A244" s="15"/>
      <c r="B244" s="183" t="s">
        <v>914</v>
      </c>
      <c r="C244" s="47"/>
      <c r="D244" s="47"/>
      <c r="E244" s="47"/>
      <c r="F244" s="573"/>
      <c r="G244" s="5"/>
      <c r="H244" s="68"/>
      <c r="I244" s="68"/>
    </row>
    <row r="245" spans="1:9" ht="12.75" thickBot="1">
      <c r="A245" s="15"/>
      <c r="B245" s="111" t="s">
        <v>1103</v>
      </c>
      <c r="C245" s="48"/>
      <c r="D245" s="48"/>
      <c r="E245" s="48"/>
      <c r="F245" s="940"/>
      <c r="G245" s="189"/>
      <c r="H245" s="68"/>
      <c r="I245" s="68"/>
    </row>
    <row r="246" spans="1:9" ht="12.75" thickBot="1">
      <c r="A246" s="52"/>
      <c r="B246" s="57" t="s">
        <v>1095</v>
      </c>
      <c r="C246" s="82">
        <f>SUM(C242:C245)</f>
        <v>5000</v>
      </c>
      <c r="D246" s="82">
        <f>SUM(D241:D245)</f>
        <v>5000</v>
      </c>
      <c r="E246" s="82">
        <f>SUM(E241:E245)</f>
        <v>4267</v>
      </c>
      <c r="F246" s="938">
        <f>SUM(E246/D246)</f>
        <v>0.8534</v>
      </c>
      <c r="G246" s="188"/>
      <c r="H246" s="68"/>
      <c r="I246" s="68"/>
    </row>
    <row r="247" spans="1:9" ht="12">
      <c r="A247" s="86">
        <v>3210</v>
      </c>
      <c r="B247" s="73" t="s">
        <v>1001</v>
      </c>
      <c r="C247" s="99">
        <f>SUM(C255+C263+C271+C280+C288)</f>
        <v>2154975</v>
      </c>
      <c r="D247" s="99">
        <f>SUM(D255+D263+D271+D280+D288)</f>
        <v>2193102</v>
      </c>
      <c r="E247" s="99">
        <f>SUM(E255+E263+E271+E280+E288)</f>
        <v>1960150</v>
      </c>
      <c r="F247" s="582">
        <f>SUM(E247/D247)</f>
        <v>0.8937796782821775</v>
      </c>
      <c r="G247" s="31"/>
      <c r="H247" s="68"/>
      <c r="I247" s="68"/>
    </row>
    <row r="248" spans="1:9" ht="12">
      <c r="A248" s="86">
        <v>3211</v>
      </c>
      <c r="B248" s="106" t="s">
        <v>268</v>
      </c>
      <c r="C248" s="89"/>
      <c r="D248" s="89"/>
      <c r="E248" s="89"/>
      <c r="F248" s="573"/>
      <c r="G248" s="4"/>
      <c r="H248" s="68"/>
      <c r="I248" s="68"/>
    </row>
    <row r="249" spans="1:9" ht="12">
      <c r="A249" s="86"/>
      <c r="B249" s="85" t="s">
        <v>899</v>
      </c>
      <c r="C249" s="47"/>
      <c r="D249" s="47"/>
      <c r="E249" s="47"/>
      <c r="F249" s="573"/>
      <c r="G249" s="5"/>
      <c r="H249" s="68"/>
      <c r="I249" s="68"/>
    </row>
    <row r="250" spans="1:9" ht="12">
      <c r="A250" s="86"/>
      <c r="B250" s="7" t="s">
        <v>1141</v>
      </c>
      <c r="C250" s="47"/>
      <c r="D250" s="47"/>
      <c r="E250" s="47"/>
      <c r="F250" s="573"/>
      <c r="G250" s="5"/>
      <c r="H250" s="68"/>
      <c r="I250" s="68"/>
    </row>
    <row r="251" spans="1:9" ht="12">
      <c r="A251" s="86"/>
      <c r="B251" s="85" t="s">
        <v>1102</v>
      </c>
      <c r="C251" s="166">
        <v>159757</v>
      </c>
      <c r="D251" s="166">
        <v>338256</v>
      </c>
      <c r="E251" s="166">
        <v>288772</v>
      </c>
      <c r="F251" s="933">
        <f>SUM(E251/D251)</f>
        <v>0.8537084338489191</v>
      </c>
      <c r="G251" s="5"/>
      <c r="H251" s="68"/>
      <c r="I251" s="68"/>
    </row>
    <row r="252" spans="1:9" ht="12">
      <c r="A252" s="86"/>
      <c r="B252" s="183" t="s">
        <v>1116</v>
      </c>
      <c r="C252" s="47"/>
      <c r="D252" s="47"/>
      <c r="E252" s="47"/>
      <c r="F252" s="573"/>
      <c r="G252" s="5"/>
      <c r="H252" s="68"/>
      <c r="I252" s="68"/>
    </row>
    <row r="253" spans="1:9" ht="12">
      <c r="A253" s="86"/>
      <c r="B253" s="183" t="s">
        <v>914</v>
      </c>
      <c r="C253" s="47"/>
      <c r="D253" s="47"/>
      <c r="E253" s="47"/>
      <c r="F253" s="573"/>
      <c r="G253" s="5"/>
      <c r="H253" s="68"/>
      <c r="I253" s="68"/>
    </row>
    <row r="254" spans="1:9" ht="12.75" thickBot="1">
      <c r="A254" s="86"/>
      <c r="B254" s="111" t="s">
        <v>1103</v>
      </c>
      <c r="C254" s="48"/>
      <c r="D254" s="48"/>
      <c r="E254" s="48"/>
      <c r="F254" s="940"/>
      <c r="G254" s="189"/>
      <c r="H254" s="68"/>
      <c r="I254" s="68"/>
    </row>
    <row r="255" spans="1:9" ht="12.75" thickBot="1">
      <c r="A255" s="52"/>
      <c r="B255" s="57" t="s">
        <v>1095</v>
      </c>
      <c r="C255" s="82">
        <f>SUM(C251:C254)</f>
        <v>159757</v>
      </c>
      <c r="D255" s="82">
        <f>SUM(D251:D254)</f>
        <v>338256</v>
      </c>
      <c r="E255" s="82">
        <f>SUM(E251:E254)</f>
        <v>288772</v>
      </c>
      <c r="F255" s="938">
        <f>SUM(E255/D255)</f>
        <v>0.8537084338489191</v>
      </c>
      <c r="G255" s="188"/>
      <c r="H255" s="68"/>
      <c r="I255" s="68"/>
    </row>
    <row r="256" spans="1:9" ht="12">
      <c r="A256" s="86">
        <v>3212</v>
      </c>
      <c r="B256" s="106" t="s">
        <v>1024</v>
      </c>
      <c r="C256" s="89"/>
      <c r="D256" s="89"/>
      <c r="E256" s="89"/>
      <c r="F256" s="582"/>
      <c r="G256" s="4"/>
      <c r="H256" s="68"/>
      <c r="I256" s="68"/>
    </row>
    <row r="257" spans="1:9" ht="12">
      <c r="A257" s="86"/>
      <c r="B257" s="85" t="s">
        <v>899</v>
      </c>
      <c r="C257" s="47"/>
      <c r="D257" s="47"/>
      <c r="E257" s="47"/>
      <c r="F257" s="573"/>
      <c r="G257" s="5"/>
      <c r="H257" s="68"/>
      <c r="I257" s="68"/>
    </row>
    <row r="258" spans="1:9" ht="12">
      <c r="A258" s="86"/>
      <c r="B258" s="7" t="s">
        <v>1141</v>
      </c>
      <c r="C258" s="47"/>
      <c r="D258" s="47"/>
      <c r="E258" s="47"/>
      <c r="F258" s="573"/>
      <c r="G258" s="5"/>
      <c r="H258" s="68"/>
      <c r="I258" s="68"/>
    </row>
    <row r="259" spans="1:9" ht="12">
      <c r="A259" s="86"/>
      <c r="B259" s="85" t="s">
        <v>1102</v>
      </c>
      <c r="C259" s="166">
        <v>876934</v>
      </c>
      <c r="D259" s="166">
        <v>847740</v>
      </c>
      <c r="E259" s="166">
        <v>845121</v>
      </c>
      <c r="F259" s="933">
        <f>SUM(E259/D259)</f>
        <v>0.9969106093849529</v>
      </c>
      <c r="G259" s="5"/>
      <c r="H259" s="68"/>
      <c r="I259" s="68"/>
    </row>
    <row r="260" spans="1:9" ht="12">
      <c r="A260" s="86"/>
      <c r="B260" s="183" t="s">
        <v>1116</v>
      </c>
      <c r="C260" s="47"/>
      <c r="D260" s="47"/>
      <c r="E260" s="47"/>
      <c r="F260" s="573"/>
      <c r="G260" s="5"/>
      <c r="H260" s="68"/>
      <c r="I260" s="68"/>
    </row>
    <row r="261" spans="1:9" ht="12">
      <c r="A261" s="86"/>
      <c r="B261" s="183" t="s">
        <v>914</v>
      </c>
      <c r="C261" s="47"/>
      <c r="D261" s="47"/>
      <c r="E261" s="47"/>
      <c r="F261" s="573"/>
      <c r="G261" s="5"/>
      <c r="H261" s="68"/>
      <c r="I261" s="68"/>
    </row>
    <row r="262" spans="1:9" ht="12.75" thickBot="1">
      <c r="A262" s="86"/>
      <c r="B262" s="111" t="s">
        <v>1103</v>
      </c>
      <c r="C262" s="48"/>
      <c r="D262" s="48"/>
      <c r="E262" s="48"/>
      <c r="F262" s="940"/>
      <c r="G262" s="189"/>
      <c r="H262" s="68"/>
      <c r="I262" s="68"/>
    </row>
    <row r="263" spans="1:9" ht="12.75" thickBot="1">
      <c r="A263" s="52"/>
      <c r="B263" s="57" t="s">
        <v>1095</v>
      </c>
      <c r="C263" s="82">
        <f>SUM(C259:C262)</f>
        <v>876934</v>
      </c>
      <c r="D263" s="82">
        <f>SUM(D259:D262)</f>
        <v>847740</v>
      </c>
      <c r="E263" s="82">
        <f>SUM(E259:E262)</f>
        <v>845121</v>
      </c>
      <c r="F263" s="938">
        <f>SUM(E263/D263)</f>
        <v>0.9969106093849529</v>
      </c>
      <c r="G263" s="188"/>
      <c r="H263" s="68"/>
      <c r="I263" s="68"/>
    </row>
    <row r="264" spans="1:9" ht="12">
      <c r="A264" s="86">
        <v>3213</v>
      </c>
      <c r="B264" s="102" t="s">
        <v>1359</v>
      </c>
      <c r="C264" s="99"/>
      <c r="D264" s="99"/>
      <c r="E264" s="89"/>
      <c r="F264" s="582"/>
      <c r="G264" s="31"/>
      <c r="H264" s="68"/>
      <c r="I264" s="68"/>
    </row>
    <row r="265" spans="1:9" ht="12">
      <c r="A265" s="86"/>
      <c r="B265" s="85" t="s">
        <v>899</v>
      </c>
      <c r="C265" s="47"/>
      <c r="D265" s="47"/>
      <c r="E265" s="47"/>
      <c r="F265" s="573"/>
      <c r="G265" s="5"/>
      <c r="H265" s="68"/>
      <c r="I265" s="68"/>
    </row>
    <row r="266" spans="1:9" ht="12">
      <c r="A266" s="86"/>
      <c r="B266" s="7" t="s">
        <v>1141</v>
      </c>
      <c r="C266" s="47"/>
      <c r="D266" s="47"/>
      <c r="E266" s="47"/>
      <c r="F266" s="573"/>
      <c r="G266" s="5"/>
      <c r="H266" s="68"/>
      <c r="I266" s="68"/>
    </row>
    <row r="267" spans="1:9" ht="12">
      <c r="A267" s="86"/>
      <c r="B267" s="85" t="s">
        <v>1102</v>
      </c>
      <c r="C267" s="166">
        <v>870442</v>
      </c>
      <c r="D267" s="166">
        <v>781222</v>
      </c>
      <c r="E267" s="166">
        <v>691801</v>
      </c>
      <c r="F267" s="933">
        <f>SUM(E267/D267)</f>
        <v>0.8855370176467124</v>
      </c>
      <c r="G267" s="5"/>
      <c r="H267" s="68"/>
      <c r="I267" s="68"/>
    </row>
    <row r="268" spans="1:9" ht="12">
      <c r="A268" s="86"/>
      <c r="B268" s="183" t="s">
        <v>1116</v>
      </c>
      <c r="C268" s="47"/>
      <c r="D268" s="47"/>
      <c r="E268" s="47"/>
      <c r="F268" s="573"/>
      <c r="G268" s="5"/>
      <c r="H268" s="68"/>
      <c r="I268" s="68"/>
    </row>
    <row r="269" spans="1:9" ht="12">
      <c r="A269" s="86"/>
      <c r="B269" s="183" t="s">
        <v>914</v>
      </c>
      <c r="C269" s="47"/>
      <c r="D269" s="47"/>
      <c r="E269" s="47"/>
      <c r="F269" s="573"/>
      <c r="G269" s="5"/>
      <c r="H269" s="68"/>
      <c r="I269" s="68"/>
    </row>
    <row r="270" spans="1:9" ht="12.75" thickBot="1">
      <c r="A270" s="86"/>
      <c r="B270" s="111" t="s">
        <v>1103</v>
      </c>
      <c r="C270" s="48"/>
      <c r="D270" s="48"/>
      <c r="E270" s="48"/>
      <c r="F270" s="940"/>
      <c r="G270" s="189"/>
      <c r="H270" s="68"/>
      <c r="I270" s="68"/>
    </row>
    <row r="271" spans="1:9" ht="12.75" thickBot="1">
      <c r="A271" s="52"/>
      <c r="B271" s="57" t="s">
        <v>1095</v>
      </c>
      <c r="C271" s="82">
        <f>SUM(C267:C270)</f>
        <v>870442</v>
      </c>
      <c r="D271" s="82">
        <f>SUM(D267:D270)</f>
        <v>781222</v>
      </c>
      <c r="E271" s="82">
        <f>SUM(E267:E270)</f>
        <v>691801</v>
      </c>
      <c r="F271" s="938">
        <f>SUM(E271/D271)</f>
        <v>0.8855370176467124</v>
      </c>
      <c r="G271" s="4"/>
      <c r="H271" s="68"/>
      <c r="I271" s="68"/>
    </row>
    <row r="272" spans="1:9" ht="12">
      <c r="A272" s="86">
        <v>3214</v>
      </c>
      <c r="B272" s="102" t="s">
        <v>269</v>
      </c>
      <c r="C272" s="99"/>
      <c r="D272" s="99"/>
      <c r="E272" s="89"/>
      <c r="F272" s="582"/>
      <c r="G272" s="31"/>
      <c r="H272" s="68"/>
      <c r="I272" s="68"/>
    </row>
    <row r="273" spans="1:9" ht="12">
      <c r="A273" s="86"/>
      <c r="B273" s="85" t="s">
        <v>899</v>
      </c>
      <c r="C273" s="47"/>
      <c r="D273" s="47"/>
      <c r="E273" s="47"/>
      <c r="F273" s="573"/>
      <c r="G273" s="5"/>
      <c r="H273" s="68"/>
      <c r="I273" s="68"/>
    </row>
    <row r="274" spans="1:9" ht="12">
      <c r="A274" s="86"/>
      <c r="B274" s="7" t="s">
        <v>1141</v>
      </c>
      <c r="C274" s="47"/>
      <c r="D274" s="47"/>
      <c r="E274" s="47"/>
      <c r="F274" s="573"/>
      <c r="G274" s="5"/>
      <c r="H274" s="68"/>
      <c r="I274" s="68"/>
    </row>
    <row r="275" spans="1:9" ht="12">
      <c r="A275" s="86"/>
      <c r="B275" s="85" t="s">
        <v>1102</v>
      </c>
      <c r="C275" s="166">
        <v>112154</v>
      </c>
      <c r="D275" s="166">
        <v>90196</v>
      </c>
      <c r="E275" s="166">
        <v>6127</v>
      </c>
      <c r="F275" s="933">
        <f>SUM(E275/D275)</f>
        <v>0.0679298416781232</v>
      </c>
      <c r="G275" s="5"/>
      <c r="H275" s="68"/>
      <c r="I275" s="68"/>
    </row>
    <row r="276" spans="1:9" ht="12">
      <c r="A276" s="86"/>
      <c r="B276" s="183" t="s">
        <v>1116</v>
      </c>
      <c r="C276" s="47"/>
      <c r="D276" s="47"/>
      <c r="E276" s="47"/>
      <c r="F276" s="573"/>
      <c r="G276" s="5"/>
      <c r="H276" s="68"/>
      <c r="I276" s="68"/>
    </row>
    <row r="277" spans="1:9" ht="12">
      <c r="A277" s="86"/>
      <c r="B277" s="183" t="s">
        <v>914</v>
      </c>
      <c r="C277" s="47"/>
      <c r="D277" s="47"/>
      <c r="E277" s="47"/>
      <c r="F277" s="573"/>
      <c r="G277" s="5"/>
      <c r="H277" s="68"/>
      <c r="I277" s="68"/>
    </row>
    <row r="278" spans="1:9" ht="12">
      <c r="A278" s="86"/>
      <c r="B278" s="111" t="s">
        <v>242</v>
      </c>
      <c r="C278" s="104"/>
      <c r="D278" s="104"/>
      <c r="E278" s="160">
        <v>259</v>
      </c>
      <c r="F278" s="980"/>
      <c r="G278" s="2"/>
      <c r="H278" s="68"/>
      <c r="I278" s="68"/>
    </row>
    <row r="279" spans="1:9" ht="12.75" thickBot="1">
      <c r="A279" s="86"/>
      <c r="B279" s="111" t="s">
        <v>243</v>
      </c>
      <c r="C279" s="48"/>
      <c r="D279" s="48"/>
      <c r="E279" s="627">
        <v>3689</v>
      </c>
      <c r="F279" s="940"/>
      <c r="G279" s="189"/>
      <c r="H279" s="68"/>
      <c r="I279" s="68"/>
    </row>
    <row r="280" spans="1:9" ht="12.75" thickBot="1">
      <c r="A280" s="52"/>
      <c r="B280" s="57" t="s">
        <v>1095</v>
      </c>
      <c r="C280" s="82">
        <f>SUM(C275:C279)</f>
        <v>112154</v>
      </c>
      <c r="D280" s="82">
        <f>SUM(D275:D279)</f>
        <v>90196</v>
      </c>
      <c r="E280" s="82">
        <f>SUM(E275:E279)</f>
        <v>10075</v>
      </c>
      <c r="F280" s="938">
        <f>SUM(E280/D280)</f>
        <v>0.11170118408798617</v>
      </c>
      <c r="G280" s="4"/>
      <c r="H280" s="68"/>
      <c r="I280" s="68"/>
    </row>
    <row r="281" spans="1:9" ht="12">
      <c r="A281" s="86">
        <v>3215</v>
      </c>
      <c r="B281" s="500" t="s">
        <v>895</v>
      </c>
      <c r="C281" s="99"/>
      <c r="D281" s="99"/>
      <c r="E281" s="89"/>
      <c r="F281" s="582"/>
      <c r="G281" s="31"/>
      <c r="H281" s="68"/>
      <c r="I281" s="68"/>
    </row>
    <row r="282" spans="1:9" ht="12">
      <c r="A282" s="86"/>
      <c r="B282" s="85" t="s">
        <v>899</v>
      </c>
      <c r="C282" s="47"/>
      <c r="D282" s="47"/>
      <c r="E282" s="47"/>
      <c r="F282" s="573"/>
      <c r="G282" s="5"/>
      <c r="H282" s="68"/>
      <c r="I282" s="68"/>
    </row>
    <row r="283" spans="1:9" ht="12">
      <c r="A283" s="86"/>
      <c r="B283" s="7" t="s">
        <v>1141</v>
      </c>
      <c r="C283" s="47"/>
      <c r="D283" s="47"/>
      <c r="E283" s="47"/>
      <c r="F283" s="573"/>
      <c r="G283" s="5"/>
      <c r="H283" s="68"/>
      <c r="I283" s="68"/>
    </row>
    <row r="284" spans="1:9" ht="12">
      <c r="A284" s="86"/>
      <c r="B284" s="85" t="s">
        <v>1102</v>
      </c>
      <c r="C284" s="166">
        <v>135688</v>
      </c>
      <c r="D284" s="166">
        <v>135688</v>
      </c>
      <c r="E284" s="166">
        <v>124381</v>
      </c>
      <c r="F284" s="933">
        <f>SUM(E284/D284)</f>
        <v>0.9166691232828253</v>
      </c>
      <c r="G284" s="5"/>
      <c r="H284" s="68"/>
      <c r="I284" s="68"/>
    </row>
    <row r="285" spans="1:9" ht="12">
      <c r="A285" s="86"/>
      <c r="B285" s="183" t="s">
        <v>1116</v>
      </c>
      <c r="C285" s="47"/>
      <c r="D285" s="47"/>
      <c r="E285" s="47"/>
      <c r="F285" s="573"/>
      <c r="G285" s="5"/>
      <c r="H285" s="68"/>
      <c r="I285" s="68"/>
    </row>
    <row r="286" spans="1:9" ht="12">
      <c r="A286" s="86"/>
      <c r="B286" s="183" t="s">
        <v>914</v>
      </c>
      <c r="C286" s="47"/>
      <c r="D286" s="47"/>
      <c r="E286" s="47"/>
      <c r="F286" s="573"/>
      <c r="G286" s="5"/>
      <c r="H286" s="68"/>
      <c r="I286" s="68"/>
    </row>
    <row r="287" spans="1:9" ht="12.75" thickBot="1">
      <c r="A287" s="86"/>
      <c r="B287" s="111" t="s">
        <v>1103</v>
      </c>
      <c r="C287" s="48"/>
      <c r="D287" s="48"/>
      <c r="E287" s="48"/>
      <c r="F287" s="940"/>
      <c r="G287" s="189"/>
      <c r="H287" s="68"/>
      <c r="I287" s="68"/>
    </row>
    <row r="288" spans="1:9" ht="12.75" thickBot="1">
      <c r="A288" s="52"/>
      <c r="B288" s="57" t="s">
        <v>1095</v>
      </c>
      <c r="C288" s="82">
        <f>SUM(C284:C287)</f>
        <v>135688</v>
      </c>
      <c r="D288" s="82">
        <f>SUM(D284:D287)</f>
        <v>135688</v>
      </c>
      <c r="E288" s="82">
        <f>SUM(E284:E287)</f>
        <v>124381</v>
      </c>
      <c r="F288" s="938">
        <f>SUM(E288/D288)</f>
        <v>0.9166691232828253</v>
      </c>
      <c r="G288" s="4"/>
      <c r="H288" s="68"/>
      <c r="I288" s="68"/>
    </row>
    <row r="289" spans="1:9" ht="12.75" thickBot="1">
      <c r="A289" s="86">
        <v>3220</v>
      </c>
      <c r="B289" s="57" t="s">
        <v>1002</v>
      </c>
      <c r="C289" s="82">
        <f>SUM(C297+C306)</f>
        <v>223828</v>
      </c>
      <c r="D289" s="82">
        <f>SUM(D297+D306+D315)</f>
        <v>240295</v>
      </c>
      <c r="E289" s="82">
        <f>SUM(E297+E306+E315)</f>
        <v>134089</v>
      </c>
      <c r="F289" s="938">
        <f>SUM(E289/D289)</f>
        <v>0.5580182692107618</v>
      </c>
      <c r="G289" s="188"/>
      <c r="H289" s="68"/>
      <c r="I289" s="68"/>
    </row>
    <row r="290" spans="1:9" ht="12">
      <c r="A290" s="86">
        <v>3221</v>
      </c>
      <c r="B290" s="73" t="s">
        <v>1038</v>
      </c>
      <c r="C290" s="89"/>
      <c r="D290" s="89"/>
      <c r="E290" s="89"/>
      <c r="F290" s="582"/>
      <c r="G290" s="4"/>
      <c r="H290" s="68"/>
      <c r="I290" s="68"/>
    </row>
    <row r="291" spans="1:9" ht="12">
      <c r="A291" s="86"/>
      <c r="B291" s="71" t="s">
        <v>899</v>
      </c>
      <c r="C291" s="47"/>
      <c r="D291" s="47"/>
      <c r="E291" s="47"/>
      <c r="F291" s="573"/>
      <c r="G291" s="5"/>
      <c r="H291" s="68"/>
      <c r="I291" s="68"/>
    </row>
    <row r="292" spans="1:9" ht="12">
      <c r="A292" s="86"/>
      <c r="B292" s="7" t="s">
        <v>1141</v>
      </c>
      <c r="C292" s="47"/>
      <c r="D292" s="47"/>
      <c r="E292" s="47"/>
      <c r="F292" s="573"/>
      <c r="G292" s="5"/>
      <c r="H292" s="68"/>
      <c r="I292" s="68"/>
    </row>
    <row r="293" spans="1:9" ht="12">
      <c r="A293" s="86"/>
      <c r="B293" s="85" t="s">
        <v>1102</v>
      </c>
      <c r="C293" s="166">
        <v>19410</v>
      </c>
      <c r="D293" s="166"/>
      <c r="E293" s="166"/>
      <c r="F293" s="573"/>
      <c r="G293" s="5"/>
      <c r="H293" s="68"/>
      <c r="I293" s="68"/>
    </row>
    <row r="294" spans="1:9" ht="12">
      <c r="A294" s="86"/>
      <c r="B294" s="10" t="s">
        <v>1116</v>
      </c>
      <c r="C294" s="47"/>
      <c r="D294" s="47"/>
      <c r="E294" s="47"/>
      <c r="F294" s="573"/>
      <c r="G294" s="5"/>
      <c r="H294" s="68"/>
      <c r="I294" s="68"/>
    </row>
    <row r="295" spans="1:9" ht="12">
      <c r="A295" s="86"/>
      <c r="B295" s="10" t="s">
        <v>914</v>
      </c>
      <c r="C295" s="47"/>
      <c r="D295" s="47"/>
      <c r="E295" s="47"/>
      <c r="F295" s="573"/>
      <c r="G295" s="5"/>
      <c r="H295" s="68"/>
      <c r="I295" s="68"/>
    </row>
    <row r="296" spans="1:9" ht="12.75" thickBot="1">
      <c r="A296" s="86"/>
      <c r="B296" s="74" t="s">
        <v>1103</v>
      </c>
      <c r="C296" s="48"/>
      <c r="D296" s="48"/>
      <c r="E296" s="48"/>
      <c r="F296" s="940"/>
      <c r="G296" s="189"/>
      <c r="H296" s="68"/>
      <c r="I296" s="68"/>
    </row>
    <row r="297" spans="1:9" ht="12.75" thickBot="1">
      <c r="A297" s="80"/>
      <c r="B297" s="57" t="s">
        <v>1095</v>
      </c>
      <c r="C297" s="82">
        <f>SUM(C293:C296)</f>
        <v>19410</v>
      </c>
      <c r="D297" s="82">
        <f>SUM(D293:D296)</f>
        <v>0</v>
      </c>
      <c r="E297" s="82"/>
      <c r="F297" s="938"/>
      <c r="G297" s="188"/>
      <c r="H297" s="68"/>
      <c r="I297" s="68"/>
    </row>
    <row r="298" spans="1:9" ht="12">
      <c r="A298" s="86">
        <v>3222</v>
      </c>
      <c r="B298" s="73" t="s">
        <v>923</v>
      </c>
      <c r="C298" s="99"/>
      <c r="D298" s="99"/>
      <c r="E298" s="89"/>
      <c r="F298" s="582"/>
      <c r="G298" s="31"/>
      <c r="H298" s="68"/>
      <c r="I298" s="68"/>
    </row>
    <row r="299" spans="1:9" ht="12">
      <c r="A299" s="86"/>
      <c r="B299" s="71" t="s">
        <v>899</v>
      </c>
      <c r="C299" s="89"/>
      <c r="D299" s="267">
        <v>34625</v>
      </c>
      <c r="E299" s="267">
        <v>9447</v>
      </c>
      <c r="F299" s="933">
        <f>SUM(E299/D299)</f>
        <v>0.2728375451263538</v>
      </c>
      <c r="G299" s="4"/>
      <c r="H299" s="68"/>
      <c r="I299" s="68"/>
    </row>
    <row r="300" spans="1:9" ht="12">
      <c r="A300" s="86"/>
      <c r="B300" s="7" t="s">
        <v>1141</v>
      </c>
      <c r="C300" s="47"/>
      <c r="D300" s="166">
        <v>4251</v>
      </c>
      <c r="E300" s="166">
        <v>2377</v>
      </c>
      <c r="F300" s="933">
        <f>SUM(E300/D300)</f>
        <v>0.5591625499882381</v>
      </c>
      <c r="G300" s="5"/>
      <c r="H300" s="68"/>
      <c r="I300" s="68"/>
    </row>
    <row r="301" spans="1:9" ht="12">
      <c r="A301" s="86"/>
      <c r="B301" s="85" t="s">
        <v>1102</v>
      </c>
      <c r="C301" s="166">
        <v>204418</v>
      </c>
      <c r="D301" s="166">
        <v>102046</v>
      </c>
      <c r="E301" s="166">
        <v>42892</v>
      </c>
      <c r="F301" s="933">
        <f>SUM(E301/D301)</f>
        <v>0.42032024773141524</v>
      </c>
      <c r="G301" s="5"/>
      <c r="H301" s="68"/>
      <c r="I301" s="68"/>
    </row>
    <row r="302" spans="1:9" ht="12">
      <c r="A302" s="86"/>
      <c r="B302" s="10" t="s">
        <v>1116</v>
      </c>
      <c r="C302" s="47"/>
      <c r="D302" s="47"/>
      <c r="E302" s="47"/>
      <c r="F302" s="573"/>
      <c r="G302" s="5"/>
      <c r="H302" s="68"/>
      <c r="I302" s="68"/>
    </row>
    <row r="303" spans="1:9" ht="12">
      <c r="A303" s="86"/>
      <c r="B303" s="10" t="s">
        <v>914</v>
      </c>
      <c r="C303" s="47"/>
      <c r="D303" s="47"/>
      <c r="E303" s="47"/>
      <c r="F303" s="573"/>
      <c r="G303" s="5"/>
      <c r="H303" s="68"/>
      <c r="I303" s="68"/>
    </row>
    <row r="304" spans="1:9" ht="12">
      <c r="A304" s="86"/>
      <c r="B304" s="74" t="s">
        <v>242</v>
      </c>
      <c r="C304" s="47"/>
      <c r="D304" s="47"/>
      <c r="E304" s="47"/>
      <c r="F304" s="573"/>
      <c r="G304" s="5"/>
      <c r="H304" s="68"/>
      <c r="I304" s="68"/>
    </row>
    <row r="305" spans="1:9" ht="12.75" thickBot="1">
      <c r="A305" s="86"/>
      <c r="B305" s="74" t="s">
        <v>243</v>
      </c>
      <c r="C305" s="105"/>
      <c r="D305" s="382">
        <v>79373</v>
      </c>
      <c r="E305" s="382">
        <v>79373</v>
      </c>
      <c r="F305" s="937">
        <f>SUM(E305/D305)</f>
        <v>1</v>
      </c>
      <c r="G305" s="30"/>
      <c r="H305" s="68"/>
      <c r="I305" s="68"/>
    </row>
    <row r="306" spans="1:9" ht="12.75" thickBot="1">
      <c r="A306" s="52"/>
      <c r="B306" s="57" t="s">
        <v>1095</v>
      </c>
      <c r="C306" s="82">
        <f>SUM(C301:C304)</f>
        <v>204418</v>
      </c>
      <c r="D306" s="82">
        <f>SUM(D299:D305)</f>
        <v>220295</v>
      </c>
      <c r="E306" s="82">
        <f>SUM(E299:E305)</f>
        <v>134089</v>
      </c>
      <c r="F306" s="938">
        <f>SUM(E306/D306)</f>
        <v>0.6086792709775528</v>
      </c>
      <c r="G306" s="188"/>
      <c r="H306" s="68"/>
      <c r="I306" s="68"/>
    </row>
    <row r="307" spans="1:9" ht="12">
      <c r="A307" s="86">
        <v>3223</v>
      </c>
      <c r="B307" s="73" t="s">
        <v>284</v>
      </c>
      <c r="C307" s="99"/>
      <c r="D307" s="99"/>
      <c r="E307" s="89"/>
      <c r="F307" s="582"/>
      <c r="G307" s="31"/>
      <c r="H307" s="68"/>
      <c r="I307" s="68"/>
    </row>
    <row r="308" spans="1:9" ht="12">
      <c r="A308" s="86"/>
      <c r="B308" s="71" t="s">
        <v>899</v>
      </c>
      <c r="C308" s="89"/>
      <c r="D308" s="267"/>
      <c r="E308" s="267"/>
      <c r="F308" s="573"/>
      <c r="G308" s="4"/>
      <c r="H308" s="68"/>
      <c r="I308" s="68"/>
    </row>
    <row r="309" spans="1:9" ht="12">
      <c r="A309" s="86"/>
      <c r="B309" s="7" t="s">
        <v>1141</v>
      </c>
      <c r="C309" s="47"/>
      <c r="D309" s="166"/>
      <c r="E309" s="166"/>
      <c r="F309" s="573"/>
      <c r="G309" s="5"/>
      <c r="H309" s="68"/>
      <c r="I309" s="68"/>
    </row>
    <row r="310" spans="1:9" ht="12">
      <c r="A310" s="86"/>
      <c r="B310" s="85" t="s">
        <v>1102</v>
      </c>
      <c r="C310" s="166"/>
      <c r="D310" s="166">
        <v>20000</v>
      </c>
      <c r="E310" s="166"/>
      <c r="F310" s="573">
        <f>SUM(E310/D310)</f>
        <v>0</v>
      </c>
      <c r="G310" s="5"/>
      <c r="H310" s="68"/>
      <c r="I310" s="68"/>
    </row>
    <row r="311" spans="1:9" ht="12">
      <c r="A311" s="86"/>
      <c r="B311" s="10" t="s">
        <v>1116</v>
      </c>
      <c r="C311" s="47"/>
      <c r="D311" s="47"/>
      <c r="E311" s="47"/>
      <c r="F311" s="573"/>
      <c r="G311" s="5"/>
      <c r="H311" s="68"/>
      <c r="I311" s="68"/>
    </row>
    <row r="312" spans="1:9" ht="12">
      <c r="A312" s="86"/>
      <c r="B312" s="10" t="s">
        <v>914</v>
      </c>
      <c r="C312" s="47"/>
      <c r="D312" s="47"/>
      <c r="E312" s="47"/>
      <c r="F312" s="573"/>
      <c r="G312" s="5"/>
      <c r="H312" s="68"/>
      <c r="I312" s="68"/>
    </row>
    <row r="313" spans="1:9" ht="12">
      <c r="A313" s="86"/>
      <c r="B313" s="74" t="s">
        <v>242</v>
      </c>
      <c r="C313" s="47"/>
      <c r="D313" s="47"/>
      <c r="E313" s="47"/>
      <c r="F313" s="573"/>
      <c r="G313" s="5"/>
      <c r="H313" s="68"/>
      <c r="I313" s="68"/>
    </row>
    <row r="314" spans="1:9" ht="12.75" thickBot="1">
      <c r="A314" s="86"/>
      <c r="B314" s="74" t="s">
        <v>243</v>
      </c>
      <c r="C314" s="105"/>
      <c r="D314" s="382"/>
      <c r="E314" s="382"/>
      <c r="F314" s="940"/>
      <c r="G314" s="30"/>
      <c r="H314" s="68"/>
      <c r="I314" s="68"/>
    </row>
    <row r="315" spans="1:9" ht="12.75" thickBot="1">
      <c r="A315" s="52"/>
      <c r="B315" s="57" t="s">
        <v>1095</v>
      </c>
      <c r="C315" s="82">
        <f>SUM(C310:C313)</f>
        <v>0</v>
      </c>
      <c r="D315" s="82">
        <f>SUM(D308:D314)</f>
        <v>20000</v>
      </c>
      <c r="E315" s="82"/>
      <c r="F315" s="938">
        <f>SUM(E315/D315)</f>
        <v>0</v>
      </c>
      <c r="G315" s="188"/>
      <c r="H315" s="68"/>
      <c r="I315" s="68"/>
    </row>
    <row r="316" spans="1:9" ht="12" customHeight="1" thickBot="1">
      <c r="A316" s="86">
        <v>3300</v>
      </c>
      <c r="B316" s="63" t="s">
        <v>905</v>
      </c>
      <c r="C316" s="82">
        <f>SUM(C324+C333+C342+C351+C360+C378+C387+C396+C405+C423+C432+C459+C477+C486+C495+C512+C520+C528+C536+C544+C552+C560+C568+C576+C585+C593+C602+C610+C618+C626+C634)</f>
        <v>289137</v>
      </c>
      <c r="D316" s="82">
        <f>SUM(D324+D333+D342+D351+D360+D378+D387+D396+D405+D423+D432+D459+D477+D486+D495+D512+D520+D528+D536+D544+D552+D560+D568+D576+D585+D593+D602+D610+D618+D626+D634+D369+D414+D441+D468+D450+D504+D642)</f>
        <v>534801</v>
      </c>
      <c r="E316" s="82">
        <f>SUM(E324+E333+E342+E351+E360+E378+E387+E396+E405+E423+E432+E459+E477+E486+E495+E512+E520+E528+E536+E544+E552+E560+E568+E576+E585+E593+E602+E610+E618+E626+E634+E369+E414+E441+E468+E450+E504+E642)</f>
        <v>502910</v>
      </c>
      <c r="F316" s="938">
        <f>SUM(E316/D316)</f>
        <v>0.9403684735069681</v>
      </c>
      <c r="G316" s="195"/>
      <c r="H316" s="68"/>
      <c r="I316" s="68"/>
    </row>
    <row r="317" spans="1:9" ht="12" customHeight="1">
      <c r="A317" s="86">
        <v>3301</v>
      </c>
      <c r="B317" s="108" t="s">
        <v>989</v>
      </c>
      <c r="C317" s="89"/>
      <c r="D317" s="89"/>
      <c r="E317" s="89"/>
      <c r="F317" s="582"/>
      <c r="G317" s="4" t="s">
        <v>1065</v>
      </c>
      <c r="H317" s="68"/>
      <c r="I317" s="68"/>
    </row>
    <row r="318" spans="1:9" ht="12" customHeight="1">
      <c r="A318" s="15"/>
      <c r="B318" s="71" t="s">
        <v>899</v>
      </c>
      <c r="C318" s="47"/>
      <c r="D318" s="166">
        <v>10</v>
      </c>
      <c r="E318" s="166">
        <v>10</v>
      </c>
      <c r="F318" s="933">
        <f>SUM(E318/D318)</f>
        <v>1</v>
      </c>
      <c r="G318" s="186"/>
      <c r="H318" s="68"/>
      <c r="I318" s="68"/>
    </row>
    <row r="319" spans="1:9" ht="12" customHeight="1">
      <c r="A319" s="15"/>
      <c r="B319" s="7" t="s">
        <v>1141</v>
      </c>
      <c r="C319" s="47"/>
      <c r="D319" s="166">
        <v>16</v>
      </c>
      <c r="E319" s="166">
        <v>16</v>
      </c>
      <c r="F319" s="933">
        <f>SUM(E319/D319)</f>
        <v>1</v>
      </c>
      <c r="G319" s="227"/>
      <c r="H319" s="68"/>
      <c r="I319" s="68"/>
    </row>
    <row r="320" spans="1:9" ht="12" customHeight="1">
      <c r="A320" s="86"/>
      <c r="B320" s="85" t="s">
        <v>1102</v>
      </c>
      <c r="C320" s="77"/>
      <c r="D320" s="77">
        <v>7574</v>
      </c>
      <c r="E320" s="77">
        <v>2884</v>
      </c>
      <c r="F320" s="933">
        <f>SUM(E320/D320)</f>
        <v>0.3807763401109057</v>
      </c>
      <c r="G320" s="227"/>
      <c r="H320" s="68"/>
      <c r="I320" s="68"/>
    </row>
    <row r="321" spans="1:9" ht="12" customHeight="1">
      <c r="A321" s="15"/>
      <c r="B321" s="10" t="s">
        <v>1116</v>
      </c>
      <c r="C321" s="166">
        <v>7600</v>
      </c>
      <c r="D321" s="166"/>
      <c r="E321" s="166"/>
      <c r="F321" s="573"/>
      <c r="G321" s="192"/>
      <c r="H321" s="68"/>
      <c r="I321" s="68"/>
    </row>
    <row r="322" spans="1:9" ht="12" customHeight="1">
      <c r="A322" s="15"/>
      <c r="B322" s="10" t="s">
        <v>914</v>
      </c>
      <c r="C322" s="47"/>
      <c r="D322" s="47"/>
      <c r="E322" s="47"/>
      <c r="F322" s="573"/>
      <c r="G322" s="5"/>
      <c r="H322" s="68"/>
      <c r="I322" s="68"/>
    </row>
    <row r="323" spans="1:9" ht="12" customHeight="1" thickBot="1">
      <c r="A323" s="15"/>
      <c r="B323" s="74" t="s">
        <v>1103</v>
      </c>
      <c r="C323" s="47"/>
      <c r="D323" s="47"/>
      <c r="E323" s="104"/>
      <c r="F323" s="940"/>
      <c r="G323" s="190"/>
      <c r="H323" s="68"/>
      <c r="I323" s="68"/>
    </row>
    <row r="324" spans="1:9" ht="12.75" thickBot="1">
      <c r="A324" s="52"/>
      <c r="B324" s="63" t="s">
        <v>1095</v>
      </c>
      <c r="C324" s="82">
        <f>SUM(C318:C323)</f>
        <v>7600</v>
      </c>
      <c r="D324" s="82">
        <f>SUM(D318:D323)</f>
        <v>7600</v>
      </c>
      <c r="E324" s="82">
        <f>SUM(E318:E323)</f>
        <v>2910</v>
      </c>
      <c r="F324" s="938">
        <f>SUM(E324/D324)</f>
        <v>0.3828947368421053</v>
      </c>
      <c r="G324" s="188"/>
      <c r="H324" s="68"/>
      <c r="I324" s="68"/>
    </row>
    <row r="325" spans="1:9" ht="12.75">
      <c r="A325" s="86">
        <v>3303</v>
      </c>
      <c r="B325" s="98" t="s">
        <v>1070</v>
      </c>
      <c r="C325" s="89"/>
      <c r="D325" s="89"/>
      <c r="E325" s="89"/>
      <c r="F325" s="582"/>
      <c r="G325" s="196"/>
      <c r="H325" s="68"/>
      <c r="I325" s="68"/>
    </row>
    <row r="326" spans="1:9" ht="12" customHeight="1">
      <c r="A326" s="84"/>
      <c r="B326" s="71" t="s">
        <v>899</v>
      </c>
      <c r="C326" s="77"/>
      <c r="D326" s="77"/>
      <c r="E326" s="77"/>
      <c r="F326" s="573"/>
      <c r="G326" s="191"/>
      <c r="H326" s="68"/>
      <c r="I326" s="68"/>
    </row>
    <row r="327" spans="1:9" ht="12" customHeight="1">
      <c r="A327" s="84"/>
      <c r="B327" s="7" t="s">
        <v>1141</v>
      </c>
      <c r="C327" s="77"/>
      <c r="D327" s="77"/>
      <c r="E327" s="77"/>
      <c r="F327" s="573"/>
      <c r="G327" s="191"/>
      <c r="H327" s="68"/>
      <c r="I327" s="68"/>
    </row>
    <row r="328" spans="1:9" ht="12" customHeight="1">
      <c r="A328" s="84"/>
      <c r="B328" s="85" t="s">
        <v>1102</v>
      </c>
      <c r="C328" s="77"/>
      <c r="D328" s="77">
        <v>527</v>
      </c>
      <c r="E328" s="77">
        <v>527</v>
      </c>
      <c r="F328" s="933">
        <f>SUM(E328/D328)</f>
        <v>1</v>
      </c>
      <c r="G328" s="191"/>
      <c r="H328" s="68"/>
      <c r="I328" s="68"/>
    </row>
    <row r="329" spans="1:9" ht="12" customHeight="1">
      <c r="A329" s="84"/>
      <c r="B329" s="10" t="s">
        <v>1116</v>
      </c>
      <c r="C329" s="267"/>
      <c r="D329" s="267"/>
      <c r="E329" s="267"/>
      <c r="F329" s="933"/>
      <c r="G329" s="191"/>
      <c r="H329" s="68"/>
      <c r="I329" s="68"/>
    </row>
    <row r="330" spans="1:9" ht="12" customHeight="1">
      <c r="A330" s="70"/>
      <c r="B330" s="10" t="s">
        <v>914</v>
      </c>
      <c r="C330" s="77"/>
      <c r="D330" s="77"/>
      <c r="E330" s="77"/>
      <c r="F330" s="933"/>
      <c r="G330" s="197"/>
      <c r="H330" s="68"/>
      <c r="I330" s="68"/>
    </row>
    <row r="331" spans="1:9" ht="12" customHeight="1">
      <c r="A331" s="70"/>
      <c r="B331" s="10" t="s">
        <v>1382</v>
      </c>
      <c r="C331" s="77">
        <v>1250</v>
      </c>
      <c r="D331" s="77">
        <v>35719</v>
      </c>
      <c r="E331" s="77">
        <v>35719</v>
      </c>
      <c r="F331" s="933">
        <f>SUM(E331/D331)</f>
        <v>1</v>
      </c>
      <c r="G331" s="197"/>
      <c r="H331" s="68"/>
      <c r="I331" s="68"/>
    </row>
    <row r="332" spans="1:9" ht="12" customHeight="1" thickBot="1">
      <c r="A332" s="70"/>
      <c r="B332" s="74" t="s">
        <v>1103</v>
      </c>
      <c r="C332" s="77"/>
      <c r="D332" s="77"/>
      <c r="E332" s="78"/>
      <c r="F332" s="940"/>
      <c r="G332" s="30"/>
      <c r="H332" s="68"/>
      <c r="I332" s="68"/>
    </row>
    <row r="333" spans="1:9" ht="12" customHeight="1" thickBot="1">
      <c r="A333" s="52"/>
      <c r="B333" s="57" t="s">
        <v>1095</v>
      </c>
      <c r="C333" s="82">
        <f>SUM(C326:C332)</f>
        <v>1250</v>
      </c>
      <c r="D333" s="82">
        <f>SUM(D326:D332)</f>
        <v>36246</v>
      </c>
      <c r="E333" s="82">
        <f>SUM(E326:E332)</f>
        <v>36246</v>
      </c>
      <c r="F333" s="938">
        <f>SUM(E333/D333)</f>
        <v>1</v>
      </c>
      <c r="G333" s="125"/>
      <c r="H333" s="68"/>
      <c r="I333" s="68"/>
    </row>
    <row r="334" spans="1:9" ht="12" customHeight="1">
      <c r="A334" s="15">
        <v>3304</v>
      </c>
      <c r="B334" s="103" t="s">
        <v>1071</v>
      </c>
      <c r="C334" s="89"/>
      <c r="D334" s="89"/>
      <c r="E334" s="89"/>
      <c r="F334" s="582"/>
      <c r="G334" s="196"/>
      <c r="H334" s="68"/>
      <c r="I334" s="68"/>
    </row>
    <row r="335" spans="1:9" ht="12" customHeight="1">
      <c r="A335" s="70"/>
      <c r="B335" s="71" t="s">
        <v>899</v>
      </c>
      <c r="C335" s="77"/>
      <c r="D335" s="77"/>
      <c r="E335" s="77"/>
      <c r="F335" s="573"/>
      <c r="G335" s="191"/>
      <c r="H335" s="68"/>
      <c r="I335" s="68"/>
    </row>
    <row r="336" spans="1:9" ht="12" customHeight="1">
      <c r="A336" s="70"/>
      <c r="B336" s="7" t="s">
        <v>1141</v>
      </c>
      <c r="C336" s="77"/>
      <c r="D336" s="77"/>
      <c r="E336" s="77"/>
      <c r="F336" s="573"/>
      <c r="G336" s="224"/>
      <c r="H336" s="68"/>
      <c r="I336" s="68"/>
    </row>
    <row r="337" spans="1:9" ht="12" customHeight="1">
      <c r="A337" s="70"/>
      <c r="B337" s="85" t="s">
        <v>1102</v>
      </c>
      <c r="C337" s="77"/>
      <c r="D337" s="77">
        <v>402</v>
      </c>
      <c r="E337" s="77">
        <v>402</v>
      </c>
      <c r="F337" s="933">
        <f>SUM(E337/D337)</f>
        <v>1</v>
      </c>
      <c r="G337" s="224"/>
      <c r="H337" s="68"/>
      <c r="I337" s="68"/>
    </row>
    <row r="338" spans="1:9" ht="12" customHeight="1">
      <c r="A338" s="70"/>
      <c r="B338" s="10" t="s">
        <v>1116</v>
      </c>
      <c r="C338" s="267"/>
      <c r="D338" s="267"/>
      <c r="E338" s="267"/>
      <c r="F338" s="573"/>
      <c r="G338" s="191"/>
      <c r="H338" s="68"/>
      <c r="I338" s="68"/>
    </row>
    <row r="339" spans="1:9" ht="12" customHeight="1">
      <c r="A339" s="70"/>
      <c r="B339" s="10" t="s">
        <v>914</v>
      </c>
      <c r="C339" s="77"/>
      <c r="D339" s="77"/>
      <c r="E339" s="77"/>
      <c r="F339" s="573"/>
      <c r="G339" s="197"/>
      <c r="H339" s="68"/>
      <c r="I339" s="68"/>
    </row>
    <row r="340" spans="1:9" ht="12" customHeight="1">
      <c r="A340" s="70"/>
      <c r="B340" s="10" t="s">
        <v>1382</v>
      </c>
      <c r="C340" s="77">
        <v>3900</v>
      </c>
      <c r="D340" s="77">
        <v>26283</v>
      </c>
      <c r="E340" s="77">
        <v>23371</v>
      </c>
      <c r="F340" s="933">
        <f>SUM(E340/D340)</f>
        <v>0.8892059506144656</v>
      </c>
      <c r="G340" s="197"/>
      <c r="H340" s="68"/>
      <c r="I340" s="68"/>
    </row>
    <row r="341" spans="1:9" ht="12" customHeight="1" thickBot="1">
      <c r="A341" s="70"/>
      <c r="B341" s="74" t="s">
        <v>1103</v>
      </c>
      <c r="C341" s="77"/>
      <c r="D341" s="77"/>
      <c r="E341" s="78"/>
      <c r="F341" s="940"/>
      <c r="G341" s="30"/>
      <c r="H341" s="68"/>
      <c r="I341" s="68"/>
    </row>
    <row r="342" spans="1:9" ht="12" customHeight="1" thickBot="1">
      <c r="A342" s="52"/>
      <c r="B342" s="57" t="s">
        <v>1095</v>
      </c>
      <c r="C342" s="82">
        <f>SUM(C335:C341)</f>
        <v>3900</v>
      </c>
      <c r="D342" s="82">
        <f>SUM(D335:D341)</f>
        <v>26685</v>
      </c>
      <c r="E342" s="82">
        <f>SUM(E335:E341)</f>
        <v>23773</v>
      </c>
      <c r="F342" s="938">
        <f>SUM(E342/D342)</f>
        <v>0.8908750234213978</v>
      </c>
      <c r="G342" s="125"/>
      <c r="H342" s="68"/>
      <c r="I342" s="68"/>
    </row>
    <row r="343" spans="1:9" ht="12" customHeight="1">
      <c r="A343" s="15">
        <v>3305</v>
      </c>
      <c r="B343" s="103" t="s">
        <v>962</v>
      </c>
      <c r="C343" s="89"/>
      <c r="D343" s="89"/>
      <c r="E343" s="89"/>
      <c r="F343" s="582"/>
      <c r="G343" s="196"/>
      <c r="H343" s="68"/>
      <c r="I343" s="68"/>
    </row>
    <row r="344" spans="1:9" ht="12" customHeight="1">
      <c r="A344" s="70"/>
      <c r="B344" s="71" t="s">
        <v>899</v>
      </c>
      <c r="C344" s="77"/>
      <c r="D344" s="77"/>
      <c r="E344" s="77"/>
      <c r="F344" s="573"/>
      <c r="G344" s="191"/>
      <c r="H344" s="68"/>
      <c r="I344" s="68"/>
    </row>
    <row r="345" spans="1:9" ht="12" customHeight="1">
      <c r="A345" s="70"/>
      <c r="B345" s="7" t="s">
        <v>1141</v>
      </c>
      <c r="C345" s="77"/>
      <c r="D345" s="77"/>
      <c r="E345" s="77"/>
      <c r="F345" s="573"/>
      <c r="G345" s="191"/>
      <c r="H345" s="68"/>
      <c r="I345" s="68"/>
    </row>
    <row r="346" spans="1:9" ht="12" customHeight="1">
      <c r="A346" s="70"/>
      <c r="B346" s="85" t="s">
        <v>1102</v>
      </c>
      <c r="C346" s="77"/>
      <c r="D346" s="77">
        <v>61</v>
      </c>
      <c r="E346" s="77">
        <v>61</v>
      </c>
      <c r="F346" s="933">
        <f>SUM(E346/D346)</f>
        <v>1</v>
      </c>
      <c r="G346" s="191"/>
      <c r="H346" s="68"/>
      <c r="I346" s="68"/>
    </row>
    <row r="347" spans="1:9" ht="12" customHeight="1">
      <c r="A347" s="70"/>
      <c r="B347" s="10" t="s">
        <v>1116</v>
      </c>
      <c r="C347" s="267"/>
      <c r="D347" s="267"/>
      <c r="E347" s="267"/>
      <c r="F347" s="933"/>
      <c r="G347" s="191"/>
      <c r="H347" s="68"/>
      <c r="I347" s="68"/>
    </row>
    <row r="348" spans="1:9" ht="12" customHeight="1">
      <c r="A348" s="70"/>
      <c r="B348" s="10" t="s">
        <v>914</v>
      </c>
      <c r="C348" s="77"/>
      <c r="D348" s="77"/>
      <c r="E348" s="77"/>
      <c r="F348" s="933"/>
      <c r="G348" s="197"/>
      <c r="H348" s="68"/>
      <c r="I348" s="68"/>
    </row>
    <row r="349" spans="1:9" ht="12" customHeight="1">
      <c r="A349" s="70"/>
      <c r="B349" s="10" t="s">
        <v>1382</v>
      </c>
      <c r="C349" s="77">
        <v>290</v>
      </c>
      <c r="D349" s="77">
        <v>3463</v>
      </c>
      <c r="E349" s="77">
        <v>3463</v>
      </c>
      <c r="F349" s="933">
        <f>SUM(E349/D349)</f>
        <v>1</v>
      </c>
      <c r="G349" s="197"/>
      <c r="H349" s="68"/>
      <c r="I349" s="68"/>
    </row>
    <row r="350" spans="1:9" ht="12" customHeight="1" thickBot="1">
      <c r="A350" s="70"/>
      <c r="B350" s="74" t="s">
        <v>1103</v>
      </c>
      <c r="C350" s="77"/>
      <c r="D350" s="77"/>
      <c r="E350" s="78"/>
      <c r="F350" s="940"/>
      <c r="G350" s="30"/>
      <c r="H350" s="68"/>
      <c r="I350" s="68"/>
    </row>
    <row r="351" spans="1:9" ht="12" customHeight="1" thickBot="1">
      <c r="A351" s="52"/>
      <c r="B351" s="57" t="s">
        <v>1095</v>
      </c>
      <c r="C351" s="82">
        <f>SUM(C344:C350)</f>
        <v>290</v>
      </c>
      <c r="D351" s="82">
        <f>SUM(D344:D350)</f>
        <v>3524</v>
      </c>
      <c r="E351" s="82">
        <f>SUM(E344:E350)</f>
        <v>3524</v>
      </c>
      <c r="F351" s="938">
        <f>SUM(E351/D351)</f>
        <v>1</v>
      </c>
      <c r="G351" s="188"/>
      <c r="H351" s="68"/>
      <c r="I351" s="68"/>
    </row>
    <row r="352" spans="1:9" ht="12" customHeight="1">
      <c r="A352" s="69">
        <v>3306</v>
      </c>
      <c r="B352" s="98" t="s">
        <v>963</v>
      </c>
      <c r="C352" s="99"/>
      <c r="D352" s="99"/>
      <c r="E352" s="89"/>
      <c r="F352" s="582"/>
      <c r="G352" s="4"/>
      <c r="H352" s="68"/>
      <c r="I352" s="68"/>
    </row>
    <row r="353" spans="1:9" ht="12" customHeight="1">
      <c r="A353" s="70"/>
      <c r="B353" s="71" t="s">
        <v>899</v>
      </c>
      <c r="C353" s="77"/>
      <c r="D353" s="77"/>
      <c r="E353" s="77"/>
      <c r="F353" s="573"/>
      <c r="G353" s="5"/>
      <c r="H353" s="68"/>
      <c r="I353" s="68"/>
    </row>
    <row r="354" spans="1:9" ht="12" customHeight="1">
      <c r="A354" s="70"/>
      <c r="B354" s="7" t="s">
        <v>1141</v>
      </c>
      <c r="C354" s="267">
        <v>5050</v>
      </c>
      <c r="D354" s="267">
        <v>1454</v>
      </c>
      <c r="E354" s="267">
        <v>1454</v>
      </c>
      <c r="F354" s="933">
        <f>SUM(E354/D354)</f>
        <v>1</v>
      </c>
      <c r="G354" s="224"/>
      <c r="H354" s="68"/>
      <c r="I354" s="68"/>
    </row>
    <row r="355" spans="1:9" ht="12" customHeight="1">
      <c r="A355" s="70"/>
      <c r="B355" s="85" t="s">
        <v>1102</v>
      </c>
      <c r="C355" s="267"/>
      <c r="D355" s="267">
        <v>1550</v>
      </c>
      <c r="E355" s="267">
        <v>1550</v>
      </c>
      <c r="F355" s="933">
        <f>SUM(E355/D355)</f>
        <v>1</v>
      </c>
      <c r="G355" s="224"/>
      <c r="H355" s="68"/>
      <c r="I355" s="68"/>
    </row>
    <row r="356" spans="1:9" ht="12" customHeight="1">
      <c r="A356" s="70"/>
      <c r="B356" s="10" t="s">
        <v>1116</v>
      </c>
      <c r="C356" s="267"/>
      <c r="D356" s="267"/>
      <c r="E356" s="267"/>
      <c r="F356" s="933"/>
      <c r="G356" s="5"/>
      <c r="H356" s="68"/>
      <c r="I356" s="68"/>
    </row>
    <row r="357" spans="1:9" ht="12" customHeight="1">
      <c r="A357" s="70"/>
      <c r="B357" s="10" t="s">
        <v>914</v>
      </c>
      <c r="C357" s="77"/>
      <c r="D357" s="77"/>
      <c r="E357" s="77"/>
      <c r="F357" s="933"/>
      <c r="G357" s="5"/>
      <c r="H357" s="68"/>
      <c r="I357" s="68"/>
    </row>
    <row r="358" spans="1:9" ht="12" customHeight="1">
      <c r="A358" s="70"/>
      <c r="B358" s="10" t="s">
        <v>1382</v>
      </c>
      <c r="C358" s="77">
        <v>18700</v>
      </c>
      <c r="D358" s="77">
        <v>79121</v>
      </c>
      <c r="E358" s="77">
        <v>79120</v>
      </c>
      <c r="F358" s="933">
        <f>SUM(E358/D358)</f>
        <v>0.9999873611304205</v>
      </c>
      <c r="G358" s="5"/>
      <c r="H358" s="68"/>
      <c r="I358" s="68"/>
    </row>
    <row r="359" spans="1:9" ht="12" customHeight="1" thickBot="1">
      <c r="A359" s="70"/>
      <c r="B359" s="74" t="s">
        <v>1103</v>
      </c>
      <c r="C359" s="77"/>
      <c r="D359" s="77"/>
      <c r="E359" s="78"/>
      <c r="F359" s="940"/>
      <c r="G359" s="30"/>
      <c r="H359" s="68"/>
      <c r="I359" s="68"/>
    </row>
    <row r="360" spans="1:9" ht="12" customHeight="1" thickBot="1">
      <c r="A360" s="52"/>
      <c r="B360" s="57" t="s">
        <v>1095</v>
      </c>
      <c r="C360" s="82">
        <f>SUM(C353:C359)</f>
        <v>23750</v>
      </c>
      <c r="D360" s="82">
        <f>SUM(D353:D359)</f>
        <v>82125</v>
      </c>
      <c r="E360" s="82">
        <f>SUM(E353:E359)</f>
        <v>82124</v>
      </c>
      <c r="F360" s="938">
        <f>SUM(E360/D360)</f>
        <v>0.9999878234398782</v>
      </c>
      <c r="G360" s="188"/>
      <c r="H360" s="68"/>
      <c r="I360" s="68"/>
    </row>
    <row r="361" spans="1:9" ht="12" customHeight="1">
      <c r="A361" s="69">
        <v>3307</v>
      </c>
      <c r="B361" s="98" t="s">
        <v>201</v>
      </c>
      <c r="C361" s="99"/>
      <c r="D361" s="99"/>
      <c r="E361" s="89"/>
      <c r="F361" s="582"/>
      <c r="G361" s="4"/>
      <c r="H361" s="68"/>
      <c r="I361" s="68"/>
    </row>
    <row r="362" spans="1:9" ht="12" customHeight="1">
      <c r="A362" s="70"/>
      <c r="B362" s="71" t="s">
        <v>899</v>
      </c>
      <c r="C362" s="77"/>
      <c r="D362" s="77"/>
      <c r="E362" s="77"/>
      <c r="F362" s="573"/>
      <c r="G362" s="5"/>
      <c r="H362" s="68"/>
      <c r="I362" s="68"/>
    </row>
    <row r="363" spans="1:9" ht="12" customHeight="1">
      <c r="A363" s="70"/>
      <c r="B363" s="7" t="s">
        <v>1141</v>
      </c>
      <c r="C363" s="267"/>
      <c r="D363" s="267"/>
      <c r="E363" s="267"/>
      <c r="F363" s="573"/>
      <c r="G363" s="224"/>
      <c r="H363" s="68"/>
      <c r="I363" s="68"/>
    </row>
    <row r="364" spans="1:9" ht="12" customHeight="1">
      <c r="A364" s="70"/>
      <c r="B364" s="85" t="s">
        <v>1102</v>
      </c>
      <c r="C364" s="267"/>
      <c r="D364" s="267">
        <v>72</v>
      </c>
      <c r="E364" s="267">
        <v>72</v>
      </c>
      <c r="F364" s="933">
        <f>SUM(E364/D364)</f>
        <v>1</v>
      </c>
      <c r="G364" s="224"/>
      <c r="H364" s="68"/>
      <c r="I364" s="68"/>
    </row>
    <row r="365" spans="1:9" ht="12" customHeight="1">
      <c r="A365" s="70"/>
      <c r="B365" s="10" t="s">
        <v>1116</v>
      </c>
      <c r="C365" s="267"/>
      <c r="D365" s="267"/>
      <c r="E365" s="267"/>
      <c r="F365" s="933"/>
      <c r="G365" s="5"/>
      <c r="H365" s="68"/>
      <c r="I365" s="68"/>
    </row>
    <row r="366" spans="1:9" ht="12" customHeight="1">
      <c r="A366" s="70"/>
      <c r="B366" s="10" t="s">
        <v>914</v>
      </c>
      <c r="C366" s="77"/>
      <c r="D366" s="77"/>
      <c r="E366" s="77"/>
      <c r="F366" s="933"/>
      <c r="G366" s="5"/>
      <c r="H366" s="68"/>
      <c r="I366" s="68"/>
    </row>
    <row r="367" spans="1:9" ht="12" customHeight="1">
      <c r="A367" s="70"/>
      <c r="B367" s="10" t="s">
        <v>1382</v>
      </c>
      <c r="C367" s="77"/>
      <c r="D367" s="77">
        <v>6391</v>
      </c>
      <c r="E367" s="77">
        <v>6391</v>
      </c>
      <c r="F367" s="933">
        <f>SUM(E367/D367)</f>
        <v>1</v>
      </c>
      <c r="G367" s="5"/>
      <c r="H367" s="68"/>
      <c r="I367" s="68"/>
    </row>
    <row r="368" spans="1:9" ht="12" customHeight="1" thickBot="1">
      <c r="A368" s="70"/>
      <c r="B368" s="74" t="s">
        <v>1103</v>
      </c>
      <c r="C368" s="77"/>
      <c r="D368" s="77"/>
      <c r="E368" s="78"/>
      <c r="F368" s="937"/>
      <c r="G368" s="30"/>
      <c r="H368" s="68"/>
      <c r="I368" s="68"/>
    </row>
    <row r="369" spans="1:9" ht="12" customHeight="1" thickBot="1">
      <c r="A369" s="52"/>
      <c r="B369" s="57" t="s">
        <v>1095</v>
      </c>
      <c r="C369" s="82">
        <f>SUM(C362:C368)</f>
        <v>0</v>
      </c>
      <c r="D369" s="82">
        <f>SUM(D362:D368)</f>
        <v>6463</v>
      </c>
      <c r="E369" s="82">
        <f>SUM(E362:E368)</f>
        <v>6463</v>
      </c>
      <c r="F369" s="938">
        <f>SUM(E369/D369)</f>
        <v>1</v>
      </c>
      <c r="G369" s="188"/>
      <c r="H369" s="68"/>
      <c r="I369" s="68"/>
    </row>
    <row r="370" spans="1:9" ht="12" customHeight="1">
      <c r="A370" s="15">
        <v>3308</v>
      </c>
      <c r="B370" s="98" t="s">
        <v>1084</v>
      </c>
      <c r="C370" s="99"/>
      <c r="D370" s="99"/>
      <c r="E370" s="89"/>
      <c r="F370" s="582"/>
      <c r="G370" s="4"/>
      <c r="H370" s="68"/>
      <c r="I370" s="68"/>
    </row>
    <row r="371" spans="1:9" ht="12" customHeight="1">
      <c r="A371" s="15"/>
      <c r="B371" s="71" t="s">
        <v>899</v>
      </c>
      <c r="C371" s="89"/>
      <c r="D371" s="89"/>
      <c r="E371" s="89"/>
      <c r="F371" s="573"/>
      <c r="G371" s="5"/>
      <c r="H371" s="68"/>
      <c r="I371" s="68"/>
    </row>
    <row r="372" spans="1:9" ht="12" customHeight="1">
      <c r="A372" s="15"/>
      <c r="B372" s="7" t="s">
        <v>1141</v>
      </c>
      <c r="C372" s="47"/>
      <c r="D372" s="47"/>
      <c r="E372" s="47"/>
      <c r="F372" s="573"/>
      <c r="G372" s="224"/>
      <c r="H372" s="68"/>
      <c r="I372" s="68"/>
    </row>
    <row r="373" spans="1:9" ht="12" customHeight="1">
      <c r="A373" s="15"/>
      <c r="B373" s="85" t="s">
        <v>1102</v>
      </c>
      <c r="C373" s="47"/>
      <c r="D373" s="166">
        <v>1845</v>
      </c>
      <c r="E373" s="166">
        <v>1845</v>
      </c>
      <c r="F373" s="933">
        <f>SUM(E373/D373)</f>
        <v>1</v>
      </c>
      <c r="G373" s="224"/>
      <c r="H373" s="68"/>
      <c r="I373" s="68"/>
    </row>
    <row r="374" spans="1:9" ht="12" customHeight="1">
      <c r="A374" s="15"/>
      <c r="B374" s="10" t="s">
        <v>1116</v>
      </c>
      <c r="C374" s="166"/>
      <c r="D374" s="166"/>
      <c r="E374" s="166"/>
      <c r="F374" s="933"/>
      <c r="G374" s="225"/>
      <c r="H374" s="68"/>
      <c r="I374" s="68"/>
    </row>
    <row r="375" spans="1:9" ht="12" customHeight="1">
      <c r="A375" s="15"/>
      <c r="B375" s="10" t="s">
        <v>914</v>
      </c>
      <c r="C375" s="47"/>
      <c r="D375" s="47"/>
      <c r="E375" s="47"/>
      <c r="F375" s="933"/>
      <c r="G375" s="5"/>
      <c r="H375" s="68"/>
      <c r="I375" s="68"/>
    </row>
    <row r="376" spans="1:9" ht="12" customHeight="1">
      <c r="A376" s="15"/>
      <c r="B376" s="10" t="s">
        <v>1382</v>
      </c>
      <c r="C376" s="160">
        <v>22000</v>
      </c>
      <c r="D376" s="160">
        <v>128292</v>
      </c>
      <c r="E376" s="160">
        <v>128292</v>
      </c>
      <c r="F376" s="933">
        <f>SUM(E376/D376)</f>
        <v>1</v>
      </c>
      <c r="G376" s="2"/>
      <c r="H376" s="68"/>
      <c r="I376" s="68"/>
    </row>
    <row r="377" spans="1:9" ht="12" customHeight="1" thickBot="1">
      <c r="A377" s="15"/>
      <c r="B377" s="74" t="s">
        <v>1103</v>
      </c>
      <c r="C377" s="48"/>
      <c r="D377" s="48"/>
      <c r="E377" s="48"/>
      <c r="F377" s="937"/>
      <c r="G377" s="189"/>
      <c r="H377" s="68"/>
      <c r="I377" s="68"/>
    </row>
    <row r="378" spans="1:9" ht="12" customHeight="1" thickBot="1">
      <c r="A378" s="52"/>
      <c r="B378" s="57" t="s">
        <v>1095</v>
      </c>
      <c r="C378" s="82">
        <f>SUM(C374:C377)</f>
        <v>22000</v>
      </c>
      <c r="D378" s="82">
        <f>SUM(D371:D377)</f>
        <v>130137</v>
      </c>
      <c r="E378" s="82">
        <f>SUM(E371:E377)</f>
        <v>130137</v>
      </c>
      <c r="F378" s="938">
        <f>SUM(E378/D378)</f>
        <v>1</v>
      </c>
      <c r="G378" s="30"/>
      <c r="H378" s="68"/>
      <c r="I378" s="68"/>
    </row>
    <row r="379" spans="1:9" ht="12" customHeight="1">
      <c r="A379" s="15">
        <v>3309</v>
      </c>
      <c r="B379" s="98" t="s">
        <v>1085</v>
      </c>
      <c r="C379" s="89"/>
      <c r="D379" s="89"/>
      <c r="E379" s="89"/>
      <c r="F379" s="582"/>
      <c r="G379" s="186"/>
      <c r="H379" s="68"/>
      <c r="I379" s="68"/>
    </row>
    <row r="380" spans="1:9" ht="12" customHeight="1">
      <c r="A380" s="70"/>
      <c r="B380" s="71" t="s">
        <v>899</v>
      </c>
      <c r="C380" s="77"/>
      <c r="D380" s="77"/>
      <c r="E380" s="77"/>
      <c r="F380" s="573"/>
      <c r="G380" s="186"/>
      <c r="H380" s="68"/>
      <c r="I380" s="68"/>
    </row>
    <row r="381" spans="1:9" ht="12" customHeight="1">
      <c r="A381" s="70"/>
      <c r="B381" s="7" t="s">
        <v>1141</v>
      </c>
      <c r="C381" s="77"/>
      <c r="D381" s="77"/>
      <c r="E381" s="77"/>
      <c r="F381" s="573"/>
      <c r="G381" s="186"/>
      <c r="H381" s="68"/>
      <c r="I381" s="68"/>
    </row>
    <row r="382" spans="1:9" ht="12" customHeight="1">
      <c r="A382" s="70"/>
      <c r="B382" s="85" t="s">
        <v>1102</v>
      </c>
      <c r="C382" s="77"/>
      <c r="D382" s="77">
        <v>120</v>
      </c>
      <c r="E382" s="77">
        <v>120</v>
      </c>
      <c r="F382" s="933">
        <f>SUM(E382/D382)</f>
        <v>1</v>
      </c>
      <c r="G382" s="186"/>
      <c r="H382" s="68"/>
      <c r="I382" s="68"/>
    </row>
    <row r="383" spans="1:9" ht="12" customHeight="1">
      <c r="A383" s="70"/>
      <c r="B383" s="10" t="s">
        <v>1116</v>
      </c>
      <c r="C383" s="267"/>
      <c r="D383" s="267"/>
      <c r="E383" s="267"/>
      <c r="F383" s="933"/>
      <c r="G383" s="186"/>
      <c r="H383" s="68"/>
      <c r="I383" s="68"/>
    </row>
    <row r="384" spans="1:9" ht="12" customHeight="1">
      <c r="A384" s="70"/>
      <c r="B384" s="10" t="s">
        <v>914</v>
      </c>
      <c r="C384" s="77"/>
      <c r="D384" s="77"/>
      <c r="E384" s="77"/>
      <c r="F384" s="933"/>
      <c r="G384" s="192"/>
      <c r="H384" s="68"/>
      <c r="I384" s="68"/>
    </row>
    <row r="385" spans="1:9" ht="12" customHeight="1">
      <c r="A385" s="70"/>
      <c r="B385" s="10" t="s">
        <v>1382</v>
      </c>
      <c r="C385" s="77">
        <v>5100</v>
      </c>
      <c r="D385" s="77">
        <v>43670</v>
      </c>
      <c r="E385" s="77">
        <v>43325</v>
      </c>
      <c r="F385" s="933">
        <f>SUM(E385/D385)</f>
        <v>0.9920998397068926</v>
      </c>
      <c r="G385" s="192"/>
      <c r="H385" s="68"/>
      <c r="I385" s="68"/>
    </row>
    <row r="386" spans="1:9" ht="12" customHeight="1" thickBot="1">
      <c r="A386" s="70"/>
      <c r="B386" s="74" t="s">
        <v>1103</v>
      </c>
      <c r="C386" s="77"/>
      <c r="D386" s="77"/>
      <c r="E386" s="78"/>
      <c r="F386" s="937"/>
      <c r="G386" s="30"/>
      <c r="H386" s="68"/>
      <c r="I386" s="68"/>
    </row>
    <row r="387" spans="1:9" ht="12.75" customHeight="1" thickBot="1">
      <c r="A387" s="52"/>
      <c r="B387" s="57" t="s">
        <v>1095</v>
      </c>
      <c r="C387" s="82">
        <f>SUM(C380:C386)</f>
        <v>5100</v>
      </c>
      <c r="D387" s="82">
        <f>SUM(D380:D386)</f>
        <v>43790</v>
      </c>
      <c r="E387" s="82">
        <f>SUM(E380:E386)</f>
        <v>43445</v>
      </c>
      <c r="F387" s="938">
        <f>SUM(E387/D387)</f>
        <v>0.992121488924412</v>
      </c>
      <c r="G387" s="188"/>
      <c r="H387" s="68"/>
      <c r="I387" s="68"/>
    </row>
    <row r="388" spans="1:9" ht="12.75" customHeight="1">
      <c r="A388" s="15">
        <v>3310</v>
      </c>
      <c r="B388" s="98" t="s">
        <v>1086</v>
      </c>
      <c r="C388" s="89"/>
      <c r="D388" s="89"/>
      <c r="E388" s="89"/>
      <c r="F388" s="582"/>
      <c r="G388" s="186"/>
      <c r="H388" s="68"/>
      <c r="I388" s="68"/>
    </row>
    <row r="389" spans="1:9" ht="12.75" customHeight="1">
      <c r="A389" s="70"/>
      <c r="B389" s="71" t="s">
        <v>899</v>
      </c>
      <c r="C389" s="77"/>
      <c r="D389" s="77"/>
      <c r="E389" s="77"/>
      <c r="F389" s="573"/>
      <c r="G389" s="186"/>
      <c r="H389" s="68"/>
      <c r="I389" s="68"/>
    </row>
    <row r="390" spans="1:9" ht="12.75" customHeight="1">
      <c r="A390" s="70"/>
      <c r="B390" s="7" t="s">
        <v>1141</v>
      </c>
      <c r="C390" s="77"/>
      <c r="D390" s="77"/>
      <c r="E390" s="77"/>
      <c r="F390" s="573"/>
      <c r="G390" s="186"/>
      <c r="H390" s="68"/>
      <c r="I390" s="68"/>
    </row>
    <row r="391" spans="1:9" ht="12.75" customHeight="1">
      <c r="A391" s="70"/>
      <c r="B391" s="85" t="s">
        <v>1102</v>
      </c>
      <c r="C391" s="77"/>
      <c r="D391" s="77">
        <v>141</v>
      </c>
      <c r="E391" s="77">
        <v>141</v>
      </c>
      <c r="F391" s="933">
        <f>SUM(E391/D391)</f>
        <v>1</v>
      </c>
      <c r="G391" s="186"/>
      <c r="H391" s="68"/>
      <c r="I391" s="68"/>
    </row>
    <row r="392" spans="1:9" ht="12.75" customHeight="1">
      <c r="A392" s="70"/>
      <c r="B392" s="10" t="s">
        <v>1116</v>
      </c>
      <c r="C392" s="267"/>
      <c r="D392" s="267"/>
      <c r="E392" s="267"/>
      <c r="F392" s="933"/>
      <c r="G392" s="186"/>
      <c r="H392" s="68"/>
      <c r="I392" s="68"/>
    </row>
    <row r="393" spans="1:9" ht="12.75" customHeight="1">
      <c r="A393" s="70"/>
      <c r="B393" s="10" t="s">
        <v>914</v>
      </c>
      <c r="C393" s="77"/>
      <c r="D393" s="77"/>
      <c r="E393" s="77"/>
      <c r="F393" s="933"/>
      <c r="G393" s="192"/>
      <c r="H393" s="68"/>
      <c r="I393" s="68"/>
    </row>
    <row r="394" spans="1:9" ht="12.75" customHeight="1">
      <c r="A394" s="70"/>
      <c r="B394" s="10" t="s">
        <v>1382</v>
      </c>
      <c r="C394" s="77">
        <v>6000</v>
      </c>
      <c r="D394" s="77">
        <v>6224</v>
      </c>
      <c r="E394" s="77">
        <v>6190</v>
      </c>
      <c r="F394" s="933">
        <f>SUM(E394/D394)</f>
        <v>0.9945372750642674</v>
      </c>
      <c r="G394" s="192"/>
      <c r="H394" s="68"/>
      <c r="I394" s="68"/>
    </row>
    <row r="395" spans="1:9" ht="12.75" customHeight="1" thickBot="1">
      <c r="A395" s="70"/>
      <c r="B395" s="74" t="s">
        <v>1103</v>
      </c>
      <c r="C395" s="77"/>
      <c r="D395" s="77"/>
      <c r="E395" s="78"/>
      <c r="F395" s="937"/>
      <c r="G395" s="30"/>
      <c r="H395" s="68"/>
      <c r="I395" s="68"/>
    </row>
    <row r="396" spans="1:9" ht="12.75" customHeight="1" thickBot="1">
      <c r="A396" s="52"/>
      <c r="B396" s="57" t="s">
        <v>1095</v>
      </c>
      <c r="C396" s="82">
        <f>SUM(C389:C395)</f>
        <v>6000</v>
      </c>
      <c r="D396" s="82">
        <f>SUM(D389:D395)</f>
        <v>6365</v>
      </c>
      <c r="E396" s="82">
        <f>SUM(E389:E395)</f>
        <v>6331</v>
      </c>
      <c r="F396" s="938">
        <f>SUM(E396/D396)</f>
        <v>0.9946582875098193</v>
      </c>
      <c r="G396" s="188"/>
      <c r="H396" s="68"/>
      <c r="I396" s="68"/>
    </row>
    <row r="397" spans="1:9" ht="12" customHeight="1">
      <c r="A397" s="15">
        <v>3311</v>
      </c>
      <c r="B397" s="98" t="s">
        <v>964</v>
      </c>
      <c r="C397" s="89"/>
      <c r="D397" s="89"/>
      <c r="E397" s="89"/>
      <c r="F397" s="582"/>
      <c r="G397" s="186"/>
      <c r="H397" s="68"/>
      <c r="I397" s="68"/>
    </row>
    <row r="398" spans="1:9" ht="12" customHeight="1">
      <c r="A398" s="70"/>
      <c r="B398" s="71" t="s">
        <v>899</v>
      </c>
      <c r="C398" s="77"/>
      <c r="D398" s="77"/>
      <c r="E398" s="77"/>
      <c r="F398" s="573"/>
      <c r="G398" s="186"/>
      <c r="H398" s="68"/>
      <c r="I398" s="68"/>
    </row>
    <row r="399" spans="1:9" ht="12" customHeight="1">
      <c r="A399" s="70"/>
      <c r="B399" s="7" t="s">
        <v>1141</v>
      </c>
      <c r="C399" s="77"/>
      <c r="D399" s="77"/>
      <c r="E399" s="77"/>
      <c r="F399" s="573"/>
      <c r="G399" s="186"/>
      <c r="H399" s="68"/>
      <c r="I399" s="68"/>
    </row>
    <row r="400" spans="1:9" ht="12" customHeight="1">
      <c r="A400" s="70"/>
      <c r="B400" s="85" t="s">
        <v>1102</v>
      </c>
      <c r="C400" s="77"/>
      <c r="D400" s="77"/>
      <c r="E400" s="77"/>
      <c r="F400" s="573"/>
      <c r="G400" s="186"/>
      <c r="H400" s="68"/>
      <c r="I400" s="68"/>
    </row>
    <row r="401" spans="1:9" ht="12" customHeight="1">
      <c r="A401" s="70"/>
      <c r="B401" s="10" t="s">
        <v>1116</v>
      </c>
      <c r="C401" s="267"/>
      <c r="D401" s="267"/>
      <c r="E401" s="267"/>
      <c r="F401" s="573"/>
      <c r="G401" s="186"/>
      <c r="H401" s="68"/>
      <c r="I401" s="68"/>
    </row>
    <row r="402" spans="1:9" ht="12" customHeight="1">
      <c r="A402" s="70"/>
      <c r="B402" s="10" t="s">
        <v>914</v>
      </c>
      <c r="C402" s="77"/>
      <c r="D402" s="77"/>
      <c r="E402" s="77"/>
      <c r="F402" s="573"/>
      <c r="G402" s="192"/>
      <c r="H402" s="68"/>
      <c r="I402" s="68"/>
    </row>
    <row r="403" spans="1:9" ht="12" customHeight="1">
      <c r="A403" s="70"/>
      <c r="B403" s="10" t="s">
        <v>1382</v>
      </c>
      <c r="C403" s="77">
        <v>47000</v>
      </c>
      <c r="D403" s="77">
        <v>18196</v>
      </c>
      <c r="E403" s="77">
        <v>18196</v>
      </c>
      <c r="F403" s="933">
        <f>SUM(E403/D403)</f>
        <v>1</v>
      </c>
      <c r="G403" s="192"/>
      <c r="H403" s="68"/>
      <c r="I403" s="68"/>
    </row>
    <row r="404" spans="1:9" ht="12" customHeight="1" thickBot="1">
      <c r="A404" s="70"/>
      <c r="B404" s="74" t="s">
        <v>1103</v>
      </c>
      <c r="C404" s="77"/>
      <c r="D404" s="77"/>
      <c r="E404" s="78"/>
      <c r="F404" s="940"/>
      <c r="G404" s="30"/>
      <c r="H404" s="68"/>
      <c r="I404" s="68"/>
    </row>
    <row r="405" spans="1:9" ht="12.75" thickBot="1">
      <c r="A405" s="52"/>
      <c r="B405" s="57" t="s">
        <v>1095</v>
      </c>
      <c r="C405" s="82">
        <f>SUM(C398:C404)</f>
        <v>47000</v>
      </c>
      <c r="D405" s="82">
        <f>SUM(D398:D404)</f>
        <v>18196</v>
      </c>
      <c r="E405" s="82">
        <f>SUM(E398:E404)</f>
        <v>18196</v>
      </c>
      <c r="F405" s="938">
        <f>SUM(E405/D405)</f>
        <v>1</v>
      </c>
      <c r="G405" s="188"/>
      <c r="H405" s="68"/>
      <c r="I405" s="68"/>
    </row>
    <row r="406" spans="1:9" ht="12">
      <c r="A406" s="15">
        <v>3312</v>
      </c>
      <c r="B406" s="98" t="s">
        <v>202</v>
      </c>
      <c r="C406" s="89"/>
      <c r="D406" s="89"/>
      <c r="E406" s="89"/>
      <c r="F406" s="582"/>
      <c r="G406" s="186"/>
      <c r="H406" s="68"/>
      <c r="I406" s="68"/>
    </row>
    <row r="407" spans="1:9" ht="12">
      <c r="A407" s="70"/>
      <c r="B407" s="71" t="s">
        <v>899</v>
      </c>
      <c r="C407" s="77"/>
      <c r="D407" s="77"/>
      <c r="E407" s="77"/>
      <c r="F407" s="573"/>
      <c r="G407" s="186"/>
      <c r="H407" s="68"/>
      <c r="I407" s="68"/>
    </row>
    <row r="408" spans="1:9" ht="12">
      <c r="A408" s="70"/>
      <c r="B408" s="7" t="s">
        <v>1141</v>
      </c>
      <c r="C408" s="77"/>
      <c r="D408" s="77"/>
      <c r="E408" s="77"/>
      <c r="F408" s="573"/>
      <c r="G408" s="186"/>
      <c r="H408" s="68"/>
      <c r="I408" s="68"/>
    </row>
    <row r="409" spans="1:9" ht="12">
      <c r="A409" s="70"/>
      <c r="B409" s="85" t="s">
        <v>1102</v>
      </c>
      <c r="C409" s="77"/>
      <c r="D409" s="77"/>
      <c r="E409" s="77"/>
      <c r="F409" s="573"/>
      <c r="G409" s="186"/>
      <c r="H409" s="68"/>
      <c r="I409" s="68"/>
    </row>
    <row r="410" spans="1:9" ht="12">
      <c r="A410" s="70"/>
      <c r="B410" s="10" t="s">
        <v>1116</v>
      </c>
      <c r="C410" s="267"/>
      <c r="D410" s="267"/>
      <c r="E410" s="267"/>
      <c r="F410" s="573"/>
      <c r="G410" s="186"/>
      <c r="H410" s="68"/>
      <c r="I410" s="68"/>
    </row>
    <row r="411" spans="1:9" ht="12">
      <c r="A411" s="70"/>
      <c r="B411" s="10" t="s">
        <v>914</v>
      </c>
      <c r="C411" s="77"/>
      <c r="D411" s="77"/>
      <c r="E411" s="77"/>
      <c r="F411" s="573"/>
      <c r="G411" s="192"/>
      <c r="H411" s="68"/>
      <c r="I411" s="68"/>
    </row>
    <row r="412" spans="1:9" ht="12">
      <c r="A412" s="70"/>
      <c r="B412" s="10" t="s">
        <v>1382</v>
      </c>
      <c r="C412" s="77"/>
      <c r="D412" s="77">
        <v>5536</v>
      </c>
      <c r="E412" s="77">
        <v>4932</v>
      </c>
      <c r="F412" s="933">
        <f>SUM(E412/D412)</f>
        <v>0.8908959537572254</v>
      </c>
      <c r="G412" s="192"/>
      <c r="H412" s="68"/>
      <c r="I412" s="68"/>
    </row>
    <row r="413" spans="1:9" ht="12.75" thickBot="1">
      <c r="A413" s="70"/>
      <c r="B413" s="74" t="s">
        <v>1103</v>
      </c>
      <c r="C413" s="77"/>
      <c r="D413" s="77"/>
      <c r="E413" s="78"/>
      <c r="F413" s="940"/>
      <c r="G413" s="30"/>
      <c r="H413" s="68"/>
      <c r="I413" s="68"/>
    </row>
    <row r="414" spans="1:9" ht="12.75" thickBot="1">
      <c r="A414" s="52"/>
      <c r="B414" s="57" t="s">
        <v>1095</v>
      </c>
      <c r="C414" s="82">
        <f>SUM(C407:C413)</f>
        <v>0</v>
      </c>
      <c r="D414" s="82">
        <f>SUM(D407:D413)</f>
        <v>5536</v>
      </c>
      <c r="E414" s="82">
        <f>SUM(E407:E413)</f>
        <v>4932</v>
      </c>
      <c r="F414" s="938">
        <f>SUM(E414/D414)</f>
        <v>0.8908959537572254</v>
      </c>
      <c r="G414" s="188"/>
      <c r="H414" s="68"/>
      <c r="I414" s="68"/>
    </row>
    <row r="415" spans="1:9" ht="12">
      <c r="A415" s="69">
        <v>3314</v>
      </c>
      <c r="B415" s="98" t="s">
        <v>965</v>
      </c>
      <c r="C415" s="89"/>
      <c r="D415" s="89"/>
      <c r="E415" s="89"/>
      <c r="F415" s="582"/>
      <c r="G415" s="186"/>
      <c r="H415" s="68"/>
      <c r="I415" s="68"/>
    </row>
    <row r="416" spans="1:9" ht="12" customHeight="1">
      <c r="A416" s="70"/>
      <c r="B416" s="71" t="s">
        <v>899</v>
      </c>
      <c r="C416" s="77"/>
      <c r="D416" s="77"/>
      <c r="E416" s="77"/>
      <c r="F416" s="573"/>
      <c r="G416" s="186"/>
      <c r="H416" s="68"/>
      <c r="I416" s="68"/>
    </row>
    <row r="417" spans="1:9" ht="12" customHeight="1">
      <c r="A417" s="70"/>
      <c r="B417" s="7" t="s">
        <v>1141</v>
      </c>
      <c r="C417" s="77"/>
      <c r="D417" s="77"/>
      <c r="E417" s="77"/>
      <c r="F417" s="573"/>
      <c r="G417" s="186"/>
      <c r="H417" s="68"/>
      <c r="I417" s="68"/>
    </row>
    <row r="418" spans="1:9" ht="12" customHeight="1">
      <c r="A418" s="70"/>
      <c r="B418" s="85" t="s">
        <v>1102</v>
      </c>
      <c r="C418" s="77"/>
      <c r="D418" s="77">
        <v>702</v>
      </c>
      <c r="E418" s="77">
        <v>702</v>
      </c>
      <c r="F418" s="933">
        <f>SUM(E418/D418)</f>
        <v>1</v>
      </c>
      <c r="G418" s="186"/>
      <c r="H418" s="68"/>
      <c r="I418" s="68"/>
    </row>
    <row r="419" spans="1:9" ht="12" customHeight="1">
      <c r="A419" s="70"/>
      <c r="B419" s="10" t="s">
        <v>1116</v>
      </c>
      <c r="C419" s="267"/>
      <c r="D419" s="267"/>
      <c r="E419" s="267"/>
      <c r="F419" s="933"/>
      <c r="G419" s="186"/>
      <c r="H419" s="68"/>
      <c r="I419" s="68"/>
    </row>
    <row r="420" spans="1:9" ht="12" customHeight="1">
      <c r="A420" s="70"/>
      <c r="B420" s="10" t="s">
        <v>914</v>
      </c>
      <c r="C420" s="77"/>
      <c r="D420" s="77"/>
      <c r="E420" s="77"/>
      <c r="F420" s="933"/>
      <c r="G420" s="192"/>
      <c r="H420" s="68"/>
      <c r="I420" s="68"/>
    </row>
    <row r="421" spans="1:9" ht="12" customHeight="1">
      <c r="A421" s="70"/>
      <c r="B421" s="10" t="s">
        <v>1382</v>
      </c>
      <c r="C421" s="77">
        <v>25000</v>
      </c>
      <c r="D421" s="77">
        <v>10454</v>
      </c>
      <c r="E421" s="77">
        <v>9798</v>
      </c>
      <c r="F421" s="933">
        <f>SUM(E421/D421)</f>
        <v>0.9372488999426057</v>
      </c>
      <c r="G421" s="192"/>
      <c r="H421" s="68"/>
      <c r="I421" s="68"/>
    </row>
    <row r="422" spans="1:9" ht="12" customHeight="1" thickBot="1">
      <c r="A422" s="70"/>
      <c r="B422" s="74" t="s">
        <v>1103</v>
      </c>
      <c r="C422" s="77"/>
      <c r="D422" s="77"/>
      <c r="E422" s="78"/>
      <c r="F422" s="940"/>
      <c r="G422" s="30"/>
      <c r="H422" s="68"/>
      <c r="I422" s="68"/>
    </row>
    <row r="423" spans="1:9" ht="12" customHeight="1" thickBot="1">
      <c r="A423" s="52"/>
      <c r="B423" s="57" t="s">
        <v>1095</v>
      </c>
      <c r="C423" s="82">
        <f>SUM(C416:C422)</f>
        <v>25000</v>
      </c>
      <c r="D423" s="82">
        <f>SUM(D416:D422)</f>
        <v>11156</v>
      </c>
      <c r="E423" s="82">
        <f>SUM(E416:E422)</f>
        <v>10500</v>
      </c>
      <c r="F423" s="938">
        <f>SUM(E423/D423)</f>
        <v>0.9411975618501255</v>
      </c>
      <c r="G423" s="188"/>
      <c r="H423" s="68"/>
      <c r="I423" s="68"/>
    </row>
    <row r="424" spans="1:9" ht="12" customHeight="1">
      <c r="A424" s="15">
        <v>3315</v>
      </c>
      <c r="B424" s="103" t="s">
        <v>966</v>
      </c>
      <c r="C424" s="89"/>
      <c r="D424" s="89"/>
      <c r="E424" s="89"/>
      <c r="F424" s="582"/>
      <c r="G424" s="186"/>
      <c r="H424" s="68"/>
      <c r="I424" s="68"/>
    </row>
    <row r="425" spans="1:9" ht="12" customHeight="1">
      <c r="A425" s="70"/>
      <c r="B425" s="71" t="s">
        <v>899</v>
      </c>
      <c r="C425" s="77"/>
      <c r="D425" s="77"/>
      <c r="E425" s="77"/>
      <c r="F425" s="573"/>
      <c r="G425" s="186"/>
      <c r="H425" s="68"/>
      <c r="I425" s="68"/>
    </row>
    <row r="426" spans="1:9" ht="12" customHeight="1">
      <c r="A426" s="70"/>
      <c r="B426" s="7" t="s">
        <v>1141</v>
      </c>
      <c r="C426" s="77"/>
      <c r="D426" s="77"/>
      <c r="E426" s="77"/>
      <c r="F426" s="573"/>
      <c r="G426" s="186"/>
      <c r="H426" s="68"/>
      <c r="I426" s="68"/>
    </row>
    <row r="427" spans="1:9" ht="12" customHeight="1">
      <c r="A427" s="70"/>
      <c r="B427" s="85" t="s">
        <v>1102</v>
      </c>
      <c r="C427" s="77"/>
      <c r="D427" s="77">
        <v>436</v>
      </c>
      <c r="E427" s="77">
        <v>436</v>
      </c>
      <c r="F427" s="933">
        <f>SUM(E427/D427)</f>
        <v>1</v>
      </c>
      <c r="G427" s="186"/>
      <c r="H427" s="68"/>
      <c r="I427" s="68"/>
    </row>
    <row r="428" spans="1:9" ht="12" customHeight="1">
      <c r="A428" s="70"/>
      <c r="B428" s="10" t="s">
        <v>1116</v>
      </c>
      <c r="C428" s="267"/>
      <c r="D428" s="267"/>
      <c r="E428" s="267"/>
      <c r="F428" s="933"/>
      <c r="G428" s="186"/>
      <c r="H428" s="68"/>
      <c r="I428" s="68"/>
    </row>
    <row r="429" spans="1:9" ht="12" customHeight="1">
      <c r="A429" s="70"/>
      <c r="B429" s="10" t="s">
        <v>914</v>
      </c>
      <c r="C429" s="77"/>
      <c r="D429" s="77"/>
      <c r="E429" s="77"/>
      <c r="F429" s="933"/>
      <c r="G429" s="192"/>
      <c r="H429" s="68"/>
      <c r="I429" s="68"/>
    </row>
    <row r="430" spans="1:9" ht="12" customHeight="1">
      <c r="A430" s="70"/>
      <c r="B430" s="10" t="s">
        <v>1382</v>
      </c>
      <c r="C430" s="77">
        <v>23000</v>
      </c>
      <c r="D430" s="77">
        <v>16014</v>
      </c>
      <c r="E430" s="77">
        <v>15128</v>
      </c>
      <c r="F430" s="933">
        <f>SUM(E430/D430)</f>
        <v>0.9446734107655801</v>
      </c>
      <c r="G430" s="535"/>
      <c r="H430" s="68"/>
      <c r="I430" s="68"/>
    </row>
    <row r="431" spans="1:9" ht="12" customHeight="1" thickBot="1">
      <c r="A431" s="70"/>
      <c r="B431" s="74" t="s">
        <v>1103</v>
      </c>
      <c r="C431" s="77"/>
      <c r="D431" s="77"/>
      <c r="E431" s="78"/>
      <c r="F431" s="940"/>
      <c r="G431" s="189"/>
      <c r="H431" s="68"/>
      <c r="I431" s="68"/>
    </row>
    <row r="432" spans="1:9" ht="12" customHeight="1" thickBot="1">
      <c r="A432" s="52"/>
      <c r="B432" s="57" t="s">
        <v>1095</v>
      </c>
      <c r="C432" s="82">
        <f>SUM(C425:C431)</f>
        <v>23000</v>
      </c>
      <c r="D432" s="82">
        <f>SUM(D425:D431)</f>
        <v>16450</v>
      </c>
      <c r="E432" s="82">
        <f>SUM(E425:E431)</f>
        <v>15564</v>
      </c>
      <c r="F432" s="938">
        <f>SUM(E432/D432)</f>
        <v>0.9461398176291793</v>
      </c>
      <c r="G432" s="188"/>
      <c r="H432" s="68"/>
      <c r="I432" s="68"/>
    </row>
    <row r="433" spans="1:9" ht="12" customHeight="1">
      <c r="A433" s="15">
        <v>3316</v>
      </c>
      <c r="B433" s="103" t="s">
        <v>203</v>
      </c>
      <c r="C433" s="89"/>
      <c r="D433" s="89"/>
      <c r="E433" s="89"/>
      <c r="F433" s="582"/>
      <c r="G433" s="186"/>
      <c r="H433" s="68"/>
      <c r="I433" s="68"/>
    </row>
    <row r="434" spans="1:9" ht="12" customHeight="1">
      <c r="A434" s="70"/>
      <c r="B434" s="71" t="s">
        <v>899</v>
      </c>
      <c r="C434" s="77"/>
      <c r="D434" s="77"/>
      <c r="E434" s="77"/>
      <c r="F434" s="573"/>
      <c r="G434" s="186"/>
      <c r="H434" s="68"/>
      <c r="I434" s="68"/>
    </row>
    <row r="435" spans="1:9" ht="12" customHeight="1">
      <c r="A435" s="70"/>
      <c r="B435" s="7" t="s">
        <v>1141</v>
      </c>
      <c r="C435" s="77"/>
      <c r="D435" s="77"/>
      <c r="E435" s="77"/>
      <c r="F435" s="573"/>
      <c r="G435" s="186"/>
      <c r="H435" s="68"/>
      <c r="I435" s="68"/>
    </row>
    <row r="436" spans="1:9" ht="12" customHeight="1">
      <c r="A436" s="70"/>
      <c r="B436" s="85" t="s">
        <v>1102</v>
      </c>
      <c r="C436" s="77"/>
      <c r="D436" s="77">
        <v>12</v>
      </c>
      <c r="E436" s="77">
        <v>12</v>
      </c>
      <c r="F436" s="933">
        <f>SUM(E436/D436)</f>
        <v>1</v>
      </c>
      <c r="G436" s="186"/>
      <c r="H436" s="68"/>
      <c r="I436" s="68"/>
    </row>
    <row r="437" spans="1:9" ht="12" customHeight="1">
      <c r="A437" s="70"/>
      <c r="B437" s="10" t="s">
        <v>1116</v>
      </c>
      <c r="C437" s="267"/>
      <c r="D437" s="267"/>
      <c r="E437" s="267"/>
      <c r="F437" s="573"/>
      <c r="G437" s="186"/>
      <c r="H437" s="68"/>
      <c r="I437" s="68"/>
    </row>
    <row r="438" spans="1:9" ht="12" customHeight="1">
      <c r="A438" s="70"/>
      <c r="B438" s="10" t="s">
        <v>914</v>
      </c>
      <c r="C438" s="77"/>
      <c r="D438" s="77"/>
      <c r="E438" s="77"/>
      <c r="F438" s="573"/>
      <c r="G438" s="192"/>
      <c r="H438" s="68"/>
      <c r="I438" s="68"/>
    </row>
    <row r="439" spans="1:9" ht="12" customHeight="1">
      <c r="A439" s="70"/>
      <c r="B439" s="10" t="s">
        <v>1382</v>
      </c>
      <c r="C439" s="77"/>
      <c r="D439" s="77">
        <v>4911</v>
      </c>
      <c r="E439" s="77">
        <v>4911</v>
      </c>
      <c r="F439" s="933">
        <f>SUM(E439/D439)</f>
        <v>1</v>
      </c>
      <c r="G439" s="535"/>
      <c r="H439" s="68"/>
      <c r="I439" s="68"/>
    </row>
    <row r="440" spans="1:9" ht="12" customHeight="1" thickBot="1">
      <c r="A440" s="70"/>
      <c r="B440" s="74" t="s">
        <v>1103</v>
      </c>
      <c r="C440" s="77"/>
      <c r="D440" s="77"/>
      <c r="E440" s="78"/>
      <c r="F440" s="940"/>
      <c r="G440" s="189"/>
      <c r="H440" s="68"/>
      <c r="I440" s="68"/>
    </row>
    <row r="441" spans="1:9" ht="12" customHeight="1" thickBot="1">
      <c r="A441" s="52"/>
      <c r="B441" s="57" t="s">
        <v>1095</v>
      </c>
      <c r="C441" s="82">
        <f>SUM(C434:C440)</f>
        <v>0</v>
      </c>
      <c r="D441" s="82">
        <f>SUM(D434:D440)</f>
        <v>4923</v>
      </c>
      <c r="E441" s="82">
        <f>SUM(E434:E440)</f>
        <v>4923</v>
      </c>
      <c r="F441" s="938">
        <f>SUM(E441/D441)</f>
        <v>1</v>
      </c>
      <c r="G441" s="188"/>
      <c r="H441" s="68"/>
      <c r="I441" s="68"/>
    </row>
    <row r="442" spans="1:9" ht="12" customHeight="1">
      <c r="A442" s="15">
        <v>3317</v>
      </c>
      <c r="B442" s="103" t="s">
        <v>222</v>
      </c>
      <c r="C442" s="89"/>
      <c r="D442" s="89"/>
      <c r="E442" s="89"/>
      <c r="F442" s="582"/>
      <c r="G442" s="186"/>
      <c r="H442" s="68"/>
      <c r="I442" s="68"/>
    </row>
    <row r="443" spans="1:9" ht="12" customHeight="1">
      <c r="A443" s="70"/>
      <c r="B443" s="71" t="s">
        <v>899</v>
      </c>
      <c r="C443" s="77"/>
      <c r="D443" s="77"/>
      <c r="E443" s="77"/>
      <c r="F443" s="573"/>
      <c r="G443" s="186"/>
      <c r="H443" s="68"/>
      <c r="I443" s="68"/>
    </row>
    <row r="444" spans="1:9" ht="12" customHeight="1">
      <c r="A444" s="70"/>
      <c r="B444" s="7" t="s">
        <v>1141</v>
      </c>
      <c r="C444" s="77"/>
      <c r="D444" s="77"/>
      <c r="E444" s="77"/>
      <c r="F444" s="573"/>
      <c r="G444" s="186"/>
      <c r="H444" s="68"/>
      <c r="I444" s="68"/>
    </row>
    <row r="445" spans="1:9" ht="12" customHeight="1">
      <c r="A445" s="70"/>
      <c r="B445" s="85" t="s">
        <v>1102</v>
      </c>
      <c r="C445" s="77"/>
      <c r="D445" s="77">
        <v>27</v>
      </c>
      <c r="E445" s="77">
        <v>27</v>
      </c>
      <c r="F445" s="933">
        <f>SUM(E445/D445)</f>
        <v>1</v>
      </c>
      <c r="G445" s="186"/>
      <c r="H445" s="68"/>
      <c r="I445" s="68"/>
    </row>
    <row r="446" spans="1:9" ht="12" customHeight="1">
      <c r="A446" s="70"/>
      <c r="B446" s="10" t="s">
        <v>1116</v>
      </c>
      <c r="C446" s="267"/>
      <c r="D446" s="267"/>
      <c r="E446" s="267"/>
      <c r="F446" s="573"/>
      <c r="G446" s="186"/>
      <c r="H446" s="68"/>
      <c r="I446" s="68"/>
    </row>
    <row r="447" spans="1:9" ht="12" customHeight="1">
      <c r="A447" s="70"/>
      <c r="B447" s="10" t="s">
        <v>914</v>
      </c>
      <c r="C447" s="77"/>
      <c r="D447" s="77"/>
      <c r="E447" s="77"/>
      <c r="F447" s="573"/>
      <c r="G447" s="192"/>
      <c r="H447" s="68"/>
      <c r="I447" s="68"/>
    </row>
    <row r="448" spans="1:9" ht="12" customHeight="1">
      <c r="A448" s="70"/>
      <c r="B448" s="10" t="s">
        <v>1382</v>
      </c>
      <c r="C448" s="77"/>
      <c r="D448" s="77">
        <v>763</v>
      </c>
      <c r="E448" s="77">
        <v>763</v>
      </c>
      <c r="F448" s="933">
        <f>SUM(E448/D448)</f>
        <v>1</v>
      </c>
      <c r="G448" s="535"/>
      <c r="H448" s="68"/>
      <c r="I448" s="68"/>
    </row>
    <row r="449" spans="1:9" ht="12" customHeight="1" thickBot="1">
      <c r="A449" s="70"/>
      <c r="B449" s="74" t="s">
        <v>1103</v>
      </c>
      <c r="C449" s="77"/>
      <c r="D449" s="77"/>
      <c r="E449" s="78"/>
      <c r="F449" s="940"/>
      <c r="G449" s="189"/>
      <c r="H449" s="68"/>
      <c r="I449" s="68"/>
    </row>
    <row r="450" spans="1:9" ht="12" customHeight="1" thickBot="1">
      <c r="A450" s="52"/>
      <c r="B450" s="57" t="s">
        <v>1095</v>
      </c>
      <c r="C450" s="82">
        <f>SUM(C443:C449)</f>
        <v>0</v>
      </c>
      <c r="D450" s="82">
        <f>SUM(D443:D449)</f>
        <v>790</v>
      </c>
      <c r="E450" s="82">
        <f>SUM(E443:E449)</f>
        <v>790</v>
      </c>
      <c r="F450" s="938">
        <f>SUM(E450/D450)</f>
        <v>1</v>
      </c>
      <c r="G450" s="188"/>
      <c r="H450" s="68"/>
      <c r="I450" s="68"/>
    </row>
    <row r="451" spans="1:9" ht="12" customHeight="1">
      <c r="A451" s="15">
        <v>3318</v>
      </c>
      <c r="B451" s="103" t="s">
        <v>968</v>
      </c>
      <c r="C451" s="89"/>
      <c r="D451" s="89"/>
      <c r="E451" s="89"/>
      <c r="F451" s="582"/>
      <c r="G451" s="186"/>
      <c r="H451" s="68"/>
      <c r="I451" s="68"/>
    </row>
    <row r="452" spans="1:9" ht="12" customHeight="1">
      <c r="A452" s="70"/>
      <c r="B452" s="71" t="s">
        <v>899</v>
      </c>
      <c r="C452" s="77"/>
      <c r="D452" s="77"/>
      <c r="E452" s="77"/>
      <c r="F452" s="573"/>
      <c r="G452" s="186"/>
      <c r="H452" s="68"/>
      <c r="I452" s="68"/>
    </row>
    <row r="453" spans="1:9" ht="12" customHeight="1">
      <c r="A453" s="70"/>
      <c r="B453" s="7" t="s">
        <v>1141</v>
      </c>
      <c r="C453" s="77"/>
      <c r="D453" s="77"/>
      <c r="E453" s="77"/>
      <c r="F453" s="573"/>
      <c r="G453" s="186"/>
      <c r="H453" s="68"/>
      <c r="I453" s="68"/>
    </row>
    <row r="454" spans="1:9" ht="12" customHeight="1">
      <c r="A454" s="70"/>
      <c r="B454" s="85" t="s">
        <v>1102</v>
      </c>
      <c r="C454" s="77"/>
      <c r="D454" s="77"/>
      <c r="E454" s="77"/>
      <c r="F454" s="573"/>
      <c r="G454" s="186"/>
      <c r="H454" s="68"/>
      <c r="I454" s="68"/>
    </row>
    <row r="455" spans="1:9" ht="12" customHeight="1">
      <c r="A455" s="70"/>
      <c r="B455" s="10" t="s">
        <v>1116</v>
      </c>
      <c r="C455" s="267"/>
      <c r="D455" s="267"/>
      <c r="E455" s="267"/>
      <c r="F455" s="573"/>
      <c r="G455" s="186"/>
      <c r="H455" s="68"/>
      <c r="I455" s="68"/>
    </row>
    <row r="456" spans="1:9" ht="12" customHeight="1">
      <c r="A456" s="70"/>
      <c r="B456" s="10" t="s">
        <v>914</v>
      </c>
      <c r="C456" s="77"/>
      <c r="D456" s="77"/>
      <c r="E456" s="77"/>
      <c r="F456" s="573"/>
      <c r="G456" s="192"/>
      <c r="H456" s="68"/>
      <c r="I456" s="68"/>
    </row>
    <row r="457" spans="1:9" ht="12" customHeight="1">
      <c r="A457" s="70"/>
      <c r="B457" s="10" t="s">
        <v>1382</v>
      </c>
      <c r="C457" s="77">
        <v>2200</v>
      </c>
      <c r="D457" s="77">
        <v>18190</v>
      </c>
      <c r="E457" s="77">
        <v>18190</v>
      </c>
      <c r="F457" s="933">
        <f>SUM(E457/D457)</f>
        <v>1</v>
      </c>
      <c r="G457" s="192"/>
      <c r="H457" s="68"/>
      <c r="I457" s="68"/>
    </row>
    <row r="458" spans="1:9" ht="12" customHeight="1" thickBot="1">
      <c r="A458" s="70"/>
      <c r="B458" s="74" t="s">
        <v>1103</v>
      </c>
      <c r="C458" s="77"/>
      <c r="D458" s="77"/>
      <c r="E458" s="78"/>
      <c r="F458" s="940"/>
      <c r="G458" s="30"/>
      <c r="H458" s="68"/>
      <c r="I458" s="68"/>
    </row>
    <row r="459" spans="1:9" ht="12" customHeight="1" thickBot="1">
      <c r="A459" s="52"/>
      <c r="B459" s="57" t="s">
        <v>1095</v>
      </c>
      <c r="C459" s="82">
        <f>SUM(C452:C458)</f>
        <v>2200</v>
      </c>
      <c r="D459" s="82">
        <f>SUM(D452:D458)</f>
        <v>18190</v>
      </c>
      <c r="E459" s="82">
        <f>SUM(E452:E458)</f>
        <v>18190</v>
      </c>
      <c r="F459" s="938">
        <f>SUM(E459/D459)</f>
        <v>1</v>
      </c>
      <c r="G459" s="188"/>
      <c r="H459" s="68"/>
      <c r="I459" s="68"/>
    </row>
    <row r="460" spans="1:9" ht="12" customHeight="1">
      <c r="A460" s="15">
        <v>3319</v>
      </c>
      <c r="B460" s="103" t="s">
        <v>288</v>
      </c>
      <c r="C460" s="89"/>
      <c r="D460" s="89"/>
      <c r="E460" s="89"/>
      <c r="F460" s="582"/>
      <c r="G460" s="186"/>
      <c r="H460" s="68"/>
      <c r="I460" s="68"/>
    </row>
    <row r="461" spans="1:9" ht="12" customHeight="1">
      <c r="A461" s="70"/>
      <c r="B461" s="71" t="s">
        <v>899</v>
      </c>
      <c r="C461" s="77"/>
      <c r="D461" s="77"/>
      <c r="E461" s="77"/>
      <c r="F461" s="573"/>
      <c r="G461" s="186"/>
      <c r="H461" s="68"/>
      <c r="I461" s="68"/>
    </row>
    <row r="462" spans="1:9" ht="12" customHeight="1">
      <c r="A462" s="70"/>
      <c r="B462" s="7" t="s">
        <v>1141</v>
      </c>
      <c r="C462" s="77"/>
      <c r="D462" s="77"/>
      <c r="E462" s="77"/>
      <c r="F462" s="573"/>
      <c r="G462" s="186"/>
      <c r="H462" s="68"/>
      <c r="I462" s="68"/>
    </row>
    <row r="463" spans="1:9" ht="12" customHeight="1">
      <c r="A463" s="70"/>
      <c r="B463" s="85" t="s">
        <v>1102</v>
      </c>
      <c r="C463" s="77"/>
      <c r="D463" s="77">
        <v>11</v>
      </c>
      <c r="E463" s="77">
        <v>11</v>
      </c>
      <c r="F463" s="933">
        <f>SUM(E463/D463)</f>
        <v>1</v>
      </c>
      <c r="G463" s="186"/>
      <c r="H463" s="68"/>
      <c r="I463" s="68"/>
    </row>
    <row r="464" spans="1:9" ht="12" customHeight="1">
      <c r="A464" s="70"/>
      <c r="B464" s="10" t="s">
        <v>1116</v>
      </c>
      <c r="C464" s="267"/>
      <c r="D464" s="267"/>
      <c r="E464" s="267"/>
      <c r="F464" s="573"/>
      <c r="G464" s="186"/>
      <c r="H464" s="68"/>
      <c r="I464" s="68"/>
    </row>
    <row r="465" spans="1:9" ht="12" customHeight="1">
      <c r="A465" s="70"/>
      <c r="B465" s="10" t="s">
        <v>914</v>
      </c>
      <c r="C465" s="77"/>
      <c r="D465" s="77"/>
      <c r="E465" s="77"/>
      <c r="F465" s="573"/>
      <c r="G465" s="192"/>
      <c r="H465" s="68"/>
      <c r="I465" s="68"/>
    </row>
    <row r="466" spans="1:9" ht="12" customHeight="1">
      <c r="A466" s="70"/>
      <c r="B466" s="10" t="s">
        <v>1382</v>
      </c>
      <c r="C466" s="77"/>
      <c r="D466" s="77">
        <v>3753</v>
      </c>
      <c r="E466" s="77">
        <v>3751</v>
      </c>
      <c r="F466" s="933">
        <f>SUM(E466/D466)</f>
        <v>0.9994670929922729</v>
      </c>
      <c r="G466" s="192"/>
      <c r="H466" s="68"/>
      <c r="I466" s="68"/>
    </row>
    <row r="467" spans="1:9" ht="12" customHeight="1" thickBot="1">
      <c r="A467" s="70"/>
      <c r="B467" s="74" t="s">
        <v>1103</v>
      </c>
      <c r="C467" s="77"/>
      <c r="D467" s="77"/>
      <c r="E467" s="78"/>
      <c r="F467" s="940"/>
      <c r="G467" s="30"/>
      <c r="H467" s="68"/>
      <c r="I467" s="68"/>
    </row>
    <row r="468" spans="1:9" ht="12" customHeight="1" thickBot="1">
      <c r="A468" s="52"/>
      <c r="B468" s="57" t="s">
        <v>1095</v>
      </c>
      <c r="C468" s="82">
        <f>SUM(C461:C467)</f>
        <v>0</v>
      </c>
      <c r="D468" s="82">
        <f>SUM(D461:D467)</f>
        <v>3764</v>
      </c>
      <c r="E468" s="82">
        <f>SUM(E461:E467)</f>
        <v>3762</v>
      </c>
      <c r="F468" s="938">
        <f>SUM(E468/D468)</f>
        <v>0.9994686503719448</v>
      </c>
      <c r="G468" s="188"/>
      <c r="H468" s="68"/>
      <c r="I468" s="68"/>
    </row>
    <row r="469" spans="1:9" ht="12" customHeight="1">
      <c r="A469" s="15">
        <v>3320</v>
      </c>
      <c r="B469" s="98" t="s">
        <v>289</v>
      </c>
      <c r="C469" s="99"/>
      <c r="D469" s="99"/>
      <c r="E469" s="89"/>
      <c r="F469" s="582"/>
      <c r="G469" s="186"/>
      <c r="H469" s="68"/>
      <c r="I469" s="68"/>
    </row>
    <row r="470" spans="1:9" ht="12" customHeight="1">
      <c r="A470" s="70"/>
      <c r="B470" s="71" t="s">
        <v>899</v>
      </c>
      <c r="C470" s="77"/>
      <c r="D470" s="77"/>
      <c r="E470" s="77"/>
      <c r="F470" s="573"/>
      <c r="G470" s="186"/>
      <c r="H470" s="68"/>
      <c r="I470" s="68"/>
    </row>
    <row r="471" spans="1:9" ht="12" customHeight="1">
      <c r="A471" s="70"/>
      <c r="B471" s="7" t="s">
        <v>1141</v>
      </c>
      <c r="C471" s="77"/>
      <c r="D471" s="77"/>
      <c r="E471" s="77"/>
      <c r="F471" s="573"/>
      <c r="G471" s="186"/>
      <c r="H471" s="68"/>
      <c r="I471" s="68"/>
    </row>
    <row r="472" spans="1:9" ht="12" customHeight="1">
      <c r="A472" s="70"/>
      <c r="B472" s="85" t="s">
        <v>1102</v>
      </c>
      <c r="C472" s="77"/>
      <c r="D472" s="77"/>
      <c r="E472" s="77"/>
      <c r="F472" s="573"/>
      <c r="G472" s="186"/>
      <c r="H472" s="68"/>
      <c r="I472" s="68"/>
    </row>
    <row r="473" spans="1:9" ht="12" customHeight="1">
      <c r="A473" s="70"/>
      <c r="B473" s="10" t="s">
        <v>1116</v>
      </c>
      <c r="C473" s="267"/>
      <c r="D473" s="267"/>
      <c r="E473" s="267"/>
      <c r="F473" s="573"/>
      <c r="G473" s="186"/>
      <c r="H473" s="68"/>
      <c r="I473" s="68"/>
    </row>
    <row r="474" spans="1:9" ht="12" customHeight="1">
      <c r="A474" s="70"/>
      <c r="B474" s="10" t="s">
        <v>914</v>
      </c>
      <c r="C474" s="77"/>
      <c r="D474" s="77"/>
      <c r="E474" s="77"/>
      <c r="F474" s="573"/>
      <c r="G474" s="192"/>
      <c r="H474" s="68"/>
      <c r="I474" s="68"/>
    </row>
    <row r="475" spans="1:9" ht="12" customHeight="1">
      <c r="A475" s="70"/>
      <c r="B475" s="10" t="s">
        <v>1382</v>
      </c>
      <c r="C475" s="77">
        <v>920</v>
      </c>
      <c r="D475" s="77">
        <v>2251</v>
      </c>
      <c r="E475" s="77">
        <v>2251</v>
      </c>
      <c r="F475" s="933">
        <f>SUM(E475/D475)</f>
        <v>1</v>
      </c>
      <c r="G475" s="192"/>
      <c r="H475" s="68"/>
      <c r="I475" s="68"/>
    </row>
    <row r="476" spans="1:9" ht="12" customHeight="1" thickBot="1">
      <c r="A476" s="70"/>
      <c r="B476" s="74" t="s">
        <v>1103</v>
      </c>
      <c r="C476" s="77"/>
      <c r="D476" s="77"/>
      <c r="E476" s="78"/>
      <c r="F476" s="940"/>
      <c r="G476" s="30"/>
      <c r="H476" s="68"/>
      <c r="I476" s="68"/>
    </row>
    <row r="477" spans="1:9" ht="12" customHeight="1" thickBot="1">
      <c r="A477" s="52"/>
      <c r="B477" s="57" t="s">
        <v>1095</v>
      </c>
      <c r="C477" s="82">
        <f>SUM(C470:C476)</f>
        <v>920</v>
      </c>
      <c r="D477" s="82">
        <f>SUM(D470:D476)</f>
        <v>2251</v>
      </c>
      <c r="E477" s="82">
        <f>SUM(E470:E476)</f>
        <v>2251</v>
      </c>
      <c r="F477" s="582">
        <f>SUM(E477/D477)</f>
        <v>1</v>
      </c>
      <c r="G477" s="188"/>
      <c r="H477" s="68"/>
      <c r="I477" s="68"/>
    </row>
    <row r="478" spans="1:9" ht="12" customHeight="1">
      <c r="A478" s="15">
        <v>3321</v>
      </c>
      <c r="B478" s="98" t="s">
        <v>1126</v>
      </c>
      <c r="C478" s="89"/>
      <c r="D478" s="89"/>
      <c r="E478" s="89"/>
      <c r="F478" s="573"/>
      <c r="G478" s="186"/>
      <c r="H478" s="68"/>
      <c r="I478" s="68"/>
    </row>
    <row r="479" spans="1:9" ht="12" customHeight="1">
      <c r="A479" s="70"/>
      <c r="B479" s="71" t="s">
        <v>899</v>
      </c>
      <c r="C479" s="77"/>
      <c r="D479" s="77"/>
      <c r="E479" s="77"/>
      <c r="F479" s="573"/>
      <c r="G479" s="186"/>
      <c r="H479" s="68"/>
      <c r="I479" s="68"/>
    </row>
    <row r="480" spans="1:9" ht="12" customHeight="1">
      <c r="A480" s="70"/>
      <c r="B480" s="7" t="s">
        <v>1141</v>
      </c>
      <c r="C480" s="77"/>
      <c r="D480" s="77"/>
      <c r="E480" s="77"/>
      <c r="F480" s="573"/>
      <c r="G480" s="186"/>
      <c r="H480" s="68"/>
      <c r="I480" s="68"/>
    </row>
    <row r="481" spans="1:9" ht="12" customHeight="1">
      <c r="A481" s="70"/>
      <c r="B481" s="85" t="s">
        <v>1102</v>
      </c>
      <c r="C481" s="77"/>
      <c r="D481" s="77"/>
      <c r="E481" s="77"/>
      <c r="F481" s="573"/>
      <c r="G481" s="4" t="s">
        <v>1065</v>
      </c>
      <c r="H481" s="68"/>
      <c r="I481" s="68"/>
    </row>
    <row r="482" spans="1:9" ht="12" customHeight="1">
      <c r="A482" s="70"/>
      <c r="B482" s="10" t="s">
        <v>1116</v>
      </c>
      <c r="C482" s="77"/>
      <c r="D482" s="77"/>
      <c r="E482" s="77"/>
      <c r="F482" s="573"/>
      <c r="G482" s="186"/>
      <c r="H482" s="68"/>
      <c r="I482" s="68"/>
    </row>
    <row r="483" spans="1:9" ht="12" customHeight="1">
      <c r="A483" s="70"/>
      <c r="B483" s="10" t="s">
        <v>914</v>
      </c>
      <c r="C483" s="77"/>
      <c r="D483" s="77"/>
      <c r="E483" s="77"/>
      <c r="F483" s="573"/>
      <c r="G483" s="192"/>
      <c r="H483" s="68"/>
      <c r="I483" s="68"/>
    </row>
    <row r="484" spans="1:9" ht="12" customHeight="1">
      <c r="A484" s="70"/>
      <c r="B484" s="10" t="s">
        <v>1382</v>
      </c>
      <c r="C484" s="77">
        <v>11000</v>
      </c>
      <c r="D484" s="77">
        <v>176</v>
      </c>
      <c r="E484" s="77">
        <v>176</v>
      </c>
      <c r="F484" s="933">
        <f>SUM(E484/D484)</f>
        <v>1</v>
      </c>
      <c r="G484" s="192"/>
      <c r="H484" s="68"/>
      <c r="I484" s="68"/>
    </row>
    <row r="485" spans="1:9" ht="12" customHeight="1" thickBot="1">
      <c r="A485" s="70"/>
      <c r="B485" s="74" t="s">
        <v>1103</v>
      </c>
      <c r="C485" s="77"/>
      <c r="D485" s="77"/>
      <c r="E485" s="78"/>
      <c r="F485" s="940"/>
      <c r="G485" s="30"/>
      <c r="H485" s="68"/>
      <c r="I485" s="68"/>
    </row>
    <row r="486" spans="1:9" ht="12" customHeight="1" thickBot="1">
      <c r="A486" s="52"/>
      <c r="B486" s="57" t="s">
        <v>1095</v>
      </c>
      <c r="C486" s="82">
        <f>SUM(C479:C485)</f>
        <v>11000</v>
      </c>
      <c r="D486" s="82">
        <f>SUM(D479:D485)</f>
        <v>176</v>
      </c>
      <c r="E486" s="82">
        <f>SUM(E479:E485)</f>
        <v>176</v>
      </c>
      <c r="F486" s="938">
        <f>SUM(E486/D486)</f>
        <v>1</v>
      </c>
      <c r="G486" s="188"/>
      <c r="H486" s="68"/>
      <c r="I486" s="68"/>
    </row>
    <row r="487" spans="1:9" ht="12" customHeight="1">
      <c r="A487" s="15">
        <v>3322</v>
      </c>
      <c r="B487" s="98" t="s">
        <v>969</v>
      </c>
      <c r="C487" s="89"/>
      <c r="D487" s="89"/>
      <c r="E487" s="89"/>
      <c r="F487" s="582"/>
      <c r="G487" s="186"/>
      <c r="H487" s="68"/>
      <c r="I487" s="68"/>
    </row>
    <row r="488" spans="1:9" ht="12" customHeight="1">
      <c r="A488" s="70"/>
      <c r="B488" s="71" t="s">
        <v>899</v>
      </c>
      <c r="C488" s="77"/>
      <c r="D488" s="77"/>
      <c r="E488" s="77"/>
      <c r="F488" s="573"/>
      <c r="G488" s="186"/>
      <c r="H488" s="68"/>
      <c r="I488" s="68"/>
    </row>
    <row r="489" spans="1:9" ht="12" customHeight="1">
      <c r="A489" s="70"/>
      <c r="B489" s="7" t="s">
        <v>1141</v>
      </c>
      <c r="C489" s="77"/>
      <c r="D489" s="77"/>
      <c r="E489" s="77"/>
      <c r="F489" s="573"/>
      <c r="G489" s="186"/>
      <c r="H489" s="68"/>
      <c r="I489" s="68"/>
    </row>
    <row r="490" spans="1:9" ht="12" customHeight="1">
      <c r="A490" s="70"/>
      <c r="B490" s="85" t="s">
        <v>1102</v>
      </c>
      <c r="C490" s="77"/>
      <c r="D490" s="77">
        <v>125</v>
      </c>
      <c r="E490" s="77">
        <v>125</v>
      </c>
      <c r="F490" s="933">
        <f>SUM(E490/D490)</f>
        <v>1</v>
      </c>
      <c r="G490" s="186"/>
      <c r="H490" s="68"/>
      <c r="I490" s="68"/>
    </row>
    <row r="491" spans="1:9" ht="12" customHeight="1">
      <c r="A491" s="70"/>
      <c r="B491" s="10" t="s">
        <v>1116</v>
      </c>
      <c r="C491" s="267"/>
      <c r="D491" s="267"/>
      <c r="E491" s="267"/>
      <c r="F491" s="933"/>
      <c r="G491" s="186"/>
      <c r="H491" s="68"/>
      <c r="I491" s="68"/>
    </row>
    <row r="492" spans="1:9" ht="12" customHeight="1">
      <c r="A492" s="70"/>
      <c r="B492" s="10" t="s">
        <v>914</v>
      </c>
      <c r="C492" s="77"/>
      <c r="D492" s="77"/>
      <c r="E492" s="77"/>
      <c r="F492" s="933"/>
      <c r="G492" s="192"/>
      <c r="H492" s="68"/>
      <c r="I492" s="68"/>
    </row>
    <row r="493" spans="1:9" ht="12" customHeight="1">
      <c r="A493" s="70"/>
      <c r="B493" s="10" t="s">
        <v>1382</v>
      </c>
      <c r="C493" s="77">
        <v>6500</v>
      </c>
      <c r="D493" s="77">
        <v>5930</v>
      </c>
      <c r="E493" s="77">
        <v>5930</v>
      </c>
      <c r="F493" s="933">
        <f>SUM(E493/D493)</f>
        <v>1</v>
      </c>
      <c r="G493" s="192"/>
      <c r="H493" s="68"/>
      <c r="I493" s="68"/>
    </row>
    <row r="494" spans="1:9" ht="12" customHeight="1" thickBot="1">
      <c r="A494" s="70"/>
      <c r="B494" s="74" t="s">
        <v>1103</v>
      </c>
      <c r="C494" s="77"/>
      <c r="D494" s="77"/>
      <c r="E494" s="78"/>
      <c r="F494" s="937"/>
      <c r="G494" s="30"/>
      <c r="H494" s="68"/>
      <c r="I494" s="68"/>
    </row>
    <row r="495" spans="1:9" ht="12" customHeight="1" thickBot="1">
      <c r="A495" s="52"/>
      <c r="B495" s="57" t="s">
        <v>1095</v>
      </c>
      <c r="C495" s="82">
        <f>SUM(C488:C494)</f>
        <v>6500</v>
      </c>
      <c r="D495" s="82">
        <f>SUM(D488:D494)</f>
        <v>6055</v>
      </c>
      <c r="E495" s="82">
        <f>SUM(E488:E494)</f>
        <v>6055</v>
      </c>
      <c r="F495" s="938">
        <f>SUM(E495/D495)</f>
        <v>1</v>
      </c>
      <c r="G495" s="188"/>
      <c r="H495" s="68"/>
      <c r="I495" s="68"/>
    </row>
    <row r="496" spans="1:9" ht="12" customHeight="1">
      <c r="A496" s="15">
        <v>3340</v>
      </c>
      <c r="B496" s="98" t="s">
        <v>258</v>
      </c>
      <c r="C496" s="89"/>
      <c r="D496" s="89"/>
      <c r="E496" s="89"/>
      <c r="F496" s="582"/>
      <c r="G496" s="31"/>
      <c r="H496" s="68"/>
      <c r="I496" s="68"/>
    </row>
    <row r="497" spans="1:9" ht="12" customHeight="1">
      <c r="A497" s="70"/>
      <c r="B497" s="71" t="s">
        <v>899</v>
      </c>
      <c r="C497" s="77"/>
      <c r="D497" s="77"/>
      <c r="E497" s="77"/>
      <c r="F497" s="573"/>
      <c r="G497" s="5"/>
      <c r="H497" s="68"/>
      <c r="I497" s="68"/>
    </row>
    <row r="498" spans="1:9" ht="12" customHeight="1">
      <c r="A498" s="70"/>
      <c r="B498" s="7" t="s">
        <v>1141</v>
      </c>
      <c r="C498" s="77"/>
      <c r="D498" s="77"/>
      <c r="E498" s="77"/>
      <c r="F498" s="573"/>
      <c r="G498" s="5"/>
      <c r="H498" s="68"/>
      <c r="I498" s="68"/>
    </row>
    <row r="499" spans="1:9" ht="12" customHeight="1">
      <c r="A499" s="70"/>
      <c r="B499" s="85" t="s">
        <v>1102</v>
      </c>
      <c r="C499" s="77"/>
      <c r="D499" s="77">
        <v>1540</v>
      </c>
      <c r="E499" s="77">
        <v>1320</v>
      </c>
      <c r="F499" s="933">
        <f>SUM(E499/D499)</f>
        <v>0.8571428571428571</v>
      </c>
      <c r="G499" s="5"/>
      <c r="H499" s="68"/>
      <c r="I499" s="68"/>
    </row>
    <row r="500" spans="1:9" ht="12" customHeight="1">
      <c r="A500" s="70"/>
      <c r="B500" s="10" t="s">
        <v>1116</v>
      </c>
      <c r="C500" s="267"/>
      <c r="D500" s="267"/>
      <c r="E500" s="267"/>
      <c r="F500" s="573"/>
      <c r="G500" s="5"/>
      <c r="H500" s="68"/>
      <c r="I500" s="68"/>
    </row>
    <row r="501" spans="1:9" ht="12" customHeight="1">
      <c r="A501" s="70"/>
      <c r="B501" s="10" t="s">
        <v>914</v>
      </c>
      <c r="C501" s="77"/>
      <c r="D501" s="77"/>
      <c r="E501" s="77"/>
      <c r="F501" s="573"/>
      <c r="G501" s="5"/>
      <c r="H501" s="68"/>
      <c r="I501" s="68"/>
    </row>
    <row r="502" spans="1:9" ht="12" customHeight="1">
      <c r="A502" s="70"/>
      <c r="B502" s="10" t="s">
        <v>1382</v>
      </c>
      <c r="C502" s="77"/>
      <c r="D502" s="77"/>
      <c r="E502" s="77"/>
      <c r="F502" s="573"/>
      <c r="G502" s="5"/>
      <c r="H502" s="68"/>
      <c r="I502" s="68"/>
    </row>
    <row r="503" spans="1:9" ht="12" customHeight="1" thickBot="1">
      <c r="A503" s="70"/>
      <c r="B503" s="74" t="s">
        <v>1103</v>
      </c>
      <c r="C503" s="77"/>
      <c r="D503" s="77"/>
      <c r="E503" s="78"/>
      <c r="F503" s="940"/>
      <c r="G503" s="189"/>
      <c r="H503" s="68"/>
      <c r="I503" s="68"/>
    </row>
    <row r="504" spans="1:9" ht="12" customHeight="1" thickBot="1">
      <c r="A504" s="52"/>
      <c r="B504" s="57" t="s">
        <v>1095</v>
      </c>
      <c r="C504" s="82">
        <f>SUM(C497:C503)</f>
        <v>0</v>
      </c>
      <c r="D504" s="82">
        <f>SUM(D497:D503)</f>
        <v>1540</v>
      </c>
      <c r="E504" s="82">
        <f>SUM(E497:E503)</f>
        <v>1320</v>
      </c>
      <c r="F504" s="938">
        <f>SUM(E504/D504)</f>
        <v>0.8571428571428571</v>
      </c>
      <c r="G504" s="188"/>
      <c r="H504" s="68"/>
      <c r="I504" s="68"/>
    </row>
    <row r="505" spans="1:9" ht="12" customHeight="1">
      <c r="A505" s="51">
        <v>3341</v>
      </c>
      <c r="B505" s="106" t="s">
        <v>1124</v>
      </c>
      <c r="C505" s="99"/>
      <c r="D505" s="99"/>
      <c r="E505" s="89"/>
      <c r="F505" s="582"/>
      <c r="G505" s="186"/>
      <c r="H505" s="68"/>
      <c r="I505" s="68"/>
    </row>
    <row r="506" spans="1:9" ht="12" customHeight="1">
      <c r="A506" s="15"/>
      <c r="B506" s="71" t="s">
        <v>899</v>
      </c>
      <c r="C506" s="47"/>
      <c r="D506" s="47"/>
      <c r="E506" s="47"/>
      <c r="F506" s="573"/>
      <c r="G506" s="186"/>
      <c r="H506" s="68"/>
      <c r="I506" s="68"/>
    </row>
    <row r="507" spans="1:9" ht="12" customHeight="1">
      <c r="A507" s="15"/>
      <c r="B507" s="7" t="s">
        <v>1141</v>
      </c>
      <c r="C507" s="47"/>
      <c r="D507" s="47"/>
      <c r="E507" s="47"/>
      <c r="F507" s="573"/>
      <c r="G507" s="186"/>
      <c r="H507" s="68"/>
      <c r="I507" s="68"/>
    </row>
    <row r="508" spans="1:9" ht="12" customHeight="1">
      <c r="A508" s="86"/>
      <c r="B508" s="85" t="s">
        <v>1102</v>
      </c>
      <c r="C508" s="166">
        <v>1042</v>
      </c>
      <c r="D508" s="166">
        <v>1042</v>
      </c>
      <c r="E508" s="166">
        <v>1039</v>
      </c>
      <c r="F508" s="933">
        <f>SUM(E508/D508)</f>
        <v>0.9971209213051824</v>
      </c>
      <c r="G508" s="186"/>
      <c r="H508" s="68"/>
      <c r="I508" s="68"/>
    </row>
    <row r="509" spans="1:9" ht="12" customHeight="1">
      <c r="A509" s="15"/>
      <c r="B509" s="10" t="s">
        <v>1049</v>
      </c>
      <c r="C509" s="47"/>
      <c r="D509" s="47"/>
      <c r="E509" s="47"/>
      <c r="F509" s="573"/>
      <c r="G509" s="186"/>
      <c r="H509" s="68"/>
      <c r="I509" s="68"/>
    </row>
    <row r="510" spans="1:9" ht="12" customHeight="1">
      <c r="A510" s="15"/>
      <c r="B510" s="10" t="s">
        <v>914</v>
      </c>
      <c r="C510" s="47"/>
      <c r="D510" s="47"/>
      <c r="E510" s="47"/>
      <c r="F510" s="573"/>
      <c r="G510" s="192"/>
      <c r="H510" s="68"/>
      <c r="I510" s="68"/>
    </row>
    <row r="511" spans="1:9" ht="12" customHeight="1" thickBot="1">
      <c r="A511" s="15"/>
      <c r="B511" s="74" t="s">
        <v>1103</v>
      </c>
      <c r="C511" s="104"/>
      <c r="D511" s="104"/>
      <c r="E511" s="104"/>
      <c r="F511" s="940"/>
      <c r="G511" s="30"/>
      <c r="H511" s="68"/>
      <c r="I511" s="68"/>
    </row>
    <row r="512" spans="1:9" ht="12" customHeight="1" thickBot="1">
      <c r="A512" s="80"/>
      <c r="B512" s="57" t="s">
        <v>1095</v>
      </c>
      <c r="C512" s="82">
        <f>SUM(C506:C511)</f>
        <v>1042</v>
      </c>
      <c r="D512" s="82">
        <f>SUM(D506:D511)</f>
        <v>1042</v>
      </c>
      <c r="E512" s="82">
        <f>SUM(E506:E511)</f>
        <v>1039</v>
      </c>
      <c r="F512" s="938">
        <f>SUM(E512/D512)</f>
        <v>0.9971209213051824</v>
      </c>
      <c r="G512" s="188"/>
      <c r="H512" s="68"/>
      <c r="I512" s="68"/>
    </row>
    <row r="513" spans="1:9" ht="12" customHeight="1">
      <c r="A513" s="51">
        <v>3342</v>
      </c>
      <c r="B513" s="106" t="s">
        <v>1125</v>
      </c>
      <c r="C513" s="99"/>
      <c r="D513" s="99"/>
      <c r="E513" s="89"/>
      <c r="F513" s="582"/>
      <c r="G513" s="186"/>
      <c r="H513" s="68"/>
      <c r="I513" s="68"/>
    </row>
    <row r="514" spans="1:9" ht="12" customHeight="1">
      <c r="A514" s="15"/>
      <c r="B514" s="71" t="s">
        <v>899</v>
      </c>
      <c r="C514" s="47"/>
      <c r="D514" s="47"/>
      <c r="E514" s="47"/>
      <c r="F514" s="573"/>
      <c r="G514" s="186"/>
      <c r="H514" s="68"/>
      <c r="I514" s="68"/>
    </row>
    <row r="515" spans="1:9" ht="12" customHeight="1">
      <c r="A515" s="15"/>
      <c r="B515" s="7" t="s">
        <v>1141</v>
      </c>
      <c r="C515" s="47"/>
      <c r="D515" s="47"/>
      <c r="E515" s="47"/>
      <c r="F515" s="573"/>
      <c r="G515" s="186"/>
      <c r="H515" s="68"/>
      <c r="I515" s="68"/>
    </row>
    <row r="516" spans="1:9" ht="12" customHeight="1">
      <c r="A516" s="86"/>
      <c r="B516" s="85" t="s">
        <v>1102</v>
      </c>
      <c r="C516" s="166">
        <v>880</v>
      </c>
      <c r="D516" s="166">
        <v>880</v>
      </c>
      <c r="E516" s="166">
        <v>587</v>
      </c>
      <c r="F516" s="933">
        <f>SUM(E516/D516)</f>
        <v>0.6670454545454545</v>
      </c>
      <c r="G516" s="186"/>
      <c r="H516" s="68"/>
      <c r="I516" s="68"/>
    </row>
    <row r="517" spans="1:9" ht="12" customHeight="1">
      <c r="A517" s="15"/>
      <c r="B517" s="10" t="s">
        <v>1049</v>
      </c>
      <c r="C517" s="47"/>
      <c r="D517" s="47"/>
      <c r="E517" s="47"/>
      <c r="F517" s="573"/>
      <c r="G517" s="186"/>
      <c r="H517" s="68"/>
      <c r="I517" s="68"/>
    </row>
    <row r="518" spans="1:9" ht="12" customHeight="1">
      <c r="A518" s="15"/>
      <c r="B518" s="10" t="s">
        <v>914</v>
      </c>
      <c r="C518" s="47"/>
      <c r="D518" s="47"/>
      <c r="E518" s="47"/>
      <c r="F518" s="573"/>
      <c r="G518" s="192"/>
      <c r="H518" s="68"/>
      <c r="I518" s="68"/>
    </row>
    <row r="519" spans="1:9" ht="12" customHeight="1" thickBot="1">
      <c r="A519" s="15"/>
      <c r="B519" s="74" t="s">
        <v>1103</v>
      </c>
      <c r="C519" s="104"/>
      <c r="D519" s="104"/>
      <c r="E519" s="104"/>
      <c r="F519" s="940"/>
      <c r="G519" s="30"/>
      <c r="H519" s="68"/>
      <c r="I519" s="68"/>
    </row>
    <row r="520" spans="1:9" ht="12" customHeight="1" thickBot="1">
      <c r="A520" s="80"/>
      <c r="B520" s="57" t="s">
        <v>1095</v>
      </c>
      <c r="C520" s="82">
        <f>SUM(C514:C519)</f>
        <v>880</v>
      </c>
      <c r="D520" s="82">
        <f>SUM(D514:D519)</f>
        <v>880</v>
      </c>
      <c r="E520" s="82">
        <f>SUM(E514:E519)</f>
        <v>587</v>
      </c>
      <c r="F520" s="938">
        <f>SUM(E520/D520)</f>
        <v>0.6670454545454545</v>
      </c>
      <c r="G520" s="188"/>
      <c r="H520" s="68"/>
      <c r="I520" s="68"/>
    </row>
    <row r="521" spans="1:9" ht="12" customHeight="1">
      <c r="A521" s="51">
        <v>3343</v>
      </c>
      <c r="B521" s="106" t="s">
        <v>1005</v>
      </c>
      <c r="C521" s="99"/>
      <c r="D521" s="99"/>
      <c r="E521" s="89"/>
      <c r="F521" s="582"/>
      <c r="G521" s="186"/>
      <c r="H521" s="68"/>
      <c r="I521" s="68"/>
    </row>
    <row r="522" spans="1:9" ht="12" customHeight="1">
      <c r="A522" s="15"/>
      <c r="B522" s="71" t="s">
        <v>899</v>
      </c>
      <c r="C522" s="47"/>
      <c r="D522" s="47"/>
      <c r="E522" s="47"/>
      <c r="F522" s="573"/>
      <c r="G522" s="186"/>
      <c r="H522" s="68"/>
      <c r="I522" s="68"/>
    </row>
    <row r="523" spans="1:9" ht="12" customHeight="1">
      <c r="A523" s="15"/>
      <c r="B523" s="7" t="s">
        <v>1141</v>
      </c>
      <c r="C523" s="47"/>
      <c r="D523" s="47"/>
      <c r="E523" s="47"/>
      <c r="F523" s="573"/>
      <c r="G523" s="186"/>
      <c r="H523" s="68"/>
      <c r="I523" s="68"/>
    </row>
    <row r="524" spans="1:9" ht="12" customHeight="1">
      <c r="A524" s="86"/>
      <c r="B524" s="85" t="s">
        <v>1102</v>
      </c>
      <c r="C524" s="166">
        <v>345</v>
      </c>
      <c r="D524" s="166">
        <v>345</v>
      </c>
      <c r="E524" s="166">
        <v>345</v>
      </c>
      <c r="F524" s="933">
        <f>SUM(E524/D524)</f>
        <v>1</v>
      </c>
      <c r="G524" s="186"/>
      <c r="H524" s="68"/>
      <c r="I524" s="68"/>
    </row>
    <row r="525" spans="1:9" ht="12" customHeight="1">
      <c r="A525" s="15"/>
      <c r="B525" s="10" t="s">
        <v>1116</v>
      </c>
      <c r="C525" s="47"/>
      <c r="D525" s="47"/>
      <c r="E525" s="47"/>
      <c r="F525" s="573"/>
      <c r="G525" s="186"/>
      <c r="H525" s="68"/>
      <c r="I525" s="68"/>
    </row>
    <row r="526" spans="1:9" ht="12" customHeight="1">
      <c r="A526" s="15"/>
      <c r="B526" s="10" t="s">
        <v>914</v>
      </c>
      <c r="C526" s="47"/>
      <c r="D526" s="47"/>
      <c r="E526" s="47"/>
      <c r="F526" s="573"/>
      <c r="G526" s="192"/>
      <c r="H526" s="68"/>
      <c r="I526" s="68"/>
    </row>
    <row r="527" spans="1:9" ht="12" customHeight="1" thickBot="1">
      <c r="A527" s="15"/>
      <c r="B527" s="74" t="s">
        <v>1103</v>
      </c>
      <c r="C527" s="104"/>
      <c r="D527" s="104"/>
      <c r="E527" s="104"/>
      <c r="F527" s="940"/>
      <c r="G527" s="30"/>
      <c r="H527" s="68"/>
      <c r="I527" s="68"/>
    </row>
    <row r="528" spans="1:9" ht="12" customHeight="1" thickBot="1">
      <c r="A528" s="80"/>
      <c r="B528" s="57" t="s">
        <v>1095</v>
      </c>
      <c r="C528" s="82">
        <f>SUM(C522:C527)</f>
        <v>345</v>
      </c>
      <c r="D528" s="82">
        <f>SUM(D522:D527)</f>
        <v>345</v>
      </c>
      <c r="E528" s="82">
        <f>SUM(E522:E527)</f>
        <v>345</v>
      </c>
      <c r="F528" s="938">
        <f>SUM(E528/D528)</f>
        <v>1</v>
      </c>
      <c r="G528" s="188"/>
      <c r="H528" s="68"/>
      <c r="I528" s="68"/>
    </row>
    <row r="529" spans="1:9" ht="12" customHeight="1">
      <c r="A529" s="15">
        <v>3344</v>
      </c>
      <c r="B529" s="76" t="s">
        <v>1090</v>
      </c>
      <c r="C529" s="83"/>
      <c r="D529" s="83"/>
      <c r="E529" s="83"/>
      <c r="F529" s="582"/>
      <c r="G529" s="186"/>
      <c r="H529" s="68"/>
      <c r="I529" s="68"/>
    </row>
    <row r="530" spans="1:9" ht="12" customHeight="1">
      <c r="A530" s="15"/>
      <c r="B530" s="74" t="s">
        <v>899</v>
      </c>
      <c r="C530" s="47"/>
      <c r="D530" s="47"/>
      <c r="E530" s="47"/>
      <c r="F530" s="573"/>
      <c r="G530" s="186"/>
      <c r="H530" s="68"/>
      <c r="I530" s="68"/>
    </row>
    <row r="531" spans="1:9" ht="12" customHeight="1">
      <c r="A531" s="15"/>
      <c r="B531" s="7" t="s">
        <v>1141</v>
      </c>
      <c r="C531" s="47"/>
      <c r="D531" s="47"/>
      <c r="E531" s="47"/>
      <c r="F531" s="573"/>
      <c r="G531" s="186"/>
      <c r="H531" s="68"/>
      <c r="I531" s="68"/>
    </row>
    <row r="532" spans="1:9" ht="12" customHeight="1">
      <c r="A532" s="176"/>
      <c r="B532" s="174" t="s">
        <v>1102</v>
      </c>
      <c r="C532" s="166">
        <v>1027</v>
      </c>
      <c r="D532" s="166">
        <v>1027</v>
      </c>
      <c r="E532" s="166">
        <v>1027</v>
      </c>
      <c r="F532" s="933">
        <f>SUM(E532/D532)</f>
        <v>1</v>
      </c>
      <c r="G532" s="186"/>
      <c r="H532" s="68"/>
      <c r="I532" s="68"/>
    </row>
    <row r="533" spans="1:9" ht="12" customHeight="1">
      <c r="A533" s="176"/>
      <c r="B533" s="10" t="s">
        <v>1116</v>
      </c>
      <c r="C533" s="47"/>
      <c r="D533" s="47"/>
      <c r="E533" s="47"/>
      <c r="F533" s="573"/>
      <c r="G533" s="186"/>
      <c r="H533" s="68"/>
      <c r="I533" s="68"/>
    </row>
    <row r="534" spans="1:9" ht="12" customHeight="1">
      <c r="A534" s="15"/>
      <c r="B534" s="7" t="s">
        <v>914</v>
      </c>
      <c r="C534" s="47"/>
      <c r="D534" s="47"/>
      <c r="E534" s="47"/>
      <c r="F534" s="573"/>
      <c r="G534" s="192"/>
      <c r="H534" s="68"/>
      <c r="I534" s="68"/>
    </row>
    <row r="535" spans="1:9" ht="12" customHeight="1" thickBot="1">
      <c r="A535" s="15"/>
      <c r="B535" s="97" t="s">
        <v>1103</v>
      </c>
      <c r="C535" s="48"/>
      <c r="D535" s="48"/>
      <c r="E535" s="48"/>
      <c r="F535" s="940"/>
      <c r="G535" s="30"/>
      <c r="H535" s="68"/>
      <c r="I535" s="68"/>
    </row>
    <row r="536" spans="1:9" ht="12" customHeight="1" thickBot="1">
      <c r="A536" s="52"/>
      <c r="B536" s="63" t="s">
        <v>1095</v>
      </c>
      <c r="C536" s="105">
        <f>SUM(C530:C535)</f>
        <v>1027</v>
      </c>
      <c r="D536" s="105">
        <f>SUM(D530:D535)</f>
        <v>1027</v>
      </c>
      <c r="E536" s="105">
        <f>SUM(E530:E535)</f>
        <v>1027</v>
      </c>
      <c r="F536" s="938">
        <f>SUM(E536/D536)</f>
        <v>1</v>
      </c>
      <c r="G536" s="188"/>
      <c r="H536" s="68"/>
      <c r="I536" s="68"/>
    </row>
    <row r="537" spans="1:9" ht="12" customHeight="1">
      <c r="A537" s="15">
        <v>3345</v>
      </c>
      <c r="B537" s="73" t="s">
        <v>1006</v>
      </c>
      <c r="C537" s="99"/>
      <c r="D537" s="99"/>
      <c r="E537" s="89"/>
      <c r="F537" s="582"/>
      <c r="G537" s="4"/>
      <c r="H537" s="68"/>
      <c r="I537" s="68"/>
    </row>
    <row r="538" spans="1:9" ht="12" customHeight="1">
      <c r="A538" s="15"/>
      <c r="B538" s="71" t="s">
        <v>899</v>
      </c>
      <c r="C538" s="47"/>
      <c r="D538" s="47"/>
      <c r="E538" s="47"/>
      <c r="F538" s="573"/>
      <c r="G538" s="5"/>
      <c r="H538" s="68"/>
      <c r="I538" s="68"/>
    </row>
    <row r="539" spans="1:9" ht="12" customHeight="1">
      <c r="A539" s="15"/>
      <c r="B539" s="7" t="s">
        <v>1141</v>
      </c>
      <c r="C539" s="47"/>
      <c r="D539" s="47"/>
      <c r="E539" s="47"/>
      <c r="F539" s="573"/>
      <c r="G539" s="5"/>
      <c r="H539" s="68"/>
      <c r="I539" s="68"/>
    </row>
    <row r="540" spans="1:9" ht="12" customHeight="1">
      <c r="A540" s="15"/>
      <c r="B540" s="85" t="s">
        <v>1102</v>
      </c>
      <c r="C540" s="166">
        <v>300</v>
      </c>
      <c r="D540" s="166">
        <v>300</v>
      </c>
      <c r="E540" s="166"/>
      <c r="F540" s="573">
        <f>SUM(E540/D540)</f>
        <v>0</v>
      </c>
      <c r="G540" s="5"/>
      <c r="H540" s="68"/>
      <c r="I540" s="68"/>
    </row>
    <row r="541" spans="1:9" ht="12" customHeight="1">
      <c r="A541" s="15"/>
      <c r="B541" s="10" t="s">
        <v>1116</v>
      </c>
      <c r="C541" s="47"/>
      <c r="D541" s="47"/>
      <c r="E541" s="47"/>
      <c r="F541" s="573"/>
      <c r="G541" s="5"/>
      <c r="H541" s="68"/>
      <c r="I541" s="68"/>
    </row>
    <row r="542" spans="1:9" ht="12" customHeight="1">
      <c r="A542" s="15"/>
      <c r="B542" s="10" t="s">
        <v>914</v>
      </c>
      <c r="C542" s="47"/>
      <c r="D542" s="47"/>
      <c r="E542" s="47"/>
      <c r="F542" s="573"/>
      <c r="G542" s="5"/>
      <c r="H542" s="68"/>
      <c r="I542" s="68"/>
    </row>
    <row r="543" spans="1:9" ht="12" customHeight="1" thickBot="1">
      <c r="A543" s="15"/>
      <c r="B543" s="74" t="s">
        <v>1103</v>
      </c>
      <c r="C543" s="48"/>
      <c r="D543" s="48"/>
      <c r="E543" s="48"/>
      <c r="F543" s="940"/>
      <c r="G543" s="30"/>
      <c r="H543" s="68"/>
      <c r="I543" s="68"/>
    </row>
    <row r="544" spans="1:9" ht="12" customHeight="1" thickBot="1">
      <c r="A544" s="52"/>
      <c r="B544" s="57" t="s">
        <v>1095</v>
      </c>
      <c r="C544" s="105">
        <f>SUM(C540:C543)</f>
        <v>300</v>
      </c>
      <c r="D544" s="105">
        <f>SUM(D540:D543)</f>
        <v>300</v>
      </c>
      <c r="E544" s="105">
        <f>SUM(E540:E543)</f>
        <v>0</v>
      </c>
      <c r="F544" s="938">
        <f>SUM(E544/D544)</f>
        <v>0</v>
      </c>
      <c r="G544" s="188"/>
      <c r="H544" s="68"/>
      <c r="I544" s="68"/>
    </row>
    <row r="545" spans="1:9" ht="12" customHeight="1">
      <c r="A545" s="15">
        <v>3346</v>
      </c>
      <c r="B545" s="103" t="s">
        <v>908</v>
      </c>
      <c r="C545" s="99"/>
      <c r="D545" s="99"/>
      <c r="E545" s="89"/>
      <c r="F545" s="582"/>
      <c r="G545" s="186"/>
      <c r="H545" s="68"/>
      <c r="I545" s="68"/>
    </row>
    <row r="546" spans="1:9" ht="12" customHeight="1">
      <c r="A546" s="70"/>
      <c r="B546" s="71" t="s">
        <v>899</v>
      </c>
      <c r="C546" s="89"/>
      <c r="D546" s="89"/>
      <c r="E546" s="89"/>
      <c r="F546" s="573"/>
      <c r="G546" s="186"/>
      <c r="H546" s="68"/>
      <c r="I546" s="68"/>
    </row>
    <row r="547" spans="1:9" ht="12" customHeight="1">
      <c r="A547" s="70"/>
      <c r="B547" s="7" t="s">
        <v>1141</v>
      </c>
      <c r="C547" s="47"/>
      <c r="D547" s="47"/>
      <c r="E547" s="47"/>
      <c r="F547" s="573"/>
      <c r="G547" s="186"/>
      <c r="H547" s="68"/>
      <c r="I547" s="68"/>
    </row>
    <row r="548" spans="1:9" ht="12" customHeight="1">
      <c r="A548" s="70"/>
      <c r="B548" s="85" t="s">
        <v>1102</v>
      </c>
      <c r="C548" s="166">
        <v>3733</v>
      </c>
      <c r="D548" s="166">
        <v>3733</v>
      </c>
      <c r="E548" s="166">
        <v>3402</v>
      </c>
      <c r="F548" s="933">
        <f>SUM(E548/D548)</f>
        <v>0.9113313688722208</v>
      </c>
      <c r="G548" s="186"/>
      <c r="H548" s="68"/>
      <c r="I548" s="68"/>
    </row>
    <row r="549" spans="1:9" ht="12" customHeight="1">
      <c r="A549" s="70"/>
      <c r="B549" s="10" t="s">
        <v>1116</v>
      </c>
      <c r="C549" s="47"/>
      <c r="D549" s="47"/>
      <c r="E549" s="47"/>
      <c r="F549" s="573"/>
      <c r="G549" s="186"/>
      <c r="H549" s="68"/>
      <c r="I549" s="68"/>
    </row>
    <row r="550" spans="1:9" ht="12" customHeight="1">
      <c r="A550" s="70"/>
      <c r="B550" s="10" t="s">
        <v>914</v>
      </c>
      <c r="C550" s="47"/>
      <c r="D550" s="47"/>
      <c r="E550" s="47"/>
      <c r="F550" s="573"/>
      <c r="G550" s="192"/>
      <c r="H550" s="68"/>
      <c r="I550" s="68"/>
    </row>
    <row r="551" spans="1:9" ht="12" customHeight="1" thickBot="1">
      <c r="A551" s="70"/>
      <c r="B551" s="74" t="s">
        <v>1103</v>
      </c>
      <c r="C551" s="104"/>
      <c r="D551" s="104"/>
      <c r="E551" s="104"/>
      <c r="F551" s="940"/>
      <c r="G551" s="30"/>
      <c r="H551" s="68"/>
      <c r="I551" s="68"/>
    </row>
    <row r="552" spans="1:9" ht="12" customHeight="1" thickBot="1">
      <c r="A552" s="52"/>
      <c r="B552" s="57" t="s">
        <v>1095</v>
      </c>
      <c r="C552" s="82">
        <f>SUM(C548:C551)</f>
        <v>3733</v>
      </c>
      <c r="D552" s="82">
        <f>SUM(D548:D551)</f>
        <v>3733</v>
      </c>
      <c r="E552" s="82">
        <f>SUM(E548:E551)</f>
        <v>3402</v>
      </c>
      <c r="F552" s="938">
        <f>SUM(E552/D552)</f>
        <v>0.9113313688722208</v>
      </c>
      <c r="G552" s="188"/>
      <c r="H552" s="68"/>
      <c r="I552" s="68"/>
    </row>
    <row r="553" spans="1:9" ht="12" customHeight="1">
      <c r="A553" s="15">
        <v>3347</v>
      </c>
      <c r="B553" s="103" t="s">
        <v>909</v>
      </c>
      <c r="C553" s="99"/>
      <c r="D553" s="99"/>
      <c r="E553" s="89"/>
      <c r="F553" s="582"/>
      <c r="G553" s="186"/>
      <c r="H553" s="68"/>
      <c r="I553" s="68"/>
    </row>
    <row r="554" spans="1:9" ht="12" customHeight="1">
      <c r="A554" s="70"/>
      <c r="B554" s="71" t="s">
        <v>899</v>
      </c>
      <c r="C554" s="89"/>
      <c r="D554" s="89"/>
      <c r="E554" s="89"/>
      <c r="F554" s="573"/>
      <c r="G554" s="186"/>
      <c r="H554" s="68"/>
      <c r="I554" s="68"/>
    </row>
    <row r="555" spans="1:9" ht="12" customHeight="1">
      <c r="A555" s="70"/>
      <c r="B555" s="7" t="s">
        <v>1141</v>
      </c>
      <c r="C555" s="47"/>
      <c r="D555" s="47"/>
      <c r="E555" s="47"/>
      <c r="F555" s="573"/>
      <c r="G555" s="186"/>
      <c r="H555" s="68"/>
      <c r="I555" s="68"/>
    </row>
    <row r="556" spans="1:9" ht="12" customHeight="1">
      <c r="A556" s="70"/>
      <c r="B556" s="85" t="s">
        <v>1102</v>
      </c>
      <c r="C556" s="166">
        <v>2000</v>
      </c>
      <c r="D556" s="166">
        <v>2000</v>
      </c>
      <c r="E556" s="166">
        <v>2000</v>
      </c>
      <c r="F556" s="933">
        <f>SUM(E556/D556)</f>
        <v>1</v>
      </c>
      <c r="G556" s="186"/>
      <c r="H556" s="68"/>
      <c r="I556" s="68"/>
    </row>
    <row r="557" spans="1:9" ht="12" customHeight="1">
      <c r="A557" s="70"/>
      <c r="B557" s="10" t="s">
        <v>1116</v>
      </c>
      <c r="C557" s="47"/>
      <c r="D557" s="47"/>
      <c r="E557" s="47"/>
      <c r="F557" s="573"/>
      <c r="G557" s="186"/>
      <c r="H557" s="68"/>
      <c r="I557" s="68"/>
    </row>
    <row r="558" spans="1:9" ht="12" customHeight="1">
      <c r="A558" s="70"/>
      <c r="B558" s="10" t="s">
        <v>914</v>
      </c>
      <c r="C558" s="47"/>
      <c r="D558" s="47"/>
      <c r="E558" s="47"/>
      <c r="F558" s="573"/>
      <c r="G558" s="192"/>
      <c r="H558" s="68"/>
      <c r="I558" s="68"/>
    </row>
    <row r="559" spans="1:9" ht="12" customHeight="1" thickBot="1">
      <c r="A559" s="70"/>
      <c r="B559" s="74" t="s">
        <v>1103</v>
      </c>
      <c r="C559" s="104"/>
      <c r="D559" s="104"/>
      <c r="E559" s="104"/>
      <c r="F559" s="940"/>
      <c r="G559" s="30"/>
      <c r="H559" s="68"/>
      <c r="I559" s="68"/>
    </row>
    <row r="560" spans="1:9" ht="12" customHeight="1" thickBot="1">
      <c r="A560" s="52"/>
      <c r="B560" s="57" t="s">
        <v>1095</v>
      </c>
      <c r="C560" s="82">
        <f>SUM(C556:C559)</f>
        <v>2000</v>
      </c>
      <c r="D560" s="82">
        <f>SUM(D556:D559)</f>
        <v>2000</v>
      </c>
      <c r="E560" s="82">
        <f>SUM(E556:E559)</f>
        <v>2000</v>
      </c>
      <c r="F560" s="938">
        <f>SUM(E560/D560)</f>
        <v>1</v>
      </c>
      <c r="G560" s="188"/>
      <c r="H560" s="68"/>
      <c r="I560" s="68"/>
    </row>
    <row r="561" spans="1:9" ht="12" customHeight="1">
      <c r="A561" s="15">
        <v>3348</v>
      </c>
      <c r="B561" s="103" t="s">
        <v>1044</v>
      </c>
      <c r="C561" s="99"/>
      <c r="D561" s="99"/>
      <c r="E561" s="89"/>
      <c r="F561" s="582"/>
      <c r="G561" s="186"/>
      <c r="H561" s="68"/>
      <c r="I561" s="68"/>
    </row>
    <row r="562" spans="1:9" ht="12" customHeight="1">
      <c r="A562" s="70"/>
      <c r="B562" s="71" t="s">
        <v>899</v>
      </c>
      <c r="C562" s="89"/>
      <c r="D562" s="89"/>
      <c r="E562" s="89"/>
      <c r="F562" s="573"/>
      <c r="G562" s="186"/>
      <c r="H562" s="68"/>
      <c r="I562" s="68"/>
    </row>
    <row r="563" spans="1:9" ht="12" customHeight="1">
      <c r="A563" s="70"/>
      <c r="B563" s="7" t="s">
        <v>1141</v>
      </c>
      <c r="C563" s="47"/>
      <c r="D563" s="47"/>
      <c r="E563" s="47"/>
      <c r="F563" s="573"/>
      <c r="G563" s="186"/>
      <c r="H563" s="68"/>
      <c r="I563" s="68"/>
    </row>
    <row r="564" spans="1:9" ht="12" customHeight="1">
      <c r="A564" s="70"/>
      <c r="B564" s="85" t="s">
        <v>1102</v>
      </c>
      <c r="C564" s="166">
        <v>400</v>
      </c>
      <c r="D564" s="166">
        <v>400</v>
      </c>
      <c r="E564" s="166"/>
      <c r="F564" s="573">
        <f>SUM(E564/D564)</f>
        <v>0</v>
      </c>
      <c r="G564" s="186"/>
      <c r="H564" s="68"/>
      <c r="I564" s="68"/>
    </row>
    <row r="565" spans="1:9" ht="12" customHeight="1">
      <c r="A565" s="70"/>
      <c r="B565" s="10" t="s">
        <v>1116</v>
      </c>
      <c r="C565" s="47"/>
      <c r="D565" s="47"/>
      <c r="E565" s="47"/>
      <c r="F565" s="573"/>
      <c r="G565" s="186"/>
      <c r="H565" s="68"/>
      <c r="I565" s="68"/>
    </row>
    <row r="566" spans="1:9" ht="12" customHeight="1">
      <c r="A566" s="70"/>
      <c r="B566" s="10" t="s">
        <v>914</v>
      </c>
      <c r="C566" s="47"/>
      <c r="D566" s="47"/>
      <c r="E566" s="47"/>
      <c r="F566" s="573"/>
      <c r="G566" s="192"/>
      <c r="H566" s="68"/>
      <c r="I566" s="68"/>
    </row>
    <row r="567" spans="1:9" ht="12" customHeight="1" thickBot="1">
      <c r="A567" s="70"/>
      <c r="B567" s="74" t="s">
        <v>1103</v>
      </c>
      <c r="C567" s="104"/>
      <c r="D567" s="104"/>
      <c r="E567" s="104"/>
      <c r="F567" s="940"/>
      <c r="G567" s="30"/>
      <c r="H567" s="68"/>
      <c r="I567" s="68"/>
    </row>
    <row r="568" spans="1:9" ht="12" customHeight="1" thickBot="1">
      <c r="A568" s="52"/>
      <c r="B568" s="57" t="s">
        <v>1095</v>
      </c>
      <c r="C568" s="82">
        <f>SUM(C564:C567)</f>
        <v>400</v>
      </c>
      <c r="D568" s="82">
        <f>SUM(D564:D567)</f>
        <v>400</v>
      </c>
      <c r="E568" s="82">
        <f>SUM(E564:E567)</f>
        <v>0</v>
      </c>
      <c r="F568" s="938">
        <f>SUM(E568/D568)</f>
        <v>0</v>
      </c>
      <c r="G568" s="188"/>
      <c r="H568" s="68"/>
      <c r="I568" s="68"/>
    </row>
    <row r="569" spans="1:9" ht="12" customHeight="1">
      <c r="A569" s="69">
        <v>3350</v>
      </c>
      <c r="B569" s="98" t="s">
        <v>1123</v>
      </c>
      <c r="C569" s="89"/>
      <c r="D569" s="89"/>
      <c r="E569" s="89"/>
      <c r="F569" s="582"/>
      <c r="G569" s="186"/>
      <c r="H569" s="68"/>
      <c r="I569" s="68"/>
    </row>
    <row r="570" spans="1:9" ht="12" customHeight="1">
      <c r="A570" s="70"/>
      <c r="B570" s="71" t="s">
        <v>899</v>
      </c>
      <c r="C570" s="77"/>
      <c r="D570" s="77"/>
      <c r="E570" s="77"/>
      <c r="F570" s="573"/>
      <c r="G570" s="186"/>
      <c r="H570" s="68"/>
      <c r="I570" s="68"/>
    </row>
    <row r="571" spans="1:9" ht="12" customHeight="1">
      <c r="A571" s="70"/>
      <c r="B571" s="7" t="s">
        <v>1141</v>
      </c>
      <c r="C571" s="77"/>
      <c r="D571" s="77"/>
      <c r="E571" s="77"/>
      <c r="F571" s="573"/>
      <c r="G571" s="186"/>
      <c r="H571" s="68"/>
      <c r="I571" s="68"/>
    </row>
    <row r="572" spans="1:9" ht="12" customHeight="1">
      <c r="A572" s="70"/>
      <c r="B572" s="85" t="s">
        <v>1102</v>
      </c>
      <c r="C572" s="267">
        <v>1000</v>
      </c>
      <c r="D572" s="267">
        <v>1000</v>
      </c>
      <c r="E572" s="267"/>
      <c r="F572" s="573">
        <f>SUM(E572/D572)</f>
        <v>0</v>
      </c>
      <c r="G572" s="186"/>
      <c r="H572" s="68"/>
      <c r="I572" s="68"/>
    </row>
    <row r="573" spans="1:9" ht="12" customHeight="1">
      <c r="A573" s="70"/>
      <c r="B573" s="10" t="s">
        <v>1116</v>
      </c>
      <c r="C573" s="77"/>
      <c r="D573" s="77"/>
      <c r="E573" s="77"/>
      <c r="F573" s="573"/>
      <c r="G573" s="186"/>
      <c r="H573" s="68"/>
      <c r="I573" s="68"/>
    </row>
    <row r="574" spans="1:9" ht="12" customHeight="1">
      <c r="A574" s="70"/>
      <c r="B574" s="10" t="s">
        <v>914</v>
      </c>
      <c r="C574" s="77"/>
      <c r="D574" s="77"/>
      <c r="E574" s="77"/>
      <c r="F574" s="573"/>
      <c r="G574" s="192"/>
      <c r="H574" s="68"/>
      <c r="I574" s="68"/>
    </row>
    <row r="575" spans="1:9" ht="12" customHeight="1" thickBot="1">
      <c r="A575" s="70"/>
      <c r="B575" s="74" t="s">
        <v>1103</v>
      </c>
      <c r="C575" s="77"/>
      <c r="D575" s="77"/>
      <c r="E575" s="78"/>
      <c r="F575" s="940"/>
      <c r="G575" s="30"/>
      <c r="H575" s="68"/>
      <c r="I575" s="68"/>
    </row>
    <row r="576" spans="1:9" ht="12.75" thickBot="1">
      <c r="A576" s="52"/>
      <c r="B576" s="57" t="s">
        <v>1095</v>
      </c>
      <c r="C576" s="82">
        <f>SUM(C570:C575)</f>
        <v>1000</v>
      </c>
      <c r="D576" s="82">
        <f>SUM(D570:D575)</f>
        <v>1000</v>
      </c>
      <c r="E576" s="82">
        <f>SUM(E570:E575)</f>
        <v>0</v>
      </c>
      <c r="F576" s="938">
        <f>SUM(E576/D576)</f>
        <v>0</v>
      </c>
      <c r="G576" s="188"/>
      <c r="H576" s="68"/>
      <c r="I576" s="68"/>
    </row>
    <row r="577" spans="1:9" ht="12">
      <c r="A577" s="15">
        <v>3352</v>
      </c>
      <c r="B577" s="103" t="s">
        <v>913</v>
      </c>
      <c r="C577" s="89"/>
      <c r="D577" s="89"/>
      <c r="E577" s="89"/>
      <c r="F577" s="582"/>
      <c r="G577" s="186"/>
      <c r="H577" s="68"/>
      <c r="I577" s="68"/>
    </row>
    <row r="578" spans="1:9" ht="12">
      <c r="A578" s="70"/>
      <c r="B578" s="71" t="s">
        <v>899</v>
      </c>
      <c r="C578" s="77"/>
      <c r="D578" s="77"/>
      <c r="E578" s="77"/>
      <c r="F578" s="573"/>
      <c r="G578" s="186"/>
      <c r="H578" s="68"/>
      <c r="I578" s="68"/>
    </row>
    <row r="579" spans="1:9" ht="12">
      <c r="A579" s="70"/>
      <c r="B579" s="7" t="s">
        <v>1141</v>
      </c>
      <c r="C579" s="77"/>
      <c r="D579" s="77"/>
      <c r="E579" s="77"/>
      <c r="F579" s="573"/>
      <c r="G579" s="186"/>
      <c r="H579" s="68"/>
      <c r="I579" s="68"/>
    </row>
    <row r="580" spans="1:9" ht="12">
      <c r="A580" s="70"/>
      <c r="B580" s="85" t="s">
        <v>1102</v>
      </c>
      <c r="C580" s="77"/>
      <c r="D580" s="77"/>
      <c r="E580" s="77"/>
      <c r="F580" s="573"/>
      <c r="G580" s="186"/>
      <c r="H580" s="68"/>
      <c r="I580" s="68"/>
    </row>
    <row r="581" spans="1:9" ht="12">
      <c r="A581" s="70"/>
      <c r="B581" s="10" t="s">
        <v>1116</v>
      </c>
      <c r="C581" s="267">
        <v>14500</v>
      </c>
      <c r="D581" s="267"/>
      <c r="E581" s="267"/>
      <c r="F581" s="573"/>
      <c r="G581" s="186"/>
      <c r="H581" s="68"/>
      <c r="I581" s="68"/>
    </row>
    <row r="582" spans="1:9" ht="12">
      <c r="A582" s="70"/>
      <c r="B582" s="10" t="s">
        <v>1382</v>
      </c>
      <c r="C582" s="267"/>
      <c r="D582" s="267">
        <v>14723</v>
      </c>
      <c r="E582" s="267">
        <v>14723</v>
      </c>
      <c r="F582" s="933">
        <f>SUM(E582/D582)</f>
        <v>1</v>
      </c>
      <c r="G582" s="186"/>
      <c r="H582" s="68"/>
      <c r="I582" s="68"/>
    </row>
    <row r="583" spans="1:9" ht="12">
      <c r="A583" s="70"/>
      <c r="B583" s="10" t="s">
        <v>914</v>
      </c>
      <c r="C583" s="77"/>
      <c r="D583" s="77"/>
      <c r="E583" s="77"/>
      <c r="F583" s="573"/>
      <c r="G583" s="192"/>
      <c r="H583" s="68"/>
      <c r="I583" s="68"/>
    </row>
    <row r="584" spans="1:9" ht="12.75" thickBot="1">
      <c r="A584" s="70"/>
      <c r="B584" s="74" t="s">
        <v>1103</v>
      </c>
      <c r="C584" s="77"/>
      <c r="D584" s="77"/>
      <c r="E584" s="78"/>
      <c r="F584" s="940"/>
      <c r="G584" s="30"/>
      <c r="H584" s="68"/>
      <c r="I584" s="68"/>
    </row>
    <row r="585" spans="1:9" ht="12.75" thickBot="1">
      <c r="A585" s="52"/>
      <c r="B585" s="57" t="s">
        <v>1095</v>
      </c>
      <c r="C585" s="82">
        <f>SUM(C578:C584)</f>
        <v>14500</v>
      </c>
      <c r="D585" s="82">
        <f>SUM(D578:D584)</f>
        <v>14723</v>
      </c>
      <c r="E585" s="82">
        <f>SUM(E578:E584)</f>
        <v>14723</v>
      </c>
      <c r="F585" s="938">
        <f>SUM(E585/D585)</f>
        <v>1</v>
      </c>
      <c r="G585" s="188"/>
      <c r="H585" s="68"/>
      <c r="I585" s="68"/>
    </row>
    <row r="586" spans="1:9" ht="12">
      <c r="A586" s="15">
        <v>3353</v>
      </c>
      <c r="B586" s="103" t="s">
        <v>970</v>
      </c>
      <c r="C586" s="89"/>
      <c r="D586" s="89"/>
      <c r="E586" s="89"/>
      <c r="F586" s="582"/>
      <c r="G586" s="186"/>
      <c r="H586" s="68"/>
      <c r="I586" s="68"/>
    </row>
    <row r="587" spans="1:9" ht="12">
      <c r="A587" s="70"/>
      <c r="B587" s="71" t="s">
        <v>899</v>
      </c>
      <c r="C587" s="267">
        <v>3000</v>
      </c>
      <c r="D587" s="267">
        <v>3101</v>
      </c>
      <c r="E587" s="267">
        <v>2068</v>
      </c>
      <c r="F587" s="933">
        <f>SUM(E587/D587)</f>
        <v>0.6668816510802967</v>
      </c>
      <c r="G587" s="186"/>
      <c r="H587" s="68"/>
      <c r="I587" s="68"/>
    </row>
    <row r="588" spans="1:9" ht="12">
      <c r="A588" s="70"/>
      <c r="B588" s="7" t="s">
        <v>1141</v>
      </c>
      <c r="C588" s="267">
        <v>810</v>
      </c>
      <c r="D588" s="267">
        <v>892</v>
      </c>
      <c r="E588" s="267">
        <v>540</v>
      </c>
      <c r="F588" s="933">
        <f>SUM(E588/D588)</f>
        <v>0.6053811659192825</v>
      </c>
      <c r="G588" s="186"/>
      <c r="H588" s="68"/>
      <c r="I588" s="68"/>
    </row>
    <row r="589" spans="1:9" ht="12">
      <c r="A589" s="70"/>
      <c r="B589" s="85" t="s">
        <v>1102</v>
      </c>
      <c r="C589" s="267">
        <v>8190</v>
      </c>
      <c r="D589" s="267">
        <v>8190</v>
      </c>
      <c r="E589" s="267">
        <v>6550</v>
      </c>
      <c r="F589" s="933">
        <f>SUM(E589/D589)</f>
        <v>0.7997557997557998</v>
      </c>
      <c r="G589" s="186"/>
      <c r="H589" s="68"/>
      <c r="I589" s="68"/>
    </row>
    <row r="590" spans="1:9" ht="12">
      <c r="A590" s="70"/>
      <c r="B590" s="10" t="s">
        <v>1116</v>
      </c>
      <c r="C590" s="77"/>
      <c r="D590" s="77"/>
      <c r="E590" s="77"/>
      <c r="F590" s="573"/>
      <c r="G590" s="186"/>
      <c r="H590" s="68"/>
      <c r="I590" s="68"/>
    </row>
    <row r="591" spans="1:9" ht="12">
      <c r="A591" s="70"/>
      <c r="B591" s="10" t="s">
        <v>914</v>
      </c>
      <c r="C591" s="77"/>
      <c r="D591" s="77"/>
      <c r="E591" s="77"/>
      <c r="F591" s="573"/>
      <c r="G591" s="192"/>
      <c r="H591" s="68"/>
      <c r="I591" s="68"/>
    </row>
    <row r="592" spans="1:9" ht="12.75" thickBot="1">
      <c r="A592" s="70"/>
      <c r="B592" s="74" t="s">
        <v>1103</v>
      </c>
      <c r="C592" s="77"/>
      <c r="D592" s="77"/>
      <c r="E592" s="78"/>
      <c r="F592" s="940"/>
      <c r="G592" s="30"/>
      <c r="H592" s="68"/>
      <c r="I592" s="68"/>
    </row>
    <row r="593" spans="1:9" ht="12.75" thickBot="1">
      <c r="A593" s="52"/>
      <c r="B593" s="57" t="s">
        <v>1095</v>
      </c>
      <c r="C593" s="82">
        <f>SUM(C587:C592)</f>
        <v>12000</v>
      </c>
      <c r="D593" s="82">
        <f>SUM(D587:D592)</f>
        <v>12183</v>
      </c>
      <c r="E593" s="82">
        <f>SUM(E587:E592)</f>
        <v>9158</v>
      </c>
      <c r="F593" s="938">
        <f>SUM(E593/D593)</f>
        <v>0.7517031929738159</v>
      </c>
      <c r="G593" s="188"/>
      <c r="H593" s="68"/>
      <c r="I593" s="68"/>
    </row>
    <row r="594" spans="1:9" ht="12">
      <c r="A594" s="15">
        <v>3354</v>
      </c>
      <c r="B594" s="103" t="s">
        <v>967</v>
      </c>
      <c r="C594" s="89"/>
      <c r="D594" s="89"/>
      <c r="E594" s="89"/>
      <c r="F594" s="582"/>
      <c r="G594" s="186"/>
      <c r="H594" s="68"/>
      <c r="I594" s="68"/>
    </row>
    <row r="595" spans="1:9" ht="12">
      <c r="A595" s="70"/>
      <c r="B595" s="71" t="s">
        <v>899</v>
      </c>
      <c r="C595" s="77"/>
      <c r="D595" s="77"/>
      <c r="E595" s="77"/>
      <c r="F595" s="573"/>
      <c r="G595" s="186"/>
      <c r="H595" s="68"/>
      <c r="I595" s="68"/>
    </row>
    <row r="596" spans="1:9" ht="12">
      <c r="A596" s="70"/>
      <c r="B596" s="7" t="s">
        <v>1141</v>
      </c>
      <c r="C596" s="77"/>
      <c r="D596" s="77"/>
      <c r="E596" s="77"/>
      <c r="F596" s="573"/>
      <c r="G596" s="186"/>
      <c r="H596" s="68"/>
      <c r="I596" s="68"/>
    </row>
    <row r="597" spans="1:9" ht="12">
      <c r="A597" s="70"/>
      <c r="B597" s="85" t="s">
        <v>1102</v>
      </c>
      <c r="C597" s="77"/>
      <c r="D597" s="77"/>
      <c r="E597" s="77"/>
      <c r="F597" s="573"/>
      <c r="G597" s="186"/>
      <c r="H597" s="68"/>
      <c r="I597" s="68"/>
    </row>
    <row r="598" spans="1:9" ht="12">
      <c r="A598" s="70"/>
      <c r="B598" s="10" t="s">
        <v>1116</v>
      </c>
      <c r="C598" s="267">
        <v>38000</v>
      </c>
      <c r="D598" s="267"/>
      <c r="E598" s="267"/>
      <c r="F598" s="573"/>
      <c r="G598" s="186"/>
      <c r="H598" s="68"/>
      <c r="I598" s="68"/>
    </row>
    <row r="599" spans="1:9" ht="12">
      <c r="A599" s="70"/>
      <c r="B599" s="10" t="s">
        <v>1382</v>
      </c>
      <c r="C599" s="267"/>
      <c r="D599" s="267">
        <v>38000</v>
      </c>
      <c r="E599" s="267">
        <v>37475</v>
      </c>
      <c r="F599" s="933">
        <f>SUM(E599/D599)</f>
        <v>0.9861842105263158</v>
      </c>
      <c r="G599" s="186"/>
      <c r="H599" s="68"/>
      <c r="I599" s="68"/>
    </row>
    <row r="600" spans="1:9" ht="12">
      <c r="A600" s="70"/>
      <c r="B600" s="10" t="s">
        <v>914</v>
      </c>
      <c r="C600" s="77"/>
      <c r="D600" s="77"/>
      <c r="E600" s="77"/>
      <c r="F600" s="573"/>
      <c r="G600" s="192"/>
      <c r="H600" s="68"/>
      <c r="I600" s="68"/>
    </row>
    <row r="601" spans="1:9" ht="12.75" thickBot="1">
      <c r="A601" s="70"/>
      <c r="B601" s="74" t="s">
        <v>1103</v>
      </c>
      <c r="C601" s="77"/>
      <c r="D601" s="77"/>
      <c r="E601" s="78"/>
      <c r="F601" s="940"/>
      <c r="G601" s="30"/>
      <c r="H601" s="68"/>
      <c r="I601" s="68"/>
    </row>
    <row r="602" spans="1:9" ht="12.75" thickBot="1">
      <c r="A602" s="52"/>
      <c r="B602" s="57" t="s">
        <v>1095</v>
      </c>
      <c r="C602" s="82">
        <f>SUM(C595:C601)</f>
        <v>38000</v>
      </c>
      <c r="D602" s="82">
        <f>SUM(D595:D601)</f>
        <v>38000</v>
      </c>
      <c r="E602" s="82">
        <f>SUM(E595:E601)</f>
        <v>37475</v>
      </c>
      <c r="F602" s="938">
        <f>SUM(E602/D602)</f>
        <v>0.9861842105263158</v>
      </c>
      <c r="G602" s="188"/>
      <c r="H602" s="68"/>
      <c r="I602" s="68"/>
    </row>
    <row r="603" spans="1:9" ht="12" customHeight="1">
      <c r="A603" s="15">
        <v>3355</v>
      </c>
      <c r="B603" s="98" t="s">
        <v>1025</v>
      </c>
      <c r="C603" s="99"/>
      <c r="D603" s="99"/>
      <c r="E603" s="89"/>
      <c r="F603" s="582"/>
      <c r="G603" s="186"/>
      <c r="H603" s="68"/>
      <c r="I603" s="68"/>
    </row>
    <row r="604" spans="1:9" ht="12" customHeight="1">
      <c r="A604" s="70"/>
      <c r="B604" s="71" t="s">
        <v>899</v>
      </c>
      <c r="C604" s="47"/>
      <c r="D604" s="166">
        <v>48</v>
      </c>
      <c r="E604" s="166">
        <v>48</v>
      </c>
      <c r="F604" s="933">
        <f>SUM(E604/D604)</f>
        <v>1</v>
      </c>
      <c r="G604" s="186"/>
      <c r="H604" s="68"/>
      <c r="I604" s="68"/>
    </row>
    <row r="605" spans="1:9" ht="12" customHeight="1">
      <c r="A605" s="70"/>
      <c r="B605" s="7" t="s">
        <v>1141</v>
      </c>
      <c r="C605" s="47"/>
      <c r="D605" s="166">
        <v>12</v>
      </c>
      <c r="E605" s="166">
        <v>12</v>
      </c>
      <c r="F605" s="933">
        <f>SUM(E605/D605)</f>
        <v>1</v>
      </c>
      <c r="G605" s="186"/>
      <c r="H605" s="68"/>
      <c r="I605" s="68"/>
    </row>
    <row r="606" spans="1:9" ht="12" customHeight="1">
      <c r="A606" s="70"/>
      <c r="B606" s="85" t="s">
        <v>1102</v>
      </c>
      <c r="C606" s="166">
        <v>5000</v>
      </c>
      <c r="D606" s="166">
        <v>4940</v>
      </c>
      <c r="E606" s="166">
        <v>3289</v>
      </c>
      <c r="F606" s="933">
        <f>SUM(E606/D606)</f>
        <v>0.6657894736842105</v>
      </c>
      <c r="G606" s="186"/>
      <c r="H606" s="68"/>
      <c r="I606" s="68"/>
    </row>
    <row r="607" spans="1:9" ht="12" customHeight="1">
      <c r="A607" s="70"/>
      <c r="B607" s="10" t="s">
        <v>1116</v>
      </c>
      <c r="C607" s="47"/>
      <c r="D607" s="47"/>
      <c r="E607" s="47"/>
      <c r="F607" s="573"/>
      <c r="G607" s="186"/>
      <c r="H607" s="68"/>
      <c r="I607" s="68"/>
    </row>
    <row r="608" spans="1:9" ht="12" customHeight="1">
      <c r="A608" s="70"/>
      <c r="B608" s="10" t="s">
        <v>914</v>
      </c>
      <c r="C608" s="47"/>
      <c r="D608" s="47"/>
      <c r="E608" s="47"/>
      <c r="F608" s="573"/>
      <c r="G608" s="192"/>
      <c r="H608" s="68"/>
      <c r="I608" s="68"/>
    </row>
    <row r="609" spans="1:9" ht="12" customHeight="1" thickBot="1">
      <c r="A609" s="70"/>
      <c r="B609" s="74" t="s">
        <v>1103</v>
      </c>
      <c r="C609" s="48"/>
      <c r="D609" s="48"/>
      <c r="E609" s="48"/>
      <c r="F609" s="940"/>
      <c r="G609" s="30"/>
      <c r="H609" s="68"/>
      <c r="I609" s="68"/>
    </row>
    <row r="610" spans="1:9" ht="12" customHeight="1" thickBot="1">
      <c r="A610" s="52"/>
      <c r="B610" s="57" t="s">
        <v>1095</v>
      </c>
      <c r="C610" s="82">
        <f>SUM(C606:C609)</f>
        <v>5000</v>
      </c>
      <c r="D610" s="82">
        <f>SUM(D604:D609)</f>
        <v>5000</v>
      </c>
      <c r="E610" s="82">
        <f>SUM(E604:E609)</f>
        <v>3349</v>
      </c>
      <c r="F610" s="938">
        <f>SUM(E610/D610)</f>
        <v>0.6698</v>
      </c>
      <c r="G610" s="188"/>
      <c r="H610" s="68"/>
      <c r="I610" s="68"/>
    </row>
    <row r="611" spans="1:9" ht="12" customHeight="1">
      <c r="A611" s="15">
        <v>3356</v>
      </c>
      <c r="B611" s="98" t="s">
        <v>1360</v>
      </c>
      <c r="C611" s="99"/>
      <c r="D611" s="99"/>
      <c r="E611" s="89"/>
      <c r="F611" s="582"/>
      <c r="G611" s="186"/>
      <c r="H611" s="68"/>
      <c r="I611" s="68"/>
    </row>
    <row r="612" spans="1:9" ht="12" customHeight="1">
      <c r="A612" s="70"/>
      <c r="B612" s="71" t="s">
        <v>899</v>
      </c>
      <c r="C612" s="166">
        <v>11811</v>
      </c>
      <c r="D612" s="166">
        <v>9316</v>
      </c>
      <c r="E612" s="166"/>
      <c r="F612" s="573">
        <f>SUM(E612/D612)</f>
        <v>0</v>
      </c>
      <c r="G612" s="186"/>
      <c r="H612" s="68"/>
      <c r="I612" s="68"/>
    </row>
    <row r="613" spans="1:9" ht="12" customHeight="1">
      <c r="A613" s="70"/>
      <c r="B613" s="7" t="s">
        <v>1141</v>
      </c>
      <c r="C613" s="166">
        <v>3189</v>
      </c>
      <c r="D613" s="166">
        <v>2515</v>
      </c>
      <c r="E613" s="166"/>
      <c r="F613" s="573">
        <f>SUM(E613/D613)</f>
        <v>0</v>
      </c>
      <c r="G613" s="186"/>
      <c r="H613" s="68"/>
      <c r="I613" s="68"/>
    </row>
    <row r="614" spans="1:9" ht="12" customHeight="1">
      <c r="A614" s="70"/>
      <c r="B614" s="85" t="s">
        <v>1102</v>
      </c>
      <c r="C614" s="166"/>
      <c r="D614" s="166"/>
      <c r="E614" s="166"/>
      <c r="F614" s="573"/>
      <c r="G614" s="186"/>
      <c r="H614" s="68"/>
      <c r="I614" s="68"/>
    </row>
    <row r="615" spans="1:9" ht="12" customHeight="1">
      <c r="A615" s="70"/>
      <c r="B615" s="10" t="s">
        <v>1116</v>
      </c>
      <c r="C615" s="47"/>
      <c r="D615" s="47"/>
      <c r="E615" s="47"/>
      <c r="F615" s="573"/>
      <c r="G615" s="186"/>
      <c r="H615" s="68"/>
      <c r="I615" s="68"/>
    </row>
    <row r="616" spans="1:9" ht="12" customHeight="1">
      <c r="A616" s="70"/>
      <c r="B616" s="10" t="s">
        <v>914</v>
      </c>
      <c r="C616" s="47"/>
      <c r="D616" s="47"/>
      <c r="E616" s="47"/>
      <c r="F616" s="573"/>
      <c r="G616" s="192"/>
      <c r="H616" s="68"/>
      <c r="I616" s="68"/>
    </row>
    <row r="617" spans="1:9" ht="12" customHeight="1" thickBot="1">
      <c r="A617" s="70"/>
      <c r="B617" s="74" t="s">
        <v>1103</v>
      </c>
      <c r="C617" s="48"/>
      <c r="D617" s="48"/>
      <c r="E617" s="48"/>
      <c r="F617" s="940"/>
      <c r="G617" s="30"/>
      <c r="H617" s="68"/>
      <c r="I617" s="68"/>
    </row>
    <row r="618" spans="1:9" ht="12" customHeight="1" thickBot="1">
      <c r="A618" s="52"/>
      <c r="B618" s="57" t="s">
        <v>1095</v>
      </c>
      <c r="C618" s="82">
        <f>SUM(C612:C617)</f>
        <v>15000</v>
      </c>
      <c r="D618" s="82">
        <f>SUM(D612:D617)</f>
        <v>11831</v>
      </c>
      <c r="E618" s="82">
        <f>SUM(E612:E617)</f>
        <v>0</v>
      </c>
      <c r="F618" s="938">
        <f>SUM(E618/D618)</f>
        <v>0</v>
      </c>
      <c r="G618" s="188"/>
      <c r="H618" s="68"/>
      <c r="I618" s="68"/>
    </row>
    <row r="619" spans="1:9" ht="12" customHeight="1">
      <c r="A619" s="15">
        <v>3357</v>
      </c>
      <c r="B619" s="98" t="s">
        <v>168</v>
      </c>
      <c r="C619" s="99"/>
      <c r="D619" s="99"/>
      <c r="E619" s="89"/>
      <c r="F619" s="582"/>
      <c r="G619" s="186"/>
      <c r="H619" s="68"/>
      <c r="I619" s="68"/>
    </row>
    <row r="620" spans="1:9" ht="12" customHeight="1">
      <c r="A620" s="70"/>
      <c r="B620" s="71" t="s">
        <v>899</v>
      </c>
      <c r="C620" s="166"/>
      <c r="D620" s="166"/>
      <c r="E620" s="166"/>
      <c r="F620" s="573"/>
      <c r="G620" s="186"/>
      <c r="H620" s="68"/>
      <c r="I620" s="68"/>
    </row>
    <row r="621" spans="1:9" ht="12" customHeight="1">
      <c r="A621" s="70"/>
      <c r="B621" s="7" t="s">
        <v>1141</v>
      </c>
      <c r="C621" s="166"/>
      <c r="D621" s="166"/>
      <c r="E621" s="166"/>
      <c r="F621" s="573"/>
      <c r="G621" s="186"/>
      <c r="H621" s="68"/>
      <c r="I621" s="68"/>
    </row>
    <row r="622" spans="1:9" ht="12" customHeight="1">
      <c r="A622" s="70"/>
      <c r="B622" s="85" t="s">
        <v>1102</v>
      </c>
      <c r="C622" s="166">
        <v>1400</v>
      </c>
      <c r="D622" s="166">
        <v>1339</v>
      </c>
      <c r="E622" s="166">
        <v>1281</v>
      </c>
      <c r="F622" s="933">
        <f>SUM(E622/D622)</f>
        <v>0.9566840926064227</v>
      </c>
      <c r="G622" s="186"/>
      <c r="H622" s="68"/>
      <c r="I622" s="68"/>
    </row>
    <row r="623" spans="1:9" ht="12" customHeight="1">
      <c r="A623" s="70"/>
      <c r="B623" s="10" t="s">
        <v>1116</v>
      </c>
      <c r="C623" s="47"/>
      <c r="D623" s="47"/>
      <c r="E623" s="47"/>
      <c r="F623" s="573"/>
      <c r="G623" s="186"/>
      <c r="H623" s="68"/>
      <c r="I623" s="68"/>
    </row>
    <row r="624" spans="1:9" ht="12" customHeight="1">
      <c r="A624" s="70"/>
      <c r="B624" s="10" t="s">
        <v>914</v>
      </c>
      <c r="C624" s="47"/>
      <c r="D624" s="47"/>
      <c r="E624" s="47"/>
      <c r="F624" s="573"/>
      <c r="G624" s="192"/>
      <c r="H624" s="68"/>
      <c r="I624" s="68"/>
    </row>
    <row r="625" spans="1:9" ht="12" customHeight="1" thickBot="1">
      <c r="A625" s="70"/>
      <c r="B625" s="74" t="s">
        <v>1103</v>
      </c>
      <c r="C625" s="48"/>
      <c r="D625" s="48"/>
      <c r="E625" s="48"/>
      <c r="F625" s="940"/>
      <c r="G625" s="30"/>
      <c r="H625" s="68"/>
      <c r="I625" s="68"/>
    </row>
    <row r="626" spans="1:9" ht="12" customHeight="1" thickBot="1">
      <c r="A626" s="52"/>
      <c r="B626" s="57" t="s">
        <v>1095</v>
      </c>
      <c r="C626" s="82">
        <f>SUM(C620:C625)</f>
        <v>1400</v>
      </c>
      <c r="D626" s="82">
        <f>SUM(D620:D625)</f>
        <v>1339</v>
      </c>
      <c r="E626" s="82">
        <f>SUM(E620:E625)</f>
        <v>1281</v>
      </c>
      <c r="F626" s="938">
        <f>SUM(E626/D626)</f>
        <v>0.9566840926064227</v>
      </c>
      <c r="G626" s="188"/>
      <c r="H626" s="68"/>
      <c r="I626" s="68"/>
    </row>
    <row r="627" spans="1:9" ht="12" customHeight="1">
      <c r="A627" s="15">
        <v>3358</v>
      </c>
      <c r="B627" s="98" t="s">
        <v>170</v>
      </c>
      <c r="C627" s="99"/>
      <c r="D627" s="99"/>
      <c r="E627" s="89"/>
      <c r="F627" s="582"/>
      <c r="G627" s="186"/>
      <c r="H627" s="68"/>
      <c r="I627" s="68"/>
    </row>
    <row r="628" spans="1:9" ht="12" customHeight="1">
      <c r="A628" s="70"/>
      <c r="B628" s="71" t="s">
        <v>899</v>
      </c>
      <c r="C628" s="166"/>
      <c r="D628" s="166"/>
      <c r="E628" s="166"/>
      <c r="F628" s="573"/>
      <c r="G628" s="186"/>
      <c r="H628" s="68"/>
      <c r="I628" s="68"/>
    </row>
    <row r="629" spans="1:9" ht="12" customHeight="1">
      <c r="A629" s="70"/>
      <c r="B629" s="7" t="s">
        <v>1141</v>
      </c>
      <c r="C629" s="166"/>
      <c r="D629" s="166"/>
      <c r="E629" s="166"/>
      <c r="F629" s="573"/>
      <c r="G629" s="186"/>
      <c r="H629" s="68"/>
      <c r="I629" s="68"/>
    </row>
    <row r="630" spans="1:9" ht="12" customHeight="1">
      <c r="A630" s="70"/>
      <c r="B630" s="85" t="s">
        <v>1102</v>
      </c>
      <c r="C630" s="166">
        <v>7000</v>
      </c>
      <c r="D630" s="166">
        <v>7167</v>
      </c>
      <c r="E630" s="166">
        <v>5434</v>
      </c>
      <c r="F630" s="933">
        <f>SUM(E630/D630)</f>
        <v>0.7581972931491558</v>
      </c>
      <c r="G630" s="186"/>
      <c r="H630" s="68"/>
      <c r="I630" s="68"/>
    </row>
    <row r="631" spans="1:9" ht="12" customHeight="1">
      <c r="A631" s="70"/>
      <c r="B631" s="10" t="s">
        <v>1116</v>
      </c>
      <c r="C631" s="47"/>
      <c r="D631" s="47"/>
      <c r="E631" s="47"/>
      <c r="F631" s="573"/>
      <c r="G631" s="186"/>
      <c r="H631" s="68"/>
      <c r="I631" s="68"/>
    </row>
    <row r="632" spans="1:9" ht="12" customHeight="1">
      <c r="A632" s="70"/>
      <c r="B632" s="10" t="s">
        <v>914</v>
      </c>
      <c r="C632" s="47"/>
      <c r="D632" s="47"/>
      <c r="E632" s="47"/>
      <c r="F632" s="573"/>
      <c r="G632" s="192"/>
      <c r="H632" s="68"/>
      <c r="I632" s="68"/>
    </row>
    <row r="633" spans="1:9" ht="12" customHeight="1" thickBot="1">
      <c r="A633" s="70"/>
      <c r="B633" s="74" t="s">
        <v>1103</v>
      </c>
      <c r="C633" s="48"/>
      <c r="D633" s="48"/>
      <c r="E633" s="48"/>
      <c r="F633" s="940"/>
      <c r="G633" s="30"/>
      <c r="H633" s="68"/>
      <c r="I633" s="68"/>
    </row>
    <row r="634" spans="1:9" ht="12" customHeight="1" thickBot="1">
      <c r="A634" s="52"/>
      <c r="B634" s="57" t="s">
        <v>1095</v>
      </c>
      <c r="C634" s="82">
        <f>SUM(C628:C633)</f>
        <v>7000</v>
      </c>
      <c r="D634" s="82">
        <f>SUM(D628:D633)</f>
        <v>7167</v>
      </c>
      <c r="E634" s="82">
        <f>SUM(E628:E633)</f>
        <v>5434</v>
      </c>
      <c r="F634" s="938">
        <f>SUM(E634/D634)</f>
        <v>0.7581972931491558</v>
      </c>
      <c r="G634" s="188"/>
      <c r="H634" s="68"/>
      <c r="I634" s="68"/>
    </row>
    <row r="635" spans="1:9" ht="12" customHeight="1">
      <c r="A635" s="15">
        <v>3359</v>
      </c>
      <c r="B635" s="98" t="s">
        <v>279</v>
      </c>
      <c r="C635" s="99"/>
      <c r="D635" s="99"/>
      <c r="E635" s="89"/>
      <c r="F635" s="582"/>
      <c r="G635" s="186"/>
      <c r="H635" s="68"/>
      <c r="I635" s="68"/>
    </row>
    <row r="636" spans="1:9" ht="12" customHeight="1">
      <c r="A636" s="70"/>
      <c r="B636" s="71" t="s">
        <v>899</v>
      </c>
      <c r="C636" s="166"/>
      <c r="D636" s="166">
        <v>900</v>
      </c>
      <c r="E636" s="166">
        <v>509</v>
      </c>
      <c r="F636" s="933">
        <f>SUM(E636/D636)</f>
        <v>0.5655555555555556</v>
      </c>
      <c r="G636" s="186"/>
      <c r="H636" s="68"/>
      <c r="I636" s="68"/>
    </row>
    <row r="637" spans="1:9" ht="12" customHeight="1">
      <c r="A637" s="70"/>
      <c r="B637" s="7" t="s">
        <v>1141</v>
      </c>
      <c r="C637" s="166"/>
      <c r="D637" s="166"/>
      <c r="E637" s="166"/>
      <c r="F637" s="573"/>
      <c r="G637" s="186"/>
      <c r="H637" s="68"/>
      <c r="I637" s="68"/>
    </row>
    <row r="638" spans="1:9" ht="12" customHeight="1">
      <c r="A638" s="70"/>
      <c r="B638" s="85" t="s">
        <v>1102</v>
      </c>
      <c r="C638" s="166"/>
      <c r="D638" s="166">
        <v>969</v>
      </c>
      <c r="E638" s="166">
        <v>969</v>
      </c>
      <c r="F638" s="933">
        <f>SUM(E638/D638)</f>
        <v>1</v>
      </c>
      <c r="G638" s="186"/>
      <c r="H638" s="68"/>
      <c r="I638" s="68"/>
    </row>
    <row r="639" spans="1:9" ht="12" customHeight="1">
      <c r="A639" s="70"/>
      <c r="B639" s="10" t="s">
        <v>1116</v>
      </c>
      <c r="C639" s="47"/>
      <c r="D639" s="47"/>
      <c r="E639" s="47"/>
      <c r="F639" s="573"/>
      <c r="G639" s="186"/>
      <c r="H639" s="68"/>
      <c r="I639" s="68"/>
    </row>
    <row r="640" spans="1:9" ht="12" customHeight="1">
      <c r="A640" s="70"/>
      <c r="B640" s="10" t="s">
        <v>914</v>
      </c>
      <c r="C640" s="47"/>
      <c r="D640" s="47"/>
      <c r="E640" s="47"/>
      <c r="F640" s="573"/>
      <c r="G640" s="192"/>
      <c r="H640" s="68"/>
      <c r="I640" s="68"/>
    </row>
    <row r="641" spans="1:9" ht="12" customHeight="1" thickBot="1">
      <c r="A641" s="70"/>
      <c r="B641" s="74" t="s">
        <v>1103</v>
      </c>
      <c r="C641" s="48"/>
      <c r="D641" s="48"/>
      <c r="E641" s="48"/>
      <c r="F641" s="940"/>
      <c r="G641" s="30"/>
      <c r="H641" s="68"/>
      <c r="I641" s="68"/>
    </row>
    <row r="642" spans="1:9" ht="12" customHeight="1" thickBot="1">
      <c r="A642" s="52"/>
      <c r="B642" s="57" t="s">
        <v>1095</v>
      </c>
      <c r="C642" s="82">
        <f>SUM(C636:C641)</f>
        <v>0</v>
      </c>
      <c r="D642" s="82">
        <f>SUM(D636:D641)</f>
        <v>1869</v>
      </c>
      <c r="E642" s="82">
        <f>SUM(E636:E641)</f>
        <v>1478</v>
      </c>
      <c r="F642" s="938">
        <f>SUM(E642/D642)</f>
        <v>0.7907972177635099</v>
      </c>
      <c r="G642" s="188"/>
      <c r="H642" s="68"/>
      <c r="I642" s="68"/>
    </row>
    <row r="643" spans="1:9" ht="12" customHeight="1" thickBot="1">
      <c r="A643" s="69">
        <v>3400</v>
      </c>
      <c r="B643" s="57" t="s">
        <v>998</v>
      </c>
      <c r="C643" s="82">
        <f>SUM(C660+C668+C718)+C652+C676+C684+C692+C701+C709+C726+C734</f>
        <v>92100</v>
      </c>
      <c r="D643" s="82">
        <f>SUM(D660+D668+D718)+D652+D676+D684+D692+D701+D709+D726+D734</f>
        <v>121476</v>
      </c>
      <c r="E643" s="82">
        <f>SUM(E660+E668+E718)+E652+E676+E684+E692+E701+E709+E726+E734</f>
        <v>101011</v>
      </c>
      <c r="F643" s="938">
        <f>SUM(E643/D643)</f>
        <v>0.8315305080839014</v>
      </c>
      <c r="G643" s="188"/>
      <c r="H643" s="68"/>
      <c r="I643" s="68"/>
    </row>
    <row r="644" spans="1:9" ht="12" customHeight="1">
      <c r="A644" s="15">
        <v>3410</v>
      </c>
      <c r="B644" s="108" t="s">
        <v>999</v>
      </c>
      <c r="C644" s="89">
        <f>SUM(C652+C660+C668+C676+C684+C692)</f>
        <v>49100</v>
      </c>
      <c r="D644" s="89">
        <f>SUM(D652+D660+D668+D676+D684+D692)</f>
        <v>45600</v>
      </c>
      <c r="E644" s="89">
        <f>SUM(E652+E660+E668+E676+E684+E692)</f>
        <v>41367</v>
      </c>
      <c r="F644" s="582">
        <f>SUM(E644/D644)</f>
        <v>0.9071710526315789</v>
      </c>
      <c r="G644" s="4"/>
      <c r="H644" s="68"/>
      <c r="I644" s="68"/>
    </row>
    <row r="645" spans="1:9" ht="12" customHeight="1">
      <c r="A645" s="15">
        <v>3411</v>
      </c>
      <c r="B645" s="108" t="s">
        <v>958</v>
      </c>
      <c r="C645" s="89"/>
      <c r="D645" s="89"/>
      <c r="E645" s="89"/>
      <c r="F645" s="573"/>
      <c r="G645" s="186"/>
      <c r="H645" s="68"/>
      <c r="I645" s="68"/>
    </row>
    <row r="646" spans="1:9" ht="12" customHeight="1">
      <c r="A646" s="70"/>
      <c r="B646" s="71" t="s">
        <v>899</v>
      </c>
      <c r="C646" s="77"/>
      <c r="D646" s="77"/>
      <c r="E646" s="77"/>
      <c r="F646" s="573"/>
      <c r="G646" s="186"/>
      <c r="H646" s="68"/>
      <c r="I646" s="68"/>
    </row>
    <row r="647" spans="1:9" ht="12" customHeight="1">
      <c r="A647" s="70"/>
      <c r="B647" s="7" t="s">
        <v>1141</v>
      </c>
      <c r="C647" s="77"/>
      <c r="D647" s="77"/>
      <c r="E647" s="77"/>
      <c r="F647" s="573"/>
      <c r="G647" s="186"/>
      <c r="H647" s="68"/>
      <c r="I647" s="68"/>
    </row>
    <row r="648" spans="1:9" ht="12" customHeight="1">
      <c r="A648" s="70"/>
      <c r="B648" s="85" t="s">
        <v>1102</v>
      </c>
      <c r="C648" s="77"/>
      <c r="D648" s="77"/>
      <c r="E648" s="77"/>
      <c r="F648" s="573"/>
      <c r="G648" s="186"/>
      <c r="H648" s="68"/>
      <c r="I648" s="68"/>
    </row>
    <row r="649" spans="1:9" ht="12" customHeight="1">
      <c r="A649" s="70"/>
      <c r="B649" s="10" t="s">
        <v>1116</v>
      </c>
      <c r="C649" s="267">
        <v>5000</v>
      </c>
      <c r="D649" s="267">
        <v>5000</v>
      </c>
      <c r="E649" s="267">
        <v>5000</v>
      </c>
      <c r="F649" s="933">
        <f>SUM(E649/D649)</f>
        <v>1</v>
      </c>
      <c r="G649" s="186"/>
      <c r="H649" s="68"/>
      <c r="I649" s="68"/>
    </row>
    <row r="650" spans="1:9" ht="12" customHeight="1">
      <c r="A650" s="70"/>
      <c r="B650" s="10" t="s">
        <v>914</v>
      </c>
      <c r="C650" s="77"/>
      <c r="D650" s="77"/>
      <c r="E650" s="77"/>
      <c r="F650" s="573"/>
      <c r="G650" s="186"/>
      <c r="H650" s="68"/>
      <c r="I650" s="68"/>
    </row>
    <row r="651" spans="1:9" ht="12" customHeight="1" thickBot="1">
      <c r="A651" s="70"/>
      <c r="B651" s="74" t="s">
        <v>1103</v>
      </c>
      <c r="C651" s="77"/>
      <c r="D651" s="77"/>
      <c r="E651" s="78"/>
      <c r="F651" s="940"/>
      <c r="G651" s="217"/>
      <c r="H651" s="68"/>
      <c r="I651" s="68"/>
    </row>
    <row r="652" spans="1:9" ht="12" customHeight="1" thickBot="1">
      <c r="A652" s="52"/>
      <c r="B652" s="57" t="s">
        <v>1095</v>
      </c>
      <c r="C652" s="82">
        <f>SUM(C646:C651)</f>
        <v>5000</v>
      </c>
      <c r="D652" s="82">
        <f>SUM(D646:D651)</f>
        <v>5000</v>
      </c>
      <c r="E652" s="82">
        <f>SUM(E646:E651)</f>
        <v>5000</v>
      </c>
      <c r="F652" s="938">
        <f>SUM(E652/D652)</f>
        <v>1</v>
      </c>
      <c r="G652" s="61"/>
      <c r="H652" s="68"/>
      <c r="I652" s="68"/>
    </row>
    <row r="653" spans="1:7" s="50" customFormat="1" ht="12" customHeight="1">
      <c r="A653" s="15">
        <v>3412</v>
      </c>
      <c r="B653" s="98" t="s">
        <v>973</v>
      </c>
      <c r="C653" s="99"/>
      <c r="D653" s="99"/>
      <c r="E653" s="89"/>
      <c r="F653" s="582"/>
      <c r="G653" s="31"/>
    </row>
    <row r="654" spans="1:9" ht="12" customHeight="1">
      <c r="A654" s="70"/>
      <c r="B654" s="71" t="s">
        <v>899</v>
      </c>
      <c r="C654" s="77"/>
      <c r="D654" s="77">
        <v>701</v>
      </c>
      <c r="E654" s="77">
        <v>701</v>
      </c>
      <c r="F654" s="933">
        <f>SUM(E654/D654)</f>
        <v>1</v>
      </c>
      <c r="G654" s="186"/>
      <c r="H654" s="68"/>
      <c r="I654" s="68"/>
    </row>
    <row r="655" spans="1:9" ht="12" customHeight="1">
      <c r="A655" s="70"/>
      <c r="B655" s="7" t="s">
        <v>1141</v>
      </c>
      <c r="C655" s="77"/>
      <c r="D655" s="77">
        <v>140</v>
      </c>
      <c r="E655" s="77">
        <v>140</v>
      </c>
      <c r="F655" s="933">
        <f>SUM(E655/D655)</f>
        <v>1</v>
      </c>
      <c r="G655" s="186"/>
      <c r="H655" s="68"/>
      <c r="I655" s="68"/>
    </row>
    <row r="656" spans="1:9" ht="12" customHeight="1">
      <c r="A656" s="70"/>
      <c r="B656" s="85" t="s">
        <v>1102</v>
      </c>
      <c r="C656" s="267">
        <v>3500</v>
      </c>
      <c r="D656" s="267">
        <v>2559</v>
      </c>
      <c r="E656" s="267">
        <v>955</v>
      </c>
      <c r="F656" s="933">
        <f>SUM(E656/D656)</f>
        <v>0.37319265338022667</v>
      </c>
      <c r="G656" s="186"/>
      <c r="H656" s="68"/>
      <c r="I656" s="68"/>
    </row>
    <row r="657" spans="1:9" ht="12" customHeight="1">
      <c r="A657" s="70"/>
      <c r="B657" s="10" t="s">
        <v>1116</v>
      </c>
      <c r="C657" s="77"/>
      <c r="D657" s="77">
        <v>100</v>
      </c>
      <c r="E657" s="77">
        <v>100</v>
      </c>
      <c r="F657" s="933">
        <f>SUM(E657/D657)</f>
        <v>1</v>
      </c>
      <c r="G657" s="192"/>
      <c r="H657" s="68"/>
      <c r="I657" s="68"/>
    </row>
    <row r="658" spans="1:9" ht="12" customHeight="1">
      <c r="A658" s="70"/>
      <c r="B658" s="10" t="s">
        <v>914</v>
      </c>
      <c r="C658" s="77"/>
      <c r="D658" s="77"/>
      <c r="E658" s="77"/>
      <c r="F658" s="573"/>
      <c r="G658" s="5"/>
      <c r="H658" s="68"/>
      <c r="I658" s="68"/>
    </row>
    <row r="659" spans="1:9" ht="12" customHeight="1" thickBot="1">
      <c r="A659" s="70"/>
      <c r="B659" s="74" t="s">
        <v>1103</v>
      </c>
      <c r="C659" s="77"/>
      <c r="D659" s="77"/>
      <c r="E659" s="78"/>
      <c r="F659" s="940"/>
      <c r="G659" s="189"/>
      <c r="H659" s="68"/>
      <c r="I659" s="68"/>
    </row>
    <row r="660" spans="1:9" ht="12" customHeight="1" thickBot="1">
      <c r="A660" s="52"/>
      <c r="B660" s="57" t="s">
        <v>1095</v>
      </c>
      <c r="C660" s="82">
        <f>SUM(C654:C659)</f>
        <v>3500</v>
      </c>
      <c r="D660" s="82">
        <f>SUM(D654:D659)</f>
        <v>3500</v>
      </c>
      <c r="E660" s="82">
        <f>SUM(E654:E659)</f>
        <v>1896</v>
      </c>
      <c r="F660" s="938">
        <f>SUM(E660/D660)</f>
        <v>0.5417142857142857</v>
      </c>
      <c r="G660" s="125"/>
      <c r="H660" s="68"/>
      <c r="I660" s="68"/>
    </row>
    <row r="661" spans="1:9" ht="12" customHeight="1">
      <c r="A661" s="15">
        <v>3413</v>
      </c>
      <c r="B661" s="103" t="s">
        <v>974</v>
      </c>
      <c r="C661" s="89"/>
      <c r="D661" s="89"/>
      <c r="E661" s="89"/>
      <c r="F661" s="582"/>
      <c r="G661" s="31"/>
      <c r="H661" s="68"/>
      <c r="I661" s="68"/>
    </row>
    <row r="662" spans="1:9" ht="12" customHeight="1">
      <c r="A662" s="70"/>
      <c r="B662" s="71" t="s">
        <v>899</v>
      </c>
      <c r="C662" s="77"/>
      <c r="D662" s="77">
        <v>685</v>
      </c>
      <c r="E662" s="77">
        <v>685</v>
      </c>
      <c r="F662" s="933">
        <f>SUM(E662/D662)</f>
        <v>1</v>
      </c>
      <c r="G662" s="186"/>
      <c r="H662" s="68"/>
      <c r="I662" s="68"/>
    </row>
    <row r="663" spans="1:9" ht="12" customHeight="1">
      <c r="A663" s="70"/>
      <c r="B663" s="7" t="s">
        <v>1141</v>
      </c>
      <c r="C663" s="77"/>
      <c r="D663" s="77">
        <v>111</v>
      </c>
      <c r="E663" s="77">
        <v>110</v>
      </c>
      <c r="F663" s="933">
        <f>SUM(E663/D663)</f>
        <v>0.990990990990991</v>
      </c>
      <c r="G663" s="186"/>
      <c r="H663" s="68"/>
      <c r="I663" s="68"/>
    </row>
    <row r="664" spans="1:9" ht="12" customHeight="1">
      <c r="A664" s="70"/>
      <c r="B664" s="85" t="s">
        <v>1102</v>
      </c>
      <c r="C664" s="267">
        <v>11000</v>
      </c>
      <c r="D664" s="267">
        <v>5704</v>
      </c>
      <c r="E664" s="267">
        <v>3076</v>
      </c>
      <c r="F664" s="933">
        <f>SUM(E664/D664)</f>
        <v>0.5392706872370266</v>
      </c>
      <c r="G664" s="186"/>
      <c r="H664" s="68"/>
      <c r="I664" s="68"/>
    </row>
    <row r="665" spans="1:9" ht="12" customHeight="1">
      <c r="A665" s="70"/>
      <c r="B665" s="10" t="s">
        <v>1116</v>
      </c>
      <c r="C665" s="77"/>
      <c r="D665" s="77">
        <v>4500</v>
      </c>
      <c r="E665" s="77">
        <v>4500</v>
      </c>
      <c r="F665" s="933">
        <f>SUM(E665/D665)</f>
        <v>1</v>
      </c>
      <c r="G665" s="186"/>
      <c r="H665" s="68"/>
      <c r="I665" s="68"/>
    </row>
    <row r="666" spans="1:9" ht="12" customHeight="1">
      <c r="A666" s="70"/>
      <c r="B666" s="10" t="s">
        <v>914</v>
      </c>
      <c r="C666" s="77"/>
      <c r="D666" s="77"/>
      <c r="E666" s="77"/>
      <c r="F666" s="573"/>
      <c r="G666" s="192"/>
      <c r="H666" s="68"/>
      <c r="I666" s="68"/>
    </row>
    <row r="667" spans="1:9" ht="12" customHeight="1" thickBot="1">
      <c r="A667" s="70"/>
      <c r="B667" s="74" t="s">
        <v>1103</v>
      </c>
      <c r="C667" s="77"/>
      <c r="D667" s="77"/>
      <c r="E667" s="78"/>
      <c r="F667" s="940"/>
      <c r="G667" s="30"/>
      <c r="H667" s="68"/>
      <c r="I667" s="68"/>
    </row>
    <row r="668" spans="1:9" ht="12" customHeight="1" thickBot="1">
      <c r="A668" s="52"/>
      <c r="B668" s="57" t="s">
        <v>1095</v>
      </c>
      <c r="C668" s="82">
        <f>SUM(C662:C667)</f>
        <v>11000</v>
      </c>
      <c r="D668" s="82">
        <f>SUM(D662:D667)</f>
        <v>11000</v>
      </c>
      <c r="E668" s="82">
        <f>SUM(E662:E667)</f>
        <v>8371</v>
      </c>
      <c r="F668" s="938">
        <f>SUM(E668/D668)</f>
        <v>0.761</v>
      </c>
      <c r="G668" s="125"/>
      <c r="H668" s="68"/>
      <c r="I668" s="68"/>
    </row>
    <row r="669" spans="1:9" ht="12" customHeight="1">
      <c r="A669" s="15">
        <v>3414</v>
      </c>
      <c r="B669" s="103" t="s">
        <v>1033</v>
      </c>
      <c r="C669" s="89"/>
      <c r="D669" s="89"/>
      <c r="E669" s="89"/>
      <c r="F669" s="582"/>
      <c r="G669" s="31"/>
      <c r="H669" s="68"/>
      <c r="I669" s="68"/>
    </row>
    <row r="670" spans="1:9" ht="12" customHeight="1">
      <c r="A670" s="70"/>
      <c r="B670" s="71" t="s">
        <v>899</v>
      </c>
      <c r="C670" s="77"/>
      <c r="D670" s="77"/>
      <c r="E670" s="77"/>
      <c r="F670" s="573"/>
      <c r="G670" s="186"/>
      <c r="H670" s="68"/>
      <c r="I670" s="68"/>
    </row>
    <row r="671" spans="1:9" ht="12" customHeight="1">
      <c r="A671" s="70"/>
      <c r="B671" s="7" t="s">
        <v>1141</v>
      </c>
      <c r="C671" s="77"/>
      <c r="D671" s="77"/>
      <c r="E671" s="77"/>
      <c r="F671" s="573"/>
      <c r="G671" s="186"/>
      <c r="H671" s="68"/>
      <c r="I671" s="68"/>
    </row>
    <row r="672" spans="1:9" ht="12" customHeight="1">
      <c r="A672" s="70"/>
      <c r="B672" s="85" t="s">
        <v>1102</v>
      </c>
      <c r="C672" s="77"/>
      <c r="D672" s="77"/>
      <c r="E672" s="77"/>
      <c r="F672" s="573"/>
      <c r="G672" s="186"/>
      <c r="H672" s="68"/>
      <c r="I672" s="68"/>
    </row>
    <row r="673" spans="1:9" ht="12" customHeight="1">
      <c r="A673" s="70"/>
      <c r="B673" s="10" t="s">
        <v>1116</v>
      </c>
      <c r="C673" s="267">
        <v>7000</v>
      </c>
      <c r="D673" s="267">
        <v>3500</v>
      </c>
      <c r="E673" s="267">
        <v>3500</v>
      </c>
      <c r="F673" s="933">
        <f>SUM(E673/D673)</f>
        <v>1</v>
      </c>
      <c r="G673" s="186"/>
      <c r="H673" s="68"/>
      <c r="I673" s="68"/>
    </row>
    <row r="674" spans="1:9" ht="12" customHeight="1">
      <c r="A674" s="70"/>
      <c r="B674" s="10" t="s">
        <v>914</v>
      </c>
      <c r="C674" s="77"/>
      <c r="D674" s="77"/>
      <c r="E674" s="77"/>
      <c r="F674" s="573"/>
      <c r="G674" s="192"/>
      <c r="H674" s="68"/>
      <c r="I674" s="68"/>
    </row>
    <row r="675" spans="1:9" ht="12" customHeight="1" thickBot="1">
      <c r="A675" s="70"/>
      <c r="B675" s="74" t="s">
        <v>1103</v>
      </c>
      <c r="C675" s="77"/>
      <c r="D675" s="77"/>
      <c r="E675" s="78"/>
      <c r="F675" s="940"/>
      <c r="G675" s="30"/>
      <c r="H675" s="68"/>
      <c r="I675" s="68"/>
    </row>
    <row r="676" spans="1:9" ht="12" customHeight="1" thickBot="1">
      <c r="A676" s="52"/>
      <c r="B676" s="57" t="s">
        <v>1095</v>
      </c>
      <c r="C676" s="82">
        <f>SUM(C670:C675)</f>
        <v>7000</v>
      </c>
      <c r="D676" s="82">
        <f>SUM(D670:D675)</f>
        <v>3500</v>
      </c>
      <c r="E676" s="82">
        <f>SUM(E670:E675)</f>
        <v>3500</v>
      </c>
      <c r="F676" s="938">
        <f>SUM(E676/D676)</f>
        <v>1</v>
      </c>
      <c r="G676" s="125"/>
      <c r="H676" s="68"/>
      <c r="I676" s="68"/>
    </row>
    <row r="677" spans="1:9" ht="12" customHeight="1">
      <c r="A677" s="15">
        <v>3415</v>
      </c>
      <c r="B677" s="103" t="s">
        <v>1068</v>
      </c>
      <c r="C677" s="89"/>
      <c r="D677" s="89"/>
      <c r="E677" s="89"/>
      <c r="F677" s="582"/>
      <c r="G677" s="31" t="s">
        <v>1065</v>
      </c>
      <c r="H677" s="68"/>
      <c r="I677" s="68"/>
    </row>
    <row r="678" spans="1:9" ht="12" customHeight="1">
      <c r="A678" s="70"/>
      <c r="B678" s="71" t="s">
        <v>899</v>
      </c>
      <c r="C678" s="77"/>
      <c r="D678" s="77"/>
      <c r="E678" s="77"/>
      <c r="F678" s="573"/>
      <c r="G678" s="186"/>
      <c r="H678" s="68"/>
      <c r="I678" s="68"/>
    </row>
    <row r="679" spans="1:9" ht="12" customHeight="1">
      <c r="A679" s="70"/>
      <c r="B679" s="7" t="s">
        <v>1141</v>
      </c>
      <c r="C679" s="77"/>
      <c r="D679" s="77"/>
      <c r="E679" s="77"/>
      <c r="F679" s="573"/>
      <c r="G679" s="186"/>
      <c r="H679" s="68"/>
      <c r="I679" s="68"/>
    </row>
    <row r="680" spans="1:9" ht="12" customHeight="1">
      <c r="A680" s="70"/>
      <c r="B680" s="85" t="s">
        <v>1102</v>
      </c>
      <c r="C680" s="77"/>
      <c r="D680" s="77"/>
      <c r="E680" s="77"/>
      <c r="F680" s="573"/>
      <c r="G680" s="186"/>
      <c r="H680" s="68"/>
      <c r="I680" s="68"/>
    </row>
    <row r="681" spans="1:9" ht="12" customHeight="1">
      <c r="A681" s="70"/>
      <c r="B681" s="10" t="s">
        <v>1116</v>
      </c>
      <c r="C681" s="77">
        <v>2600</v>
      </c>
      <c r="D681" s="77">
        <v>2600</v>
      </c>
      <c r="E681" s="77">
        <v>2600</v>
      </c>
      <c r="F681" s="933">
        <f>SUM(E681/D681)</f>
        <v>1</v>
      </c>
      <c r="G681" s="186"/>
      <c r="H681" s="68"/>
      <c r="I681" s="68"/>
    </row>
    <row r="682" spans="1:9" ht="12" customHeight="1">
      <c r="A682" s="70"/>
      <c r="B682" s="10" t="s">
        <v>914</v>
      </c>
      <c r="C682" s="77"/>
      <c r="D682" s="77"/>
      <c r="E682" s="77"/>
      <c r="F682" s="573"/>
      <c r="G682" s="192"/>
      <c r="H682" s="68"/>
      <c r="I682" s="68"/>
    </row>
    <row r="683" spans="1:9" ht="12" customHeight="1" thickBot="1">
      <c r="A683" s="70"/>
      <c r="B683" s="74" t="s">
        <v>1103</v>
      </c>
      <c r="C683" s="77"/>
      <c r="D683" s="77"/>
      <c r="E683" s="78"/>
      <c r="F683" s="940"/>
      <c r="G683" s="30"/>
      <c r="H683" s="68"/>
      <c r="I683" s="68"/>
    </row>
    <row r="684" spans="1:9" ht="12" customHeight="1" thickBot="1">
      <c r="A684" s="52"/>
      <c r="B684" s="57" t="s">
        <v>1095</v>
      </c>
      <c r="C684" s="82">
        <f>SUM(C678:C683)</f>
        <v>2600</v>
      </c>
      <c r="D684" s="82">
        <f>SUM(D678:D683)</f>
        <v>2600</v>
      </c>
      <c r="E684" s="82">
        <f>SUM(E678:E683)</f>
        <v>2600</v>
      </c>
      <c r="F684" s="938">
        <f>SUM(E684/D684)</f>
        <v>1</v>
      </c>
      <c r="G684" s="125"/>
      <c r="H684" s="68"/>
      <c r="I684" s="68"/>
    </row>
    <row r="685" spans="1:9" ht="12" customHeight="1">
      <c r="A685" s="15">
        <v>3416</v>
      </c>
      <c r="B685" s="103" t="s">
        <v>1042</v>
      </c>
      <c r="C685" s="89"/>
      <c r="D685" s="89"/>
      <c r="E685" s="89"/>
      <c r="F685" s="582"/>
      <c r="G685" s="31" t="s">
        <v>1065</v>
      </c>
      <c r="H685" s="68"/>
      <c r="I685" s="68"/>
    </row>
    <row r="686" spans="1:9" ht="12" customHeight="1">
      <c r="A686" s="70"/>
      <c r="B686" s="71" t="s">
        <v>899</v>
      </c>
      <c r="C686" s="77"/>
      <c r="D686" s="77"/>
      <c r="E686" s="77"/>
      <c r="F686" s="573"/>
      <c r="G686" s="186"/>
      <c r="H686" s="68"/>
      <c r="I686" s="68"/>
    </row>
    <row r="687" spans="1:9" ht="12" customHeight="1">
      <c r="A687" s="70"/>
      <c r="B687" s="7" t="s">
        <v>1141</v>
      </c>
      <c r="C687" s="77"/>
      <c r="D687" s="77"/>
      <c r="E687" s="77"/>
      <c r="F687" s="573"/>
      <c r="G687" s="186"/>
      <c r="H687" s="68"/>
      <c r="I687" s="68"/>
    </row>
    <row r="688" spans="1:9" ht="12" customHeight="1">
      <c r="A688" s="70"/>
      <c r="B688" s="85" t="s">
        <v>1102</v>
      </c>
      <c r="C688" s="77"/>
      <c r="D688" s="77"/>
      <c r="E688" s="77"/>
      <c r="F688" s="573"/>
      <c r="G688" s="186"/>
      <c r="H688" s="68"/>
      <c r="I688" s="68"/>
    </row>
    <row r="689" spans="1:9" ht="12" customHeight="1">
      <c r="A689" s="70"/>
      <c r="B689" s="10" t="s">
        <v>1116</v>
      </c>
      <c r="C689" s="77">
        <v>20000</v>
      </c>
      <c r="D689" s="77">
        <v>20000</v>
      </c>
      <c r="E689" s="77">
        <v>20000</v>
      </c>
      <c r="F689" s="933">
        <f>SUM(E689/D689)</f>
        <v>1</v>
      </c>
      <c r="G689" s="186"/>
      <c r="H689" s="68"/>
      <c r="I689" s="68"/>
    </row>
    <row r="690" spans="1:9" ht="12" customHeight="1">
      <c r="A690" s="70"/>
      <c r="B690" s="10" t="s">
        <v>914</v>
      </c>
      <c r="C690" s="77"/>
      <c r="D690" s="77"/>
      <c r="E690" s="77"/>
      <c r="F690" s="573"/>
      <c r="G690" s="192"/>
      <c r="H690" s="68"/>
      <c r="I690" s="68"/>
    </row>
    <row r="691" spans="1:9" ht="12" customHeight="1" thickBot="1">
      <c r="A691" s="70"/>
      <c r="B691" s="74" t="s">
        <v>1103</v>
      </c>
      <c r="C691" s="77"/>
      <c r="D691" s="77"/>
      <c r="E691" s="78"/>
      <c r="F691" s="940"/>
      <c r="G691" s="30"/>
      <c r="H691" s="68"/>
      <c r="I691" s="68"/>
    </row>
    <row r="692" spans="1:9" ht="12" customHeight="1" thickBot="1">
      <c r="A692" s="52"/>
      <c r="B692" s="57" t="s">
        <v>1095</v>
      </c>
      <c r="C692" s="82">
        <f>SUM(C686:C691)</f>
        <v>20000</v>
      </c>
      <c r="D692" s="82">
        <f>SUM(D686:D691)</f>
        <v>20000</v>
      </c>
      <c r="E692" s="82">
        <f>SUM(E686:E691)</f>
        <v>20000</v>
      </c>
      <c r="F692" s="938">
        <f>SUM(E692/D692)</f>
        <v>1</v>
      </c>
      <c r="G692" s="125"/>
      <c r="H692" s="68"/>
      <c r="I692" s="68"/>
    </row>
    <row r="693" spans="1:9" ht="12" customHeight="1">
      <c r="A693" s="15">
        <v>3420</v>
      </c>
      <c r="B693" s="108" t="s">
        <v>1000</v>
      </c>
      <c r="C693" s="89">
        <f>SUM(C701+C709+C718+C726+C734)</f>
        <v>43000</v>
      </c>
      <c r="D693" s="89">
        <f>SUM(D701+D709+D718+D726+D734)</f>
        <v>75876</v>
      </c>
      <c r="E693" s="89">
        <f>SUM(E701+E709+E718+E726+E734)</f>
        <v>59644</v>
      </c>
      <c r="F693" s="582">
        <f>SUM(E693/D693)</f>
        <v>0.7860720122304813</v>
      </c>
      <c r="G693" s="31"/>
      <c r="H693" s="68"/>
      <c r="I693" s="68"/>
    </row>
    <row r="694" spans="1:9" ht="12" customHeight="1">
      <c r="A694" s="15">
        <v>3421</v>
      </c>
      <c r="B694" s="103" t="s">
        <v>929</v>
      </c>
      <c r="C694" s="89"/>
      <c r="D694" s="89"/>
      <c r="E694" s="89"/>
      <c r="F694" s="573"/>
      <c r="G694" s="4" t="s">
        <v>1065</v>
      </c>
      <c r="H694" s="68"/>
      <c r="I694" s="68"/>
    </row>
    <row r="695" spans="1:9" ht="12" customHeight="1">
      <c r="A695" s="70"/>
      <c r="B695" s="71" t="s">
        <v>899</v>
      </c>
      <c r="C695" s="77"/>
      <c r="D695" s="77"/>
      <c r="E695" s="77"/>
      <c r="F695" s="573"/>
      <c r="G695" s="5"/>
      <c r="H695" s="68"/>
      <c r="I695" s="68"/>
    </row>
    <row r="696" spans="1:9" ht="12" customHeight="1">
      <c r="A696" s="70"/>
      <c r="B696" s="7" t="s">
        <v>1141</v>
      </c>
      <c r="C696" s="77"/>
      <c r="D696" s="77"/>
      <c r="E696" s="77"/>
      <c r="F696" s="573"/>
      <c r="G696" s="5"/>
      <c r="H696" s="68"/>
      <c r="I696" s="68"/>
    </row>
    <row r="697" spans="1:9" ht="12" customHeight="1">
      <c r="A697" s="70"/>
      <c r="B697" s="85" t="s">
        <v>1102</v>
      </c>
      <c r="C697" s="77"/>
      <c r="D697" s="77"/>
      <c r="E697" s="77"/>
      <c r="F697" s="573"/>
      <c r="G697" s="5"/>
      <c r="H697" s="68"/>
      <c r="I697" s="68"/>
    </row>
    <row r="698" spans="1:9" ht="12" customHeight="1">
      <c r="A698" s="70"/>
      <c r="B698" s="10" t="s">
        <v>1116</v>
      </c>
      <c r="C698" s="77">
        <v>18462</v>
      </c>
      <c r="D698" s="77">
        <v>18462</v>
      </c>
      <c r="E698" s="77">
        <v>15570</v>
      </c>
      <c r="F698" s="933">
        <f>SUM(E698/D698)</f>
        <v>0.8433539161520962</v>
      </c>
      <c r="G698" s="2"/>
      <c r="H698" s="68"/>
      <c r="I698" s="68"/>
    </row>
    <row r="699" spans="1:9" ht="12" customHeight="1">
      <c r="A699" s="70"/>
      <c r="B699" s="10" t="s">
        <v>914</v>
      </c>
      <c r="C699" s="77"/>
      <c r="D699" s="77"/>
      <c r="E699" s="77"/>
      <c r="F699" s="573"/>
      <c r="G699" s="5"/>
      <c r="H699" s="68"/>
      <c r="I699" s="68"/>
    </row>
    <row r="700" spans="1:9" ht="12" customHeight="1" thickBot="1">
      <c r="A700" s="70"/>
      <c r="B700" s="74" t="s">
        <v>1103</v>
      </c>
      <c r="C700" s="77"/>
      <c r="D700" s="77"/>
      <c r="E700" s="78"/>
      <c r="F700" s="940"/>
      <c r="G700" s="30"/>
      <c r="H700" s="68"/>
      <c r="I700" s="68"/>
    </row>
    <row r="701" spans="1:9" ht="12" customHeight="1" thickBot="1">
      <c r="A701" s="52"/>
      <c r="B701" s="57" t="s">
        <v>1095</v>
      </c>
      <c r="C701" s="82">
        <f>SUM(C695:C700)</f>
        <v>18462</v>
      </c>
      <c r="D701" s="82">
        <f>SUM(D695:D700)</f>
        <v>18462</v>
      </c>
      <c r="E701" s="82">
        <f>SUM(E695:E700)</f>
        <v>15570</v>
      </c>
      <c r="F701" s="938">
        <f>SUM(E701/D701)</f>
        <v>0.8433539161520962</v>
      </c>
      <c r="G701" s="188"/>
      <c r="H701" s="68"/>
      <c r="I701" s="68"/>
    </row>
    <row r="702" spans="1:9" ht="12" customHeight="1">
      <c r="A702" s="15">
        <v>3422</v>
      </c>
      <c r="B702" s="103" t="s">
        <v>976</v>
      </c>
      <c r="C702" s="89"/>
      <c r="D702" s="89"/>
      <c r="E702" s="89"/>
      <c r="F702" s="582"/>
      <c r="G702" s="4"/>
      <c r="H702" s="68"/>
      <c r="I702" s="68"/>
    </row>
    <row r="703" spans="1:9" ht="12" customHeight="1">
      <c r="A703" s="70"/>
      <c r="B703" s="71" t="s">
        <v>899</v>
      </c>
      <c r="C703" s="77"/>
      <c r="D703" s="77">
        <v>6000</v>
      </c>
      <c r="E703" s="77">
        <v>4500</v>
      </c>
      <c r="F703" s="933">
        <f>SUM(E703/D703)</f>
        <v>0.75</v>
      </c>
      <c r="G703" s="5"/>
      <c r="H703" s="68"/>
      <c r="I703" s="68"/>
    </row>
    <row r="704" spans="1:9" ht="12" customHeight="1">
      <c r="A704" s="70"/>
      <c r="B704" s="7" t="s">
        <v>1141</v>
      </c>
      <c r="C704" s="77"/>
      <c r="D704" s="77">
        <v>1630</v>
      </c>
      <c r="E704" s="77">
        <v>1627</v>
      </c>
      <c r="F704" s="933">
        <f>SUM(E704/D704)</f>
        <v>0.998159509202454</v>
      </c>
      <c r="G704" s="5"/>
      <c r="H704" s="68"/>
      <c r="I704" s="68"/>
    </row>
    <row r="705" spans="1:9" ht="12" customHeight="1">
      <c r="A705" s="70"/>
      <c r="B705" s="85" t="s">
        <v>1102</v>
      </c>
      <c r="C705" s="77">
        <v>8000</v>
      </c>
      <c r="D705" s="77">
        <v>29368</v>
      </c>
      <c r="E705" s="77">
        <v>21593</v>
      </c>
      <c r="F705" s="933">
        <f>SUM(E705/D705)</f>
        <v>0.7352560610187959</v>
      </c>
      <c r="G705" s="5"/>
      <c r="H705" s="68"/>
      <c r="I705" s="68"/>
    </row>
    <row r="706" spans="1:9" ht="12" customHeight="1">
      <c r="A706" s="70"/>
      <c r="B706" s="10" t="s">
        <v>1116</v>
      </c>
      <c r="C706" s="77"/>
      <c r="D706" s="77">
        <v>3878</v>
      </c>
      <c r="E706" s="77">
        <v>3449</v>
      </c>
      <c r="F706" s="933">
        <f>SUM(E706/D706)</f>
        <v>0.8893759669932955</v>
      </c>
      <c r="G706" s="2"/>
      <c r="H706" s="68"/>
      <c r="I706" s="68"/>
    </row>
    <row r="707" spans="1:9" ht="12" customHeight="1">
      <c r="A707" s="70"/>
      <c r="B707" s="10" t="s">
        <v>914</v>
      </c>
      <c r="C707" s="77"/>
      <c r="D707" s="77"/>
      <c r="E707" s="77"/>
      <c r="F707" s="573"/>
      <c r="G707" s="5"/>
      <c r="H707" s="68"/>
      <c r="I707" s="68"/>
    </row>
    <row r="708" spans="1:9" ht="12" customHeight="1" thickBot="1">
      <c r="A708" s="70"/>
      <c r="B708" s="74" t="s">
        <v>1103</v>
      </c>
      <c r="C708" s="77"/>
      <c r="D708" s="77"/>
      <c r="E708" s="78"/>
      <c r="F708" s="940"/>
      <c r="G708" s="30"/>
      <c r="H708" s="68"/>
      <c r="I708" s="68"/>
    </row>
    <row r="709" spans="1:9" ht="12" customHeight="1" thickBot="1">
      <c r="A709" s="52"/>
      <c r="B709" s="57" t="s">
        <v>1095</v>
      </c>
      <c r="C709" s="82">
        <f>SUM(C703:C708)</f>
        <v>8000</v>
      </c>
      <c r="D709" s="82">
        <f>SUM(D703:D708)</f>
        <v>40876</v>
      </c>
      <c r="E709" s="82">
        <f>SUM(E703:E708)</f>
        <v>31169</v>
      </c>
      <c r="F709" s="938">
        <f>SUM(E709/D709)</f>
        <v>0.7625256874449555</v>
      </c>
      <c r="G709" s="188"/>
      <c r="H709" s="68"/>
      <c r="I709" s="68"/>
    </row>
    <row r="710" spans="1:9" ht="12" customHeight="1">
      <c r="A710" s="15">
        <v>3423</v>
      </c>
      <c r="B710" s="103" t="s">
        <v>975</v>
      </c>
      <c r="C710" s="89"/>
      <c r="D710" s="89"/>
      <c r="E710" s="89"/>
      <c r="F710" s="582"/>
      <c r="G710" s="186"/>
      <c r="H710" s="68"/>
      <c r="I710" s="68"/>
    </row>
    <row r="711" spans="1:9" ht="12" customHeight="1">
      <c r="A711" s="70"/>
      <c r="B711" s="71" t="s">
        <v>899</v>
      </c>
      <c r="C711" s="77"/>
      <c r="D711" s="77">
        <v>108</v>
      </c>
      <c r="E711" s="77">
        <v>108</v>
      </c>
      <c r="F711" s="933">
        <f>SUM(E711/D711)</f>
        <v>1</v>
      </c>
      <c r="G711" s="186"/>
      <c r="H711" s="68"/>
      <c r="I711" s="68"/>
    </row>
    <row r="712" spans="1:9" ht="12" customHeight="1">
      <c r="A712" s="70"/>
      <c r="B712" s="7" t="s">
        <v>1141</v>
      </c>
      <c r="C712" s="77"/>
      <c r="D712" s="77">
        <v>116</v>
      </c>
      <c r="E712" s="77">
        <v>116</v>
      </c>
      <c r="F712" s="933">
        <f>SUM(E712/D712)</f>
        <v>1</v>
      </c>
      <c r="G712" s="186"/>
      <c r="H712" s="68"/>
      <c r="I712" s="68"/>
    </row>
    <row r="713" spans="1:9" ht="12" customHeight="1">
      <c r="A713" s="70"/>
      <c r="B713" s="85" t="s">
        <v>1102</v>
      </c>
      <c r="C713" s="77">
        <v>8000</v>
      </c>
      <c r="D713" s="77">
        <v>4714</v>
      </c>
      <c r="E713" s="77">
        <v>4078</v>
      </c>
      <c r="F713" s="933">
        <f>SUM(E713/D713)</f>
        <v>0.8650827322868052</v>
      </c>
      <c r="G713" s="186"/>
      <c r="H713" s="68"/>
      <c r="I713" s="68"/>
    </row>
    <row r="714" spans="1:9" ht="12" customHeight="1">
      <c r="A714" s="70"/>
      <c r="B714" s="10" t="s">
        <v>1116</v>
      </c>
      <c r="C714" s="77">
        <v>2000</v>
      </c>
      <c r="D714" s="77">
        <v>3753</v>
      </c>
      <c r="E714" s="77">
        <v>1500</v>
      </c>
      <c r="F714" s="933">
        <f>SUM(E714/D714)</f>
        <v>0.3996802557953637</v>
      </c>
      <c r="G714" s="186"/>
      <c r="H714" s="68"/>
      <c r="I714" s="68"/>
    </row>
    <row r="715" spans="1:9" ht="12" customHeight="1">
      <c r="A715" s="70"/>
      <c r="B715" s="10" t="s">
        <v>914</v>
      </c>
      <c r="C715" s="77"/>
      <c r="D715" s="77"/>
      <c r="E715" s="77"/>
      <c r="F715" s="573"/>
      <c r="G715" s="192"/>
      <c r="H715" s="68"/>
      <c r="I715" s="68"/>
    </row>
    <row r="716" spans="1:9" ht="12" customHeight="1">
      <c r="A716" s="70"/>
      <c r="B716" s="10" t="s">
        <v>283</v>
      </c>
      <c r="C716" s="77"/>
      <c r="D716" s="77">
        <v>109</v>
      </c>
      <c r="E716" s="77">
        <v>109</v>
      </c>
      <c r="F716" s="933">
        <f aca="true" t="shared" si="1" ref="F716:F750">SUM(E716/D716)</f>
        <v>1</v>
      </c>
      <c r="G716" s="54"/>
      <c r="H716" s="68"/>
      <c r="I716" s="68"/>
    </row>
    <row r="717" spans="1:9" ht="12" customHeight="1" thickBot="1">
      <c r="A717" s="70"/>
      <c r="B717" s="74" t="s">
        <v>891</v>
      </c>
      <c r="C717" s="77"/>
      <c r="D717" s="77">
        <v>1200</v>
      </c>
      <c r="E717" s="78">
        <v>1200</v>
      </c>
      <c r="F717" s="937">
        <f t="shared" si="1"/>
        <v>1</v>
      </c>
      <c r="G717" s="30"/>
      <c r="H717" s="68"/>
      <c r="I717" s="68"/>
    </row>
    <row r="718" spans="1:9" ht="12.75" customHeight="1" thickBot="1">
      <c r="A718" s="52"/>
      <c r="B718" s="57" t="s">
        <v>1095</v>
      </c>
      <c r="C718" s="82">
        <f>SUM(C711:C717)</f>
        <v>10000</v>
      </c>
      <c r="D718" s="82">
        <f>SUM(D711:D717)</f>
        <v>10000</v>
      </c>
      <c r="E718" s="82">
        <f>SUM(E711:E717)</f>
        <v>7111</v>
      </c>
      <c r="F718" s="938">
        <f t="shared" si="1"/>
        <v>0.7111</v>
      </c>
      <c r="G718" s="188"/>
      <c r="H718" s="68"/>
      <c r="I718" s="68"/>
    </row>
    <row r="719" spans="1:9" ht="12.75" customHeight="1">
      <c r="A719" s="15">
        <v>3424</v>
      </c>
      <c r="B719" s="103" t="s">
        <v>1135</v>
      </c>
      <c r="C719" s="89"/>
      <c r="D719" s="89"/>
      <c r="E719" s="89"/>
      <c r="F719" s="582"/>
      <c r="G719" s="186"/>
      <c r="H719" s="68"/>
      <c r="I719" s="68"/>
    </row>
    <row r="720" spans="1:9" ht="12.75" customHeight="1">
      <c r="A720" s="70"/>
      <c r="B720" s="71" t="s">
        <v>899</v>
      </c>
      <c r="C720" s="77"/>
      <c r="D720" s="77"/>
      <c r="E720" s="77"/>
      <c r="F720" s="573"/>
      <c r="G720" s="186"/>
      <c r="H720" s="68"/>
      <c r="I720" s="68"/>
    </row>
    <row r="721" spans="1:9" ht="12.75" customHeight="1">
      <c r="A721" s="70"/>
      <c r="B721" s="7" t="s">
        <v>1141</v>
      </c>
      <c r="C721" s="77"/>
      <c r="D721" s="77"/>
      <c r="E721" s="77"/>
      <c r="F721" s="573"/>
      <c r="G721" s="186"/>
      <c r="H721" s="68"/>
      <c r="I721" s="68"/>
    </row>
    <row r="722" spans="1:9" ht="12.75" customHeight="1">
      <c r="A722" s="70"/>
      <c r="B722" s="85" t="s">
        <v>1102</v>
      </c>
      <c r="C722" s="77">
        <v>4000</v>
      </c>
      <c r="D722" s="77">
        <v>4000</v>
      </c>
      <c r="E722" s="77">
        <v>3890</v>
      </c>
      <c r="F722" s="933">
        <f t="shared" si="1"/>
        <v>0.9725</v>
      </c>
      <c r="G722" s="186"/>
      <c r="H722" s="68"/>
      <c r="I722" s="68"/>
    </row>
    <row r="723" spans="1:9" ht="12.75" customHeight="1">
      <c r="A723" s="70"/>
      <c r="B723" s="10" t="s">
        <v>1116</v>
      </c>
      <c r="C723" s="77"/>
      <c r="D723" s="77"/>
      <c r="E723" s="77"/>
      <c r="F723" s="573"/>
      <c r="G723" s="186"/>
      <c r="H723" s="68"/>
      <c r="I723" s="68"/>
    </row>
    <row r="724" spans="1:9" ht="12.75" customHeight="1">
      <c r="A724" s="70"/>
      <c r="B724" s="10" t="s">
        <v>914</v>
      </c>
      <c r="C724" s="77"/>
      <c r="D724" s="77"/>
      <c r="E724" s="77"/>
      <c r="F724" s="573"/>
      <c r="G724" s="192"/>
      <c r="H724" s="68"/>
      <c r="I724" s="68"/>
    </row>
    <row r="725" spans="1:9" ht="12.75" customHeight="1" thickBot="1">
      <c r="A725" s="70"/>
      <c r="B725" s="74" t="s">
        <v>1103</v>
      </c>
      <c r="C725" s="77"/>
      <c r="D725" s="77"/>
      <c r="E725" s="78"/>
      <c r="F725" s="940"/>
      <c r="G725" s="30"/>
      <c r="H725" s="68"/>
      <c r="I725" s="68"/>
    </row>
    <row r="726" spans="1:9" ht="12.75" customHeight="1" thickBot="1">
      <c r="A726" s="52"/>
      <c r="B726" s="57" t="s">
        <v>1095</v>
      </c>
      <c r="C726" s="82">
        <f>SUM(C720:C725)</f>
        <v>4000</v>
      </c>
      <c r="D726" s="82">
        <f>SUM(D720:D725)</f>
        <v>4000</v>
      </c>
      <c r="E726" s="82">
        <f>SUM(E720:E725)</f>
        <v>3890</v>
      </c>
      <c r="F726" s="938">
        <f t="shared" si="1"/>
        <v>0.9725</v>
      </c>
      <c r="G726" s="188"/>
      <c r="H726" s="68"/>
      <c r="I726" s="68"/>
    </row>
    <row r="727" spans="1:9" ht="12.75" customHeight="1">
      <c r="A727" s="15">
        <v>3425</v>
      </c>
      <c r="B727" s="103" t="s">
        <v>191</v>
      </c>
      <c r="C727" s="89"/>
      <c r="D727" s="89"/>
      <c r="E727" s="89"/>
      <c r="F727" s="582"/>
      <c r="G727" s="186"/>
      <c r="H727" s="68"/>
      <c r="I727" s="68"/>
    </row>
    <row r="728" spans="1:9" ht="12.75" customHeight="1">
      <c r="A728" s="70"/>
      <c r="B728" s="71" t="s">
        <v>899</v>
      </c>
      <c r="C728" s="77"/>
      <c r="D728" s="77"/>
      <c r="E728" s="77"/>
      <c r="F728" s="573"/>
      <c r="G728" s="186"/>
      <c r="H728" s="68"/>
      <c r="I728" s="68"/>
    </row>
    <row r="729" spans="1:9" ht="12.75" customHeight="1">
      <c r="A729" s="70"/>
      <c r="B729" s="7" t="s">
        <v>1141</v>
      </c>
      <c r="C729" s="77"/>
      <c r="D729" s="77"/>
      <c r="E729" s="77"/>
      <c r="F729" s="573"/>
      <c r="G729" s="186"/>
      <c r="H729" s="68"/>
      <c r="I729" s="68"/>
    </row>
    <row r="730" spans="1:9" ht="12.75" customHeight="1">
      <c r="A730" s="70"/>
      <c r="B730" s="85" t="s">
        <v>1102</v>
      </c>
      <c r="C730" s="77">
        <v>2538</v>
      </c>
      <c r="D730" s="77">
        <v>2538</v>
      </c>
      <c r="E730" s="77">
        <v>1904</v>
      </c>
      <c r="F730" s="933">
        <f t="shared" si="1"/>
        <v>0.7501970055161544</v>
      </c>
      <c r="G730" s="186"/>
      <c r="H730" s="68"/>
      <c r="I730" s="68"/>
    </row>
    <row r="731" spans="1:9" ht="12.75" customHeight="1">
      <c r="A731" s="70"/>
      <c r="B731" s="10" t="s">
        <v>1116</v>
      </c>
      <c r="C731" s="77"/>
      <c r="D731" s="77"/>
      <c r="E731" s="77"/>
      <c r="F731" s="573"/>
      <c r="G731" s="186"/>
      <c r="H731" s="68"/>
      <c r="I731" s="68"/>
    </row>
    <row r="732" spans="1:9" ht="12.75" customHeight="1">
      <c r="A732" s="70"/>
      <c r="B732" s="10" t="s">
        <v>914</v>
      </c>
      <c r="C732" s="77"/>
      <c r="D732" s="77"/>
      <c r="E732" s="77"/>
      <c r="F732" s="573"/>
      <c r="G732" s="192"/>
      <c r="H732" s="68"/>
      <c r="I732" s="68"/>
    </row>
    <row r="733" spans="1:9" ht="12.75" customHeight="1" thickBot="1">
      <c r="A733" s="70"/>
      <c r="B733" s="74" t="s">
        <v>1103</v>
      </c>
      <c r="C733" s="77"/>
      <c r="D733" s="77"/>
      <c r="E733" s="78"/>
      <c r="F733" s="940"/>
      <c r="G733" s="30"/>
      <c r="H733" s="68"/>
      <c r="I733" s="68"/>
    </row>
    <row r="734" spans="1:9" ht="12.75" customHeight="1" thickBot="1">
      <c r="A734" s="52"/>
      <c r="B734" s="57" t="s">
        <v>1095</v>
      </c>
      <c r="C734" s="82">
        <f>SUM(C728:C733)</f>
        <v>2538</v>
      </c>
      <c r="D734" s="82">
        <f>SUM(D728:D733)</f>
        <v>2538</v>
      </c>
      <c r="E734" s="82">
        <f>SUM(E728:E733)</f>
        <v>1904</v>
      </c>
      <c r="F734" s="938">
        <f t="shared" si="1"/>
        <v>0.7501970055161544</v>
      </c>
      <c r="G734" s="188"/>
      <c r="H734" s="68"/>
      <c r="I734" s="68"/>
    </row>
    <row r="735" spans="1:9" ht="12" customHeight="1">
      <c r="A735" s="86">
        <v>3900</v>
      </c>
      <c r="B735" s="103" t="s">
        <v>979</v>
      </c>
      <c r="C735" s="89"/>
      <c r="D735" s="89"/>
      <c r="E735" s="89"/>
      <c r="F735" s="582"/>
      <c r="G735" s="4"/>
      <c r="H735" s="68"/>
      <c r="I735" s="68"/>
    </row>
    <row r="736" spans="1:9" ht="12" customHeight="1">
      <c r="A736" s="86"/>
      <c r="B736" s="211" t="s">
        <v>867</v>
      </c>
      <c r="C736" s="89"/>
      <c r="D736" s="89"/>
      <c r="E736" s="89"/>
      <c r="F736" s="573"/>
      <c r="G736" s="4"/>
      <c r="H736" s="68"/>
      <c r="I736" s="68"/>
    </row>
    <row r="737" spans="1:9" ht="12" customHeight="1">
      <c r="A737" s="84"/>
      <c r="B737" s="71" t="s">
        <v>899</v>
      </c>
      <c r="C737" s="77">
        <f>SUM(C11+C20+C29+C38+C58+C67+C75+C83+C101+C109+C117+C125+C142+C151+C159+C167+C184+C192+C200+C208+C216+C224+C240+C318+C326+C335+C344+C353+C371+C380+C389+C398+C416+C425+C452+C470+C479+C488+C506+C514+C522+C530+C538+C546+C554+C562+C570+C578+C587+C595+C604+C646+C654+C662+C670+C678+C686+C695+C703+C711+C48+C612)</f>
        <v>35172</v>
      </c>
      <c r="D737" s="77">
        <f>SUM(D11+D20+D29+D38+D58+D67+D75+D83+D101+D109+D117+D125+D142+D151+D159+D167+D184+D192+D200+D208+D216+D224+D240+D318+D326+D335+D344+D353+D371+D380+D389+D398+D416+D425+D452+D470+D479+D488+D506+D514+D522+D530+D538+D546+D554+D562+D570+D578+D587+D595+D604+D646+D654+D662+D670+D678+D686+D695+D703+D711+D48+D612+D176+D299+D636)</f>
        <v>84164</v>
      </c>
      <c r="E737" s="77">
        <f>SUM(E11+E20+E29+E38+E58+E67+E75+E83+E101+E109+E117+E125+E142+E151+E159+E167+E184+E192+E200+E208+E216+E224+E240+E318+E326+E335+E344+E353+E371+E380+E389+E398+E416+E425+E452+E470+E479+E488+E506+E514+E522+E530+E538+E546+E554+E562+E570+E578+E587+E595+E604+E646+E654+E662+E670+E678+E686+E695+E703+E711+E48+E612+E176+E299+E636)</f>
        <v>40917</v>
      </c>
      <c r="F737" s="933">
        <f t="shared" si="1"/>
        <v>0.48615797728244853</v>
      </c>
      <c r="G737" s="5"/>
      <c r="H737" s="68"/>
      <c r="I737" s="68"/>
    </row>
    <row r="738" spans="1:9" ht="12" customHeight="1">
      <c r="A738" s="84"/>
      <c r="B738" s="10" t="s">
        <v>888</v>
      </c>
      <c r="C738" s="77">
        <f>SUM(C12+C21+C30+C39+C59+C68+C76+C84+C102+C110+C118+C126+C143+C152+C160+C168+C185+C193+C201+C209+C217+C225+C241+C319+C327+C336+C345+C354+C372+C381+C390+C399+C417+C426+C453+C471+C480+C489+C507+C515+C523+C531+C539+C547+C555+C563+C571+C579+C588+C596+C605+C647+C655+C663+C671+C679+C687+C696+C704+C712+C49+C613)</f>
        <v>14220</v>
      </c>
      <c r="D738" s="77">
        <f>SUM(D12+D21+D30+D39+D59+D68+D76+D84+D102+D110+D118+D126+D143+D152+D160+D168+D185+D193+D201+D209+D217+D225+D241+D319+D327+D336+D345+D354+D372+D381+D390+D399+D417+D426+D453+D471+D480+D489+D507+D515+D523+D531+D539+D547+D555+D563+D571+D579+D588+D596+D605+D647+D655+D663+D671+D679+D687+D704+D712+D49+D613+D177+D300+D637)</f>
        <v>18451</v>
      </c>
      <c r="E738" s="77">
        <f>SUM(E12+E21+E30+E39+E59+E68+E76+E84+E102+E110+E118+E126+E143+E152+E160+E168+E185+E193+E201+E209+E217+E225+E241+E319+E327+E336+E345+E354+E372+E381+E390+E399+E417+E426+E453+E471+E480+E489+E507+E515+E523+E531+E539+E547+E555+E563+E571+E579+E588+E596+E605+E647+E655+E663+E671+E679+E687+E704+E712+E49+E613+E177+E300+E637)</f>
        <v>12432</v>
      </c>
      <c r="F738" s="933">
        <f t="shared" si="1"/>
        <v>0.6737846187198526</v>
      </c>
      <c r="G738" s="5"/>
      <c r="H738" s="68"/>
      <c r="I738" s="68"/>
    </row>
    <row r="739" spans="1:9" ht="12" customHeight="1">
      <c r="A739" s="84"/>
      <c r="B739" s="10" t="s">
        <v>1128</v>
      </c>
      <c r="C739" s="77">
        <f>SUM(C13+C22+C31+C40+C60+C69+C77+C85+C103+C111+C119+C127+C144+C153+C161+C169+C186+C194+C202+C210+C218+C226+C242+C320+C328+C337+C346+C355+C373+C382+C391+C400+C418+C427+C454+C472+C481+C490+C508+C516+C524+C532+C540+C548+C556+C564+C572+C580+C589+C597+C606+C648+C656+C664+C672+C680+C688+C697+C705+C713+C293+C301+C251+C259+C722+C94+C50+C234+C267+C275+C284+C178+C622+C630+C730)</f>
        <v>3226145</v>
      </c>
      <c r="D739" s="77">
        <f>SUM(D13+D22+D31+D40+D60+D69+D77+D85+D103+D111+D119+D127+D144+D153+D161+D169+D186+D194+D202+D210+D218+D226+D242+D320+D328+D337+D346+D355+D373+D382+D391+D400+D418+D427+D454+D472+D481+D490+D508+D516+D524+D532+D540+D548+D556+D564+D572+D580+D589+D597+D606+D648+D656+D664+D672+D680+D688+D697+D705+D713+D293+D301+D251+D259+D722+D94+D50+D234+D267+D275+D284+D178+D622+D630+D730+D463+D445+D436+D364+D135+D499+D638+D310)</f>
        <v>3252566</v>
      </c>
      <c r="E739" s="77">
        <f>SUM(E13+E22+E31+E40+E60+E69+E77+E85+E103+E111+E119+E127+E144+E153+E161+E169+E186+E194+E202+E210+E218+E226+E242+E320+E328+E337+E346+E355+E373+E382+E391+E400+E418+E427+E454+E472+E481+E490+E508+E516+E524+E532+E540+E548+E556+E564+E572+E580+E589+E597+E606+E648+E656+E664+E672+E680+E688+E697+E705+E713+E293+E301+E251+E259+E722+E94+E50+E234+E267+E275+E284+E178+E622+E630+E730+E463+E445+E436+E364+E135+E499+E638+E310)</f>
        <v>2771337</v>
      </c>
      <c r="F739" s="933">
        <f t="shared" si="1"/>
        <v>0.852046353555931</v>
      </c>
      <c r="G739" s="2"/>
      <c r="H739" s="68"/>
      <c r="I739" s="68"/>
    </row>
    <row r="740" spans="1:9" ht="12" customHeight="1">
      <c r="A740" s="84"/>
      <c r="B740" s="10" t="s">
        <v>1116</v>
      </c>
      <c r="C740" s="77">
        <f>SUM(C14+C23+C32+C41+C61+C70+C78+C86+C104+C112+C120+C128+C145+C154+C162+C170+C187+C195+C203+C211+C219+C227+C243+C321+C329+C338+C347+C356+C374+C383+C392+C401+C419+C428+C455+C473+C482+C491+C509+C517+C525+C533+C541+C549+C557+C565+C573+C581+C590+C598+C607+C649+C657+C665+C673+C681+C689+C698+C706+C714)</f>
        <v>170362</v>
      </c>
      <c r="D740" s="77">
        <f>SUM(D14+D23+D32+D41+D61+D70+D78+D86+D104+D112+D120+D128+D145+D154+D162+D170+D187+D195+D203+D211+D219+D227+D243+D321+D329+D338+D347+D356+D374+D383+D392+D401+D419+D428+D455+D473+D482+D491+D509+D517+D525+D533+D541+D549+D557+D565+D573+D581+D590+D598+D607+D649+D657+D665+D673+D681+D689+D698+D706+D714)</f>
        <v>75789</v>
      </c>
      <c r="E740" s="77">
        <f>SUM(E14+E23+E32+E41+E61+E70+E78+E86+E104+E112+E120+E128+E145+E154+E162+E170+E187+E195+E203+E211+E219+E227+E243+E321+E329+E338+E347+E356+E374+E383+E392+E401+E419+E428+E455+E473+E482+E491+E509+E517+E525+E533+E541+E549+E557+E565+E573+E581+E590+E598+E607+E649+E657+E665+E673+E681+E689+E698+E706+E714)</f>
        <v>69865</v>
      </c>
      <c r="F740" s="933">
        <f t="shared" si="1"/>
        <v>0.9218356225837523</v>
      </c>
      <c r="G740" s="5"/>
      <c r="H740" s="68"/>
      <c r="I740" s="68"/>
    </row>
    <row r="741" spans="1:9" ht="12" customHeight="1">
      <c r="A741" s="84"/>
      <c r="B741" s="7" t="s">
        <v>914</v>
      </c>
      <c r="C741" s="72">
        <f>SUM(C15+C24+C33+C43+C62+C71+C79+C87+C105+C113+C121+C129+C147+C155+C163+C171+C188+C196+C204+C212+C220+C228+C244+C322+C330+C339+C348+C357+C375+C384+C393+C402+C420+C429+C456+C474+C483+C492+C510+C518+C526+C534+C542+C550+C558+C566+C574+C583+C591+C600+C608+C650+C658+C666+C674+C682+C690+C699+C707+C715)</f>
        <v>3500</v>
      </c>
      <c r="D741" s="72">
        <f>SUM(D15+D24+D33+D43+D62+D71+D79+D87+D105+D113+D121+D129+D147+D155+D163+D171+D188+D196+D204+D212+D220+D228+D244+D322+D330+D339+D348+D357+D375+D384+D393+D402+D420+D429+D456+D474+D483+D492+D510+D518+D526+D534+D542+D550+D558+D566+D574+D583+D591+D600+D608+D650+D658+D666+D674+D682+D690+D699+D707+D715+D180)</f>
        <v>3666</v>
      </c>
      <c r="E741" s="72">
        <f>SUM(E15+E24+E33+E43+E62+E71+E79+E87+E105+E113+E121+E129+E147+E155+E163+E171+E188+E196+E204+E212+E220+E228+E244+E322+E330+E339+E348+E357+E375+E384+E393+E402+E420+E429+E456+E474+E483+E492+E510+E518+E526+E534+E542+E550+E558+E566+E574+E583+E591+E600+E608+E650+E658+E666+E674+E682+E690+E699+E707+E715+E180)</f>
        <v>1331</v>
      </c>
      <c r="F741" s="933">
        <f t="shared" si="1"/>
        <v>0.3630660120021822</v>
      </c>
      <c r="G741" s="5"/>
      <c r="H741" s="68"/>
      <c r="I741" s="68"/>
    </row>
    <row r="742" spans="1:9" ht="12" customHeight="1" thickBot="1">
      <c r="A742" s="84"/>
      <c r="B742" s="534" t="s">
        <v>1382</v>
      </c>
      <c r="C742" s="112">
        <f>SUM(C331+C340+C349+C358+C376+C385+C394+C403+C421+C430+C457+C475+C484+C493)</f>
        <v>172860</v>
      </c>
      <c r="D742" s="112">
        <f>SUM(D331+D340+D349+D358+D376+D385+D394+D403+D421+D430+D457+D475+D484+D493+D367+D412+D439+D466+D448+D599+D42+D582+D146)</f>
        <v>482197</v>
      </c>
      <c r="E742" s="112">
        <f>SUM(E331+E340+E349+E358+E376+E385+E394+E403+E421+E430+E457+E475+E484+E493+E367+E412+E439+E466+E448+E599+E42+E582+E146)</f>
        <v>475493</v>
      </c>
      <c r="F742" s="937">
        <f t="shared" si="1"/>
        <v>0.9860969686663335</v>
      </c>
      <c r="G742" s="30"/>
      <c r="H742" s="68"/>
      <c r="I742" s="68"/>
    </row>
    <row r="743" spans="1:9" ht="12" customHeight="1" thickBot="1">
      <c r="A743" s="84"/>
      <c r="B743" s="165" t="s">
        <v>868</v>
      </c>
      <c r="C743" s="298">
        <f>SUM(C737:C742)</f>
        <v>3622259</v>
      </c>
      <c r="D743" s="298">
        <f>SUM(D737:D742)</f>
        <v>3916833</v>
      </c>
      <c r="E743" s="298">
        <f>SUM(E737:E742)</f>
        <v>3371375</v>
      </c>
      <c r="F743" s="938">
        <f t="shared" si="1"/>
        <v>0.8607400417633327</v>
      </c>
      <c r="G743" s="30"/>
      <c r="H743" s="68"/>
      <c r="I743" s="68"/>
    </row>
    <row r="744" spans="1:9" ht="12" customHeight="1">
      <c r="A744" s="84"/>
      <c r="B744" s="272" t="s">
        <v>869</v>
      </c>
      <c r="C744" s="77"/>
      <c r="D744" s="77"/>
      <c r="E744" s="77"/>
      <c r="F744" s="582"/>
      <c r="G744" s="4"/>
      <c r="H744" s="68"/>
      <c r="I744" s="68"/>
    </row>
    <row r="745" spans="1:9" ht="12" customHeight="1">
      <c r="A745" s="84"/>
      <c r="B745" s="10" t="s">
        <v>870</v>
      </c>
      <c r="C745" s="77"/>
      <c r="D745" s="77">
        <f>SUM(D197+D304+D88)</f>
        <v>2356</v>
      </c>
      <c r="E745" s="77">
        <f>SUM(E197+E304+E88+E278)</f>
        <v>2605</v>
      </c>
      <c r="F745" s="933">
        <f t="shared" si="1"/>
        <v>1.1056876061120544</v>
      </c>
      <c r="G745" s="5"/>
      <c r="H745" s="68"/>
      <c r="I745" s="68"/>
    </row>
    <row r="746" spans="1:9" ht="12" customHeight="1">
      <c r="A746" s="84"/>
      <c r="B746" s="10" t="s">
        <v>871</v>
      </c>
      <c r="C746" s="72"/>
      <c r="D746" s="72">
        <f>SUM(D189+D305+D279+D89+D164+D181+D716)</f>
        <v>85202</v>
      </c>
      <c r="E746" s="72">
        <f>SUM(E189+E305+E279+E89+E164+E181+E716)</f>
        <v>88891</v>
      </c>
      <c r="F746" s="933">
        <f t="shared" si="1"/>
        <v>1.0432971057017442</v>
      </c>
      <c r="G746" s="5"/>
      <c r="H746" s="68"/>
      <c r="I746" s="68"/>
    </row>
    <row r="747" spans="1:9" ht="12" customHeight="1" thickBot="1">
      <c r="A747" s="84"/>
      <c r="B747" s="280" t="s">
        <v>872</v>
      </c>
      <c r="C747" s="175">
        <f>SUM(C65)</f>
        <v>500000</v>
      </c>
      <c r="D747" s="175">
        <f>SUM(D63+D717)</f>
        <v>499393</v>
      </c>
      <c r="E747" s="175">
        <f>SUM(E63+E717)</f>
        <v>350354</v>
      </c>
      <c r="F747" s="937">
        <f t="shared" si="1"/>
        <v>0.70155969346787</v>
      </c>
      <c r="G747" s="30"/>
      <c r="H747" s="68"/>
      <c r="I747" s="68"/>
    </row>
    <row r="748" spans="1:9" ht="12" customHeight="1" thickBot="1">
      <c r="A748" s="84"/>
      <c r="B748" s="165" t="s">
        <v>874</v>
      </c>
      <c r="C748" s="298">
        <f>SUM(C745:C747)</f>
        <v>500000</v>
      </c>
      <c r="D748" s="298">
        <f>SUM(D745:D747)</f>
        <v>586951</v>
      </c>
      <c r="E748" s="298">
        <f>SUM(E745:E747)</f>
        <v>441850</v>
      </c>
      <c r="F748" s="938">
        <f t="shared" si="1"/>
        <v>0.7527885632701878</v>
      </c>
      <c r="G748" s="30"/>
      <c r="H748" s="68"/>
      <c r="I748" s="68"/>
    </row>
    <row r="749" spans="1:9" ht="12" customHeight="1" thickBot="1">
      <c r="A749" s="84"/>
      <c r="B749" s="234" t="s">
        <v>1031</v>
      </c>
      <c r="C749" s="112"/>
      <c r="D749" s="112"/>
      <c r="E749" s="112"/>
      <c r="F749" s="938"/>
      <c r="G749" s="30"/>
      <c r="H749" s="68"/>
      <c r="I749" s="68"/>
    </row>
    <row r="750" spans="1:9" ht="12" customHeight="1" thickBot="1">
      <c r="A750" s="80"/>
      <c r="B750" s="57" t="s">
        <v>1095</v>
      </c>
      <c r="C750" s="82">
        <f>SUM(C748+C743)</f>
        <v>4122259</v>
      </c>
      <c r="D750" s="82">
        <f>SUM(D748+D743)</f>
        <v>4503784</v>
      </c>
      <c r="E750" s="82">
        <f>SUM(E748+E743)</f>
        <v>3813225</v>
      </c>
      <c r="F750" s="938">
        <f t="shared" si="1"/>
        <v>0.8466713767800588</v>
      </c>
      <c r="G750" s="188"/>
      <c r="H750" s="68"/>
      <c r="I750" s="68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3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6" max="255" man="1"/>
    <brk id="255" max="255" man="1"/>
    <brk id="306" max="255" man="1"/>
    <brk id="351" max="255" man="1"/>
    <brk id="396" max="255" man="1"/>
    <brk id="441" max="255" man="1"/>
    <brk id="486" max="255" man="1"/>
    <brk id="536" max="255" man="1"/>
    <brk id="585" max="255" man="1"/>
    <brk id="634" max="255" man="1"/>
    <brk id="684" max="255" man="1"/>
    <brk id="7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="95" zoomScaleNormal="95" zoomScalePageLayoutView="0" workbookViewId="0" topLeftCell="A34">
      <selection activeCell="E50" sqref="E50"/>
    </sheetView>
  </sheetViews>
  <sheetFormatPr defaultColWidth="9.00390625" defaultRowHeight="12.75" customHeight="1"/>
  <cols>
    <col min="1" max="1" width="6.75390625" style="12" customWidth="1"/>
    <col min="2" max="2" width="51.375" style="12" customWidth="1"/>
    <col min="3" max="3" width="14.875" style="13" customWidth="1"/>
    <col min="4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1260" t="s">
        <v>1136</v>
      </c>
      <c r="B1" s="1271"/>
      <c r="C1" s="1271"/>
      <c r="D1" s="1271"/>
      <c r="E1" s="1271"/>
      <c r="F1" s="1271"/>
      <c r="G1" s="1271"/>
      <c r="H1" s="210"/>
    </row>
    <row r="2" spans="1:8" ht="12.75" customHeight="1">
      <c r="A2" s="1289" t="s">
        <v>1180</v>
      </c>
      <c r="B2" s="1268"/>
      <c r="C2" s="1268"/>
      <c r="D2" s="1268"/>
      <c r="E2" s="1268"/>
      <c r="F2" s="1268"/>
      <c r="G2" s="1268"/>
      <c r="H2" s="149"/>
    </row>
    <row r="3" spans="1:7" ht="12" customHeight="1">
      <c r="A3" s="210"/>
      <c r="B3" s="210"/>
      <c r="C3" s="210"/>
      <c r="D3" s="210"/>
      <c r="E3" s="210"/>
      <c r="F3" s="210"/>
      <c r="G3" s="218"/>
    </row>
    <row r="4" spans="3:7" ht="12" customHeight="1">
      <c r="C4" s="164"/>
      <c r="D4" s="164"/>
      <c r="E4" s="164"/>
      <c r="F4" s="164"/>
      <c r="G4" s="207" t="s">
        <v>1060</v>
      </c>
    </row>
    <row r="5" spans="1:7" ht="12.75" customHeight="1">
      <c r="A5" s="115"/>
      <c r="B5" s="116"/>
      <c r="C5" s="205" t="s">
        <v>930</v>
      </c>
      <c r="D5" s="1263" t="s">
        <v>302</v>
      </c>
      <c r="E5" s="1263" t="s">
        <v>850</v>
      </c>
      <c r="F5" s="1263" t="s">
        <v>231</v>
      </c>
      <c r="G5" s="236" t="s">
        <v>982</v>
      </c>
    </row>
    <row r="6" spans="1:7" ht="12.75">
      <c r="A6" s="117" t="s">
        <v>1097</v>
      </c>
      <c r="B6" s="235" t="s">
        <v>980</v>
      </c>
      <c r="C6" s="15" t="s">
        <v>194</v>
      </c>
      <c r="D6" s="1278"/>
      <c r="E6" s="1278"/>
      <c r="F6" s="1278"/>
      <c r="G6" s="118" t="s">
        <v>983</v>
      </c>
    </row>
    <row r="7" spans="1:7" ht="13.5" thickBot="1">
      <c r="A7" s="119"/>
      <c r="B7" s="120"/>
      <c r="C7" s="15" t="s">
        <v>195</v>
      </c>
      <c r="D7" s="1256"/>
      <c r="E7" s="1279"/>
      <c r="F7" s="1283"/>
      <c r="G7" s="124"/>
    </row>
    <row r="8" spans="1:7" ht="15" customHeight="1">
      <c r="A8" s="121" t="s">
        <v>1016</v>
      </c>
      <c r="B8" s="122" t="s">
        <v>1017</v>
      </c>
      <c r="C8" s="31" t="s">
        <v>1018</v>
      </c>
      <c r="D8" s="31" t="s">
        <v>1019</v>
      </c>
      <c r="E8" s="31" t="s">
        <v>1020</v>
      </c>
      <c r="F8" s="31" t="s">
        <v>1148</v>
      </c>
      <c r="G8" s="198" t="s">
        <v>229</v>
      </c>
    </row>
    <row r="9" spans="1:7" ht="12.75" customHeight="1">
      <c r="A9" s="338"/>
      <c r="B9" s="229" t="s">
        <v>992</v>
      </c>
      <c r="C9" s="3"/>
      <c r="D9" s="3"/>
      <c r="E9" s="3"/>
      <c r="F9" s="3"/>
      <c r="G9" s="58"/>
    </row>
    <row r="10" spans="1:7" ht="12.75" customHeight="1" thickBot="1">
      <c r="A10" s="70">
        <v>3911</v>
      </c>
      <c r="B10" s="58" t="s">
        <v>1076</v>
      </c>
      <c r="C10" s="230">
        <v>10000</v>
      </c>
      <c r="D10" s="230">
        <v>12342</v>
      </c>
      <c r="E10" s="534">
        <v>12392</v>
      </c>
      <c r="F10" s="576">
        <f>SUM(E10/D10)</f>
        <v>1.0040512072597634</v>
      </c>
      <c r="G10" s="60"/>
    </row>
    <row r="11" spans="1:7" ht="12.75" customHeight="1" thickBot="1">
      <c r="A11" s="143">
        <v>3910</v>
      </c>
      <c r="B11" s="63" t="s">
        <v>1051</v>
      </c>
      <c r="C11" s="9">
        <f>SUM(C10:C10)</f>
        <v>10000</v>
      </c>
      <c r="D11" s="9">
        <f>SUM(D10:D10)</f>
        <v>12342</v>
      </c>
      <c r="E11" s="9">
        <f>SUM(E10:E10)</f>
        <v>12392</v>
      </c>
      <c r="F11" s="938">
        <f aca="true" t="shared" si="0" ref="F11:F64">SUM(E11/D11)</f>
        <v>1.0040512072597634</v>
      </c>
      <c r="G11" s="60"/>
    </row>
    <row r="12" spans="1:7" s="17" customFormat="1" ht="12.75" customHeight="1">
      <c r="A12" s="15"/>
      <c r="B12" s="65" t="s">
        <v>926</v>
      </c>
      <c r="C12" s="35"/>
      <c r="D12" s="35"/>
      <c r="E12" s="35"/>
      <c r="F12" s="574"/>
      <c r="G12" s="65"/>
    </row>
    <row r="13" spans="1:7" s="17" customFormat="1" ht="12.75" customHeight="1">
      <c r="A13" s="70">
        <v>3921</v>
      </c>
      <c r="B13" s="58" t="s">
        <v>1074</v>
      </c>
      <c r="C13" s="36">
        <v>6000</v>
      </c>
      <c r="D13" s="36">
        <v>6000</v>
      </c>
      <c r="E13" s="36">
        <v>6000</v>
      </c>
      <c r="F13" s="574">
        <f t="shared" si="0"/>
        <v>1</v>
      </c>
      <c r="G13" s="70" t="s">
        <v>1065</v>
      </c>
    </row>
    <row r="14" spans="1:7" s="17" customFormat="1" ht="12.75" customHeight="1">
      <c r="A14" s="70">
        <v>3922</v>
      </c>
      <c r="B14" s="58" t="s">
        <v>1075</v>
      </c>
      <c r="C14" s="36">
        <v>5000</v>
      </c>
      <c r="D14" s="36">
        <v>5000</v>
      </c>
      <c r="E14" s="36">
        <v>5000</v>
      </c>
      <c r="F14" s="574">
        <f t="shared" si="0"/>
        <v>1</v>
      </c>
      <c r="G14" s="70" t="s">
        <v>1065</v>
      </c>
    </row>
    <row r="15" spans="1:7" s="17" customFormat="1" ht="12.75" customHeight="1">
      <c r="A15" s="70">
        <v>3923</v>
      </c>
      <c r="B15" s="58" t="s">
        <v>1055</v>
      </c>
      <c r="C15" s="36">
        <v>50000</v>
      </c>
      <c r="D15" s="36">
        <v>14967</v>
      </c>
      <c r="E15" s="36">
        <v>14067</v>
      </c>
      <c r="F15" s="574">
        <f t="shared" si="0"/>
        <v>0.9398677089597114</v>
      </c>
      <c r="G15" s="70" t="s">
        <v>997</v>
      </c>
    </row>
    <row r="16" spans="1:7" s="17" customFormat="1" ht="12.75" customHeight="1">
      <c r="A16" s="70">
        <v>3924</v>
      </c>
      <c r="B16" s="58" t="s">
        <v>1191</v>
      </c>
      <c r="C16" s="36">
        <v>3696</v>
      </c>
      <c r="D16" s="36">
        <v>6696</v>
      </c>
      <c r="E16" s="36">
        <v>3696</v>
      </c>
      <c r="F16" s="574">
        <f t="shared" si="0"/>
        <v>0.5519713261648745</v>
      </c>
      <c r="G16" s="70"/>
    </row>
    <row r="17" spans="1:7" s="17" customFormat="1" ht="12.75" customHeight="1">
      <c r="A17" s="70">
        <v>3925</v>
      </c>
      <c r="B17" s="58" t="s">
        <v>286</v>
      </c>
      <c r="C17" s="36">
        <v>265000</v>
      </c>
      <c r="D17" s="36">
        <v>196500</v>
      </c>
      <c r="E17" s="36">
        <v>196500</v>
      </c>
      <c r="F17" s="574">
        <f t="shared" si="0"/>
        <v>1</v>
      </c>
      <c r="G17" s="70"/>
    </row>
    <row r="18" spans="1:7" s="17" customFormat="1" ht="12.75" customHeight="1">
      <c r="A18" s="70">
        <v>3926</v>
      </c>
      <c r="B18" s="58" t="s">
        <v>285</v>
      </c>
      <c r="C18" s="36"/>
      <c r="D18" s="36">
        <v>2000</v>
      </c>
      <c r="E18" s="36"/>
      <c r="F18" s="574">
        <f t="shared" si="0"/>
        <v>0</v>
      </c>
      <c r="G18" s="70"/>
    </row>
    <row r="19" spans="1:7" s="17" customFormat="1" ht="12.75" customHeight="1" thickBot="1">
      <c r="A19" s="70">
        <v>3927</v>
      </c>
      <c r="B19" s="58" t="s">
        <v>287</v>
      </c>
      <c r="C19" s="36"/>
      <c r="D19" s="36">
        <v>1778</v>
      </c>
      <c r="E19" s="534">
        <v>1778</v>
      </c>
      <c r="F19" s="576">
        <f t="shared" si="0"/>
        <v>1</v>
      </c>
      <c r="G19" s="566"/>
    </row>
    <row r="20" spans="1:7" s="17" customFormat="1" ht="12.75" customHeight="1" thickBot="1">
      <c r="A20" s="143">
        <v>3920</v>
      </c>
      <c r="B20" s="63" t="s">
        <v>1051</v>
      </c>
      <c r="C20" s="9">
        <f>SUM(C13:C17)</f>
        <v>329696</v>
      </c>
      <c r="D20" s="9">
        <f>SUM(D13:D19)</f>
        <v>232941</v>
      </c>
      <c r="E20" s="9">
        <f>SUM(E13:E19)</f>
        <v>227041</v>
      </c>
      <c r="F20" s="938">
        <f t="shared" si="0"/>
        <v>0.9746716979836095</v>
      </c>
      <c r="G20" s="231"/>
    </row>
    <row r="21" spans="1:7" s="17" customFormat="1" ht="12.75" customHeight="1">
      <c r="A21" s="15"/>
      <c r="B21" s="65" t="s">
        <v>928</v>
      </c>
      <c r="C21" s="180"/>
      <c r="D21" s="180"/>
      <c r="E21" s="35"/>
      <c r="F21" s="574"/>
      <c r="G21" s="65"/>
    </row>
    <row r="22" spans="1:7" s="17" customFormat="1" ht="12.75" customHeight="1">
      <c r="A22" s="161">
        <v>3931</v>
      </c>
      <c r="B22" s="232" t="s">
        <v>1007</v>
      </c>
      <c r="C22" s="158">
        <v>5000</v>
      </c>
      <c r="D22" s="158">
        <v>5000</v>
      </c>
      <c r="E22" s="158">
        <v>3850</v>
      </c>
      <c r="F22" s="574">
        <f t="shared" si="0"/>
        <v>0.77</v>
      </c>
      <c r="G22" s="65"/>
    </row>
    <row r="23" spans="1:7" s="17" customFormat="1" ht="12.75" customHeight="1" thickBot="1">
      <c r="A23" s="161">
        <v>3932</v>
      </c>
      <c r="B23" s="232" t="s">
        <v>1077</v>
      </c>
      <c r="C23" s="181">
        <v>11000</v>
      </c>
      <c r="D23" s="181">
        <v>11000</v>
      </c>
      <c r="E23" s="181">
        <v>11000</v>
      </c>
      <c r="F23" s="576">
        <f t="shared" si="0"/>
        <v>1</v>
      </c>
      <c r="G23" s="62"/>
    </row>
    <row r="24" spans="1:7" s="17" customFormat="1" ht="12.75" customHeight="1" thickBot="1">
      <c r="A24" s="143">
        <v>3930</v>
      </c>
      <c r="B24" s="63" t="s">
        <v>1051</v>
      </c>
      <c r="C24" s="9">
        <f>SUM(C22:C23)</f>
        <v>16000</v>
      </c>
      <c r="D24" s="9">
        <f>SUM(D22:D23)</f>
        <v>16000</v>
      </c>
      <c r="E24" s="9">
        <f>SUM(E22:E23)</f>
        <v>14850</v>
      </c>
      <c r="F24" s="938">
        <f t="shared" si="0"/>
        <v>0.928125</v>
      </c>
      <c r="G24" s="233"/>
    </row>
    <row r="25" spans="1:7" ht="12.75" customHeight="1">
      <c r="A25" s="15"/>
      <c r="B25" s="65" t="s">
        <v>981</v>
      </c>
      <c r="C25" s="3"/>
      <c r="D25" s="3"/>
      <c r="E25" s="3"/>
      <c r="F25" s="574"/>
      <c r="G25" s="234"/>
    </row>
    <row r="26" spans="1:7" ht="12.75" customHeight="1">
      <c r="A26" s="70">
        <v>3941</v>
      </c>
      <c r="B26" s="58" t="s">
        <v>1121</v>
      </c>
      <c r="C26" s="36">
        <v>262196</v>
      </c>
      <c r="D26" s="36">
        <v>268571</v>
      </c>
      <c r="E26" s="36">
        <v>262196</v>
      </c>
      <c r="F26" s="574">
        <f t="shared" si="0"/>
        <v>0.9762632599945639</v>
      </c>
      <c r="G26" s="234"/>
    </row>
    <row r="27" spans="1:7" ht="12.75" customHeight="1">
      <c r="A27" s="70">
        <v>3942</v>
      </c>
      <c r="B27" s="58" t="s">
        <v>275</v>
      </c>
      <c r="C27" s="36">
        <v>197000</v>
      </c>
      <c r="D27" s="36">
        <v>197000</v>
      </c>
      <c r="E27" s="36">
        <v>197000</v>
      </c>
      <c r="F27" s="574">
        <f t="shared" si="0"/>
        <v>1</v>
      </c>
      <c r="G27" s="58"/>
    </row>
    <row r="28" spans="1:7" ht="12.75" customHeight="1" thickBot="1">
      <c r="A28" s="70">
        <v>3943</v>
      </c>
      <c r="B28" s="58" t="s">
        <v>276</v>
      </c>
      <c r="C28" s="36"/>
      <c r="D28" s="36">
        <v>5000</v>
      </c>
      <c r="E28" s="36">
        <v>5000</v>
      </c>
      <c r="F28" s="576">
        <f t="shared" si="0"/>
        <v>1</v>
      </c>
      <c r="G28" s="58"/>
    </row>
    <row r="29" spans="1:7" s="17" customFormat="1" ht="12.75" customHeight="1" thickBot="1">
      <c r="A29" s="143">
        <v>3940</v>
      </c>
      <c r="B29" s="63" t="s">
        <v>1046</v>
      </c>
      <c r="C29" s="9">
        <f>SUM(C26:C27)</f>
        <v>459196</v>
      </c>
      <c r="D29" s="9">
        <f>SUM(D26:D28)</f>
        <v>470571</v>
      </c>
      <c r="E29" s="9">
        <f>SUM(E26:E28)</f>
        <v>464196</v>
      </c>
      <c r="F29" s="941">
        <f t="shared" si="0"/>
        <v>0.9864526288275308</v>
      </c>
      <c r="G29" s="63"/>
    </row>
    <row r="30" spans="1:7" s="17" customFormat="1" ht="12.75" customHeight="1">
      <c r="A30" s="15"/>
      <c r="B30" s="65" t="s">
        <v>184</v>
      </c>
      <c r="C30" s="35"/>
      <c r="D30" s="35"/>
      <c r="E30" s="35"/>
      <c r="F30" s="574"/>
      <c r="G30" s="65"/>
    </row>
    <row r="31" spans="1:7" ht="12.75" customHeight="1">
      <c r="A31" s="70">
        <v>3951</v>
      </c>
      <c r="B31" s="58" t="s">
        <v>861</v>
      </c>
      <c r="C31" s="36">
        <v>2500</v>
      </c>
      <c r="D31" s="36">
        <v>2500</v>
      </c>
      <c r="E31" s="36">
        <v>2500</v>
      </c>
      <c r="F31" s="574">
        <f t="shared" si="0"/>
        <v>1</v>
      </c>
      <c r="G31" s="70"/>
    </row>
    <row r="32" spans="1:7" ht="12.75" customHeight="1">
      <c r="A32" s="70">
        <v>3952</v>
      </c>
      <c r="B32" s="58" t="s">
        <v>1021</v>
      </c>
      <c r="C32" s="36">
        <v>500</v>
      </c>
      <c r="D32" s="36">
        <v>500</v>
      </c>
      <c r="E32" s="36">
        <v>500</v>
      </c>
      <c r="F32" s="574">
        <f t="shared" si="0"/>
        <v>1</v>
      </c>
      <c r="G32" s="58"/>
    </row>
    <row r="33" spans="1:7" ht="12.75" customHeight="1">
      <c r="A33" s="70">
        <v>3953</v>
      </c>
      <c r="B33" s="58" t="s">
        <v>862</v>
      </c>
      <c r="C33" s="36">
        <v>5000</v>
      </c>
      <c r="D33" s="36">
        <v>5000</v>
      </c>
      <c r="E33" s="36">
        <v>5000</v>
      </c>
      <c r="F33" s="574">
        <f t="shared" si="0"/>
        <v>1</v>
      </c>
      <c r="G33" s="58"/>
    </row>
    <row r="34" spans="1:7" ht="12.75" customHeight="1">
      <c r="A34" s="70">
        <v>3954</v>
      </c>
      <c r="B34" s="58" t="s">
        <v>863</v>
      </c>
      <c r="C34" s="36">
        <v>5000</v>
      </c>
      <c r="D34" s="36">
        <v>5000</v>
      </c>
      <c r="E34" s="36">
        <v>5000</v>
      </c>
      <c r="F34" s="574">
        <f t="shared" si="0"/>
        <v>1</v>
      </c>
      <c r="G34" s="58"/>
    </row>
    <row r="35" spans="1:7" ht="12.75" customHeight="1">
      <c r="A35" s="70">
        <v>3955</v>
      </c>
      <c r="B35" s="58" t="s">
        <v>957</v>
      </c>
      <c r="C35" s="36">
        <v>3000</v>
      </c>
      <c r="D35" s="36">
        <v>3000</v>
      </c>
      <c r="E35" s="36">
        <v>3000</v>
      </c>
      <c r="F35" s="574">
        <f t="shared" si="0"/>
        <v>1</v>
      </c>
      <c r="G35" s="58"/>
    </row>
    <row r="36" spans="1:7" ht="12.75" customHeight="1">
      <c r="A36" s="70">
        <v>3956</v>
      </c>
      <c r="B36" s="58" t="s">
        <v>1243</v>
      </c>
      <c r="C36" s="36">
        <v>3000</v>
      </c>
      <c r="D36" s="36">
        <v>3000</v>
      </c>
      <c r="E36" s="36">
        <v>3000</v>
      </c>
      <c r="F36" s="574">
        <f t="shared" si="0"/>
        <v>1</v>
      </c>
      <c r="G36" s="58"/>
    </row>
    <row r="37" spans="1:7" ht="12.75" customHeight="1" thickBot="1">
      <c r="A37" s="70">
        <v>3957</v>
      </c>
      <c r="B37" s="58" t="s">
        <v>204</v>
      </c>
      <c r="C37" s="36"/>
      <c r="D37" s="36">
        <v>1500</v>
      </c>
      <c r="E37" s="36">
        <v>1500</v>
      </c>
      <c r="F37" s="576">
        <f t="shared" si="0"/>
        <v>1</v>
      </c>
      <c r="G37" s="58"/>
    </row>
    <row r="38" spans="1:7" s="17" customFormat="1" ht="12.75" customHeight="1" thickBot="1">
      <c r="A38" s="143">
        <v>3950</v>
      </c>
      <c r="B38" s="63" t="s">
        <v>993</v>
      </c>
      <c r="C38" s="9">
        <f>SUM(C31:C36)</f>
        <v>19000</v>
      </c>
      <c r="D38" s="9">
        <f>SUM(D31:D37)</f>
        <v>20500</v>
      </c>
      <c r="E38" s="9">
        <f>SUM(E31:E37)</f>
        <v>20500</v>
      </c>
      <c r="F38" s="938">
        <f t="shared" si="0"/>
        <v>1</v>
      </c>
      <c r="G38" s="63"/>
    </row>
    <row r="39" spans="1:7" s="17" customFormat="1" ht="12.75" customHeight="1">
      <c r="A39" s="69"/>
      <c r="B39" s="65" t="s">
        <v>1003</v>
      </c>
      <c r="C39" s="180"/>
      <c r="D39" s="180"/>
      <c r="E39" s="35"/>
      <c r="F39" s="574"/>
      <c r="G39" s="53"/>
    </row>
    <row r="40" spans="1:7" s="17" customFormat="1" ht="12.75" customHeight="1" thickBot="1">
      <c r="A40" s="161">
        <v>3961</v>
      </c>
      <c r="B40" s="232" t="s">
        <v>1004</v>
      </c>
      <c r="C40" s="35"/>
      <c r="D40" s="158">
        <v>100828</v>
      </c>
      <c r="E40" s="158">
        <v>100829</v>
      </c>
      <c r="F40" s="576">
        <f t="shared" si="0"/>
        <v>1.000009917879954</v>
      </c>
      <c r="G40" s="65"/>
    </row>
    <row r="41" spans="1:7" s="17" customFormat="1" ht="12.75" customHeight="1" thickBot="1">
      <c r="A41" s="143">
        <v>3960</v>
      </c>
      <c r="B41" s="63" t="s">
        <v>993</v>
      </c>
      <c r="C41" s="9"/>
      <c r="D41" s="9">
        <f>SUM(D40)</f>
        <v>100828</v>
      </c>
      <c r="E41" s="9">
        <f>SUM(E40)</f>
        <v>100829</v>
      </c>
      <c r="F41" s="938">
        <f t="shared" si="0"/>
        <v>1.000009917879954</v>
      </c>
      <c r="G41" s="63"/>
    </row>
    <row r="42" spans="1:7" s="17" customFormat="1" ht="12.75" customHeight="1">
      <c r="A42" s="69"/>
      <c r="B42" s="65" t="s">
        <v>942</v>
      </c>
      <c r="C42" s="180"/>
      <c r="D42" s="180"/>
      <c r="E42" s="35"/>
      <c r="F42" s="574"/>
      <c r="G42" s="53"/>
    </row>
    <row r="43" spans="1:7" s="17" customFormat="1" ht="12.75" customHeight="1" thickBot="1">
      <c r="A43" s="161">
        <v>3971</v>
      </c>
      <c r="B43" s="296" t="s">
        <v>895</v>
      </c>
      <c r="C43" s="158">
        <v>32770</v>
      </c>
      <c r="D43" s="158">
        <v>32770</v>
      </c>
      <c r="E43" s="158">
        <v>32770</v>
      </c>
      <c r="F43" s="576">
        <f t="shared" si="0"/>
        <v>1</v>
      </c>
      <c r="G43" s="65"/>
    </row>
    <row r="44" spans="1:7" s="17" customFormat="1" ht="12.75" customHeight="1" thickBot="1">
      <c r="A44" s="143">
        <v>3970</v>
      </c>
      <c r="B44" s="63" t="s">
        <v>993</v>
      </c>
      <c r="C44" s="9">
        <f>SUM(C43:C43)</f>
        <v>32770</v>
      </c>
      <c r="D44" s="9">
        <f>SUM(D43:D43)</f>
        <v>32770</v>
      </c>
      <c r="E44" s="9">
        <f>SUM(E43:E43)</f>
        <v>32770</v>
      </c>
      <c r="F44" s="938">
        <f t="shared" si="0"/>
        <v>1</v>
      </c>
      <c r="G44" s="63"/>
    </row>
    <row r="45" spans="1:7" s="17" customFormat="1" ht="12.75" customHeight="1">
      <c r="A45" s="69"/>
      <c r="B45" s="53" t="s">
        <v>943</v>
      </c>
      <c r="C45" s="180"/>
      <c r="D45" s="180"/>
      <c r="E45" s="35"/>
      <c r="F45" s="574"/>
      <c r="G45" s="53"/>
    </row>
    <row r="46" spans="1:7" s="17" customFormat="1" ht="12.75" customHeight="1">
      <c r="A46" s="161">
        <v>3990</v>
      </c>
      <c r="B46" s="232" t="s">
        <v>1169</v>
      </c>
      <c r="C46" s="158">
        <v>1052</v>
      </c>
      <c r="D46" s="158">
        <v>2683</v>
      </c>
      <c r="E46" s="158">
        <v>2683</v>
      </c>
      <c r="F46" s="574">
        <f t="shared" si="0"/>
        <v>1</v>
      </c>
      <c r="G46" s="65"/>
    </row>
    <row r="47" spans="1:7" s="17" customFormat="1" ht="12.75" customHeight="1">
      <c r="A47" s="161">
        <v>3991</v>
      </c>
      <c r="B47" s="232" t="s">
        <v>10</v>
      </c>
      <c r="C47" s="158">
        <v>4212</v>
      </c>
      <c r="D47" s="158">
        <v>7229</v>
      </c>
      <c r="E47" s="158">
        <v>7229</v>
      </c>
      <c r="F47" s="574">
        <f t="shared" si="0"/>
        <v>1</v>
      </c>
      <c r="G47" s="65"/>
    </row>
    <row r="48" spans="1:7" s="17" customFormat="1" ht="12.75" customHeight="1">
      <c r="A48" s="161">
        <v>3992</v>
      </c>
      <c r="B48" s="232" t="s">
        <v>1170</v>
      </c>
      <c r="C48" s="158">
        <v>1272</v>
      </c>
      <c r="D48" s="158">
        <v>2610</v>
      </c>
      <c r="E48" s="158">
        <v>2610</v>
      </c>
      <c r="F48" s="574">
        <f t="shared" si="0"/>
        <v>1</v>
      </c>
      <c r="G48" s="65"/>
    </row>
    <row r="49" spans="1:7" s="17" customFormat="1" ht="12.75" customHeight="1">
      <c r="A49" s="161">
        <v>3993</v>
      </c>
      <c r="B49" s="232" t="s">
        <v>1171</v>
      </c>
      <c r="C49" s="158">
        <v>1142</v>
      </c>
      <c r="D49" s="158">
        <v>3123</v>
      </c>
      <c r="E49" s="158">
        <v>3123</v>
      </c>
      <c r="F49" s="574">
        <f t="shared" si="0"/>
        <v>1</v>
      </c>
      <c r="G49" s="65"/>
    </row>
    <row r="50" spans="1:7" s="17" customFormat="1" ht="12.75" customHeight="1">
      <c r="A50" s="161">
        <v>3994</v>
      </c>
      <c r="B50" s="232" t="s">
        <v>853</v>
      </c>
      <c r="C50" s="158">
        <v>952</v>
      </c>
      <c r="D50" s="158">
        <v>2442</v>
      </c>
      <c r="E50" s="158">
        <v>2442</v>
      </c>
      <c r="F50" s="574">
        <f t="shared" si="0"/>
        <v>1</v>
      </c>
      <c r="G50" s="65"/>
    </row>
    <row r="51" spans="1:7" s="17" customFormat="1" ht="12.75" customHeight="1">
      <c r="A51" s="161">
        <v>3995</v>
      </c>
      <c r="B51" s="232" t="s">
        <v>854</v>
      </c>
      <c r="C51" s="158">
        <v>992</v>
      </c>
      <c r="D51" s="158">
        <v>1705</v>
      </c>
      <c r="E51" s="158">
        <v>1705</v>
      </c>
      <c r="F51" s="574">
        <f t="shared" si="0"/>
        <v>1</v>
      </c>
      <c r="G51" s="65"/>
    </row>
    <row r="52" spans="1:7" s="17" customFormat="1" ht="12.75" customHeight="1">
      <c r="A52" s="244">
        <v>3996</v>
      </c>
      <c r="B52" s="331" t="s">
        <v>855</v>
      </c>
      <c r="C52" s="169">
        <v>992</v>
      </c>
      <c r="D52" s="169">
        <v>2249</v>
      </c>
      <c r="E52" s="169">
        <v>2249</v>
      </c>
      <c r="F52" s="575">
        <f t="shared" si="0"/>
        <v>1</v>
      </c>
      <c r="G52" s="76"/>
    </row>
    <row r="53" spans="1:7" s="17" customFormat="1" ht="12.75" customHeight="1">
      <c r="A53" s="161">
        <v>3997</v>
      </c>
      <c r="B53" s="232" t="s">
        <v>856</v>
      </c>
      <c r="C53" s="158">
        <v>942</v>
      </c>
      <c r="D53" s="158">
        <v>2000</v>
      </c>
      <c r="E53" s="158">
        <v>2000</v>
      </c>
      <c r="F53" s="574">
        <f t="shared" si="0"/>
        <v>1</v>
      </c>
      <c r="G53" s="65"/>
    </row>
    <row r="54" spans="1:7" s="17" customFormat="1" ht="12.75" customHeight="1">
      <c r="A54" s="161">
        <v>3998</v>
      </c>
      <c r="B54" s="232" t="s">
        <v>857</v>
      </c>
      <c r="C54" s="158">
        <v>932</v>
      </c>
      <c r="D54" s="158">
        <v>1915</v>
      </c>
      <c r="E54" s="158">
        <v>1915</v>
      </c>
      <c r="F54" s="574">
        <f t="shared" si="0"/>
        <v>1</v>
      </c>
      <c r="G54" s="65"/>
    </row>
    <row r="55" spans="1:7" s="17" customFormat="1" ht="12.75" customHeight="1" thickBot="1">
      <c r="A55" s="330">
        <v>3999</v>
      </c>
      <c r="B55" s="232" t="s">
        <v>858</v>
      </c>
      <c r="C55" s="181">
        <v>1032</v>
      </c>
      <c r="D55" s="181">
        <v>5899</v>
      </c>
      <c r="E55" s="181">
        <v>5899</v>
      </c>
      <c r="F55" s="576">
        <f t="shared" si="0"/>
        <v>1</v>
      </c>
      <c r="G55" s="62"/>
    </row>
    <row r="56" spans="1:7" s="17" customFormat="1" ht="12.75" customHeight="1" thickBot="1">
      <c r="A56" s="143"/>
      <c r="B56" s="63" t="s">
        <v>993</v>
      </c>
      <c r="C56" s="9">
        <f>SUM(C46:C55)</f>
        <v>13520</v>
      </c>
      <c r="D56" s="9">
        <f>SUM(D46:D55)</f>
        <v>31855</v>
      </c>
      <c r="E56" s="9">
        <f>SUM(E46:E55)</f>
        <v>31855</v>
      </c>
      <c r="F56" s="938">
        <f t="shared" si="0"/>
        <v>1</v>
      </c>
      <c r="G56" s="63"/>
    </row>
    <row r="57" spans="1:7" s="17" customFormat="1" ht="12.75" customHeight="1" thickBot="1">
      <c r="A57" s="143">
        <v>3900</v>
      </c>
      <c r="B57" s="63" t="s">
        <v>984</v>
      </c>
      <c r="C57" s="9">
        <f>C38+C29+C20+C11+C24+C41+C44+C56</f>
        <v>880182</v>
      </c>
      <c r="D57" s="9">
        <f>D38+D29+D20+D11+D24+D41+D44+D56</f>
        <v>917807</v>
      </c>
      <c r="E57" s="9">
        <f>E38+E29+E20+E11+E24+E41+E44+E56</f>
        <v>904433</v>
      </c>
      <c r="F57" s="938">
        <f t="shared" si="0"/>
        <v>0.9854283090017836</v>
      </c>
      <c r="G57" s="63"/>
    </row>
    <row r="58" spans="1:7" s="17" customFormat="1" ht="12.75" customHeight="1">
      <c r="A58" s="86"/>
      <c r="B58" s="223" t="s">
        <v>1037</v>
      </c>
      <c r="C58" s="158"/>
      <c r="D58" s="158"/>
      <c r="E58" s="158"/>
      <c r="F58" s="574"/>
      <c r="G58" s="65"/>
    </row>
    <row r="59" spans="1:7" s="17" customFormat="1" ht="12.75" customHeight="1">
      <c r="A59" s="86"/>
      <c r="B59" s="36" t="s">
        <v>888</v>
      </c>
      <c r="C59" s="158"/>
      <c r="D59" s="158"/>
      <c r="E59" s="158"/>
      <c r="F59" s="574"/>
      <c r="G59" s="65"/>
    </row>
    <row r="60" spans="1:7" s="17" customFormat="1" ht="12.75" customHeight="1">
      <c r="A60" s="86"/>
      <c r="B60" s="223" t="s">
        <v>1128</v>
      </c>
      <c r="C60" s="158"/>
      <c r="D60" s="158"/>
      <c r="E60" s="158"/>
      <c r="F60" s="574"/>
      <c r="G60" s="65"/>
    </row>
    <row r="61" spans="1:7" s="17" customFormat="1" ht="12.75" customHeight="1">
      <c r="A61" s="84"/>
      <c r="B61" s="36" t="s">
        <v>1116</v>
      </c>
      <c r="C61" s="36">
        <f>SUM(C57)</f>
        <v>880182</v>
      </c>
      <c r="D61" s="36">
        <f>SUM(D57)-D10-D16</f>
        <v>898769</v>
      </c>
      <c r="E61" s="36">
        <f>SUM(E57)-E10-E16-E28</f>
        <v>883345</v>
      </c>
      <c r="F61" s="574">
        <f t="shared" si="0"/>
        <v>0.9828387494450743</v>
      </c>
      <c r="G61" s="65"/>
    </row>
    <row r="62" spans="1:7" s="17" customFormat="1" ht="12.75" customHeight="1">
      <c r="A62" s="84"/>
      <c r="B62" s="36" t="s">
        <v>256</v>
      </c>
      <c r="C62" s="36"/>
      <c r="D62" s="36">
        <f>SUM(D10+D16)</f>
        <v>19038</v>
      </c>
      <c r="E62" s="36">
        <f>SUM(E10+E16+E28)</f>
        <v>21088</v>
      </c>
      <c r="F62" s="574">
        <f t="shared" si="0"/>
        <v>1.1076793780859333</v>
      </c>
      <c r="G62" s="65"/>
    </row>
    <row r="63" spans="1:7" s="17" customFormat="1" ht="12.75" customHeight="1">
      <c r="A63" s="84"/>
      <c r="B63" s="246" t="s">
        <v>914</v>
      </c>
      <c r="C63" s="36"/>
      <c r="D63" s="36"/>
      <c r="E63" s="36"/>
      <c r="F63" s="574"/>
      <c r="G63" s="65"/>
    </row>
    <row r="64" spans="1:7" s="17" customFormat="1" ht="12.75" customHeight="1">
      <c r="A64" s="142"/>
      <c r="B64" s="297" t="s">
        <v>868</v>
      </c>
      <c r="C64" s="171">
        <f>SUM(C59:C63)</f>
        <v>880182</v>
      </c>
      <c r="D64" s="171">
        <f>SUM(D59:D63)</f>
        <v>917807</v>
      </c>
      <c r="E64" s="171">
        <f>SUM(E59:E63)</f>
        <v>904433</v>
      </c>
      <c r="F64" s="582">
        <f t="shared" si="0"/>
        <v>0.9854283090017836</v>
      </c>
      <c r="G64" s="76"/>
    </row>
    <row r="65" spans="1:7" ht="12.75" customHeight="1">
      <c r="A65" s="67"/>
      <c r="B65" s="68"/>
      <c r="C65" s="27"/>
      <c r="D65" s="27"/>
      <c r="E65" s="27"/>
      <c r="F65" s="27"/>
      <c r="G65" s="68"/>
    </row>
    <row r="66" ht="12.75" customHeight="1">
      <c r="A66" s="126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9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showZeros="0" zoomScalePageLayoutView="0" workbookViewId="0" topLeftCell="A115">
      <selection activeCell="E137" sqref="E137"/>
    </sheetView>
  </sheetViews>
  <sheetFormatPr defaultColWidth="9.00390625" defaultRowHeight="12.75" customHeight="1"/>
  <cols>
    <col min="1" max="1" width="5.75390625" style="67" customWidth="1"/>
    <col min="2" max="2" width="66.125" style="68" customWidth="1"/>
    <col min="3" max="3" width="12.125" style="113" customWidth="1"/>
    <col min="4" max="5" width="11.125" style="113" customWidth="1"/>
    <col min="6" max="6" width="9.75390625" style="113" customWidth="1"/>
    <col min="7" max="7" width="56.75390625" style="68" customWidth="1"/>
    <col min="8" max="16384" width="9.125" style="68" customWidth="1"/>
  </cols>
  <sheetData>
    <row r="1" spans="1:8" s="21" customFormat="1" ht="12.75" customHeight="1">
      <c r="A1" s="1258" t="s">
        <v>985</v>
      </c>
      <c r="B1" s="1268"/>
      <c r="C1" s="1268"/>
      <c r="D1" s="1268"/>
      <c r="E1" s="1268"/>
      <c r="F1" s="1268"/>
      <c r="G1" s="1268"/>
      <c r="H1" s="210"/>
    </row>
    <row r="2" spans="1:8" s="21" customFormat="1" ht="12.75" customHeight="1">
      <c r="A2" s="1289" t="s">
        <v>1193</v>
      </c>
      <c r="B2" s="1268"/>
      <c r="C2" s="1268"/>
      <c r="D2" s="1268"/>
      <c r="E2" s="1268"/>
      <c r="F2" s="1268"/>
      <c r="G2" s="1268"/>
      <c r="H2" s="149"/>
    </row>
    <row r="3" spans="1:7" s="21" customFormat="1" ht="12.75" customHeight="1">
      <c r="A3" s="149"/>
      <c r="B3" s="149"/>
      <c r="C3" s="1257"/>
      <c r="D3" s="1257"/>
      <c r="E3" s="1257"/>
      <c r="F3" s="1257"/>
      <c r="G3" s="1285"/>
    </row>
    <row r="4" spans="3:7" ht="10.5" customHeight="1">
      <c r="C4" s="151"/>
      <c r="D4" s="151"/>
      <c r="E4" s="151"/>
      <c r="F4" s="151"/>
      <c r="G4" s="203" t="s">
        <v>1060</v>
      </c>
    </row>
    <row r="5" spans="1:7" ht="12.75" customHeight="1">
      <c r="A5" s="51"/>
      <c r="B5" s="127"/>
      <c r="C5" s="205" t="s">
        <v>930</v>
      </c>
      <c r="D5" s="1263" t="s">
        <v>302</v>
      </c>
      <c r="E5" s="1263" t="s">
        <v>850</v>
      </c>
      <c r="F5" s="1263" t="s">
        <v>267</v>
      </c>
      <c r="G5" s="185"/>
    </row>
    <row r="6" spans="1:7" ht="12" customHeight="1">
      <c r="A6" s="86" t="s">
        <v>1097</v>
      </c>
      <c r="B6" s="128" t="s">
        <v>980</v>
      </c>
      <c r="C6" s="15" t="s">
        <v>194</v>
      </c>
      <c r="D6" s="1278"/>
      <c r="E6" s="1278"/>
      <c r="F6" s="1278"/>
      <c r="G6" s="3" t="s">
        <v>982</v>
      </c>
    </row>
    <row r="7" spans="1:7" ht="12.75" customHeight="1" thickBot="1">
      <c r="A7" s="238"/>
      <c r="B7" s="129"/>
      <c r="C7" s="15" t="s">
        <v>195</v>
      </c>
      <c r="D7" s="1256"/>
      <c r="E7" s="1279"/>
      <c r="F7" s="1283"/>
      <c r="G7" s="52" t="s">
        <v>983</v>
      </c>
    </row>
    <row r="8" spans="1:7" ht="12.75" customHeight="1">
      <c r="A8" s="94" t="s">
        <v>1016</v>
      </c>
      <c r="B8" s="130" t="s">
        <v>1017</v>
      </c>
      <c r="C8" s="204" t="s">
        <v>1018</v>
      </c>
      <c r="D8" s="204" t="s">
        <v>1019</v>
      </c>
      <c r="E8" s="204" t="s">
        <v>1020</v>
      </c>
      <c r="F8" s="204" t="s">
        <v>1148</v>
      </c>
      <c r="G8" s="199" t="s">
        <v>229</v>
      </c>
    </row>
    <row r="9" spans="1:7" ht="16.5" customHeight="1">
      <c r="A9" s="22"/>
      <c r="B9" s="336" t="s">
        <v>1194</v>
      </c>
      <c r="C9" s="5"/>
      <c r="D9" s="5"/>
      <c r="E9" s="5"/>
      <c r="F9" s="5"/>
      <c r="G9" s="214"/>
    </row>
    <row r="10" spans="1:7" ht="12">
      <c r="A10" s="86"/>
      <c r="B10" s="131" t="s">
        <v>907</v>
      </c>
      <c r="C10" s="83"/>
      <c r="D10" s="83"/>
      <c r="E10" s="83"/>
      <c r="F10" s="104"/>
      <c r="G10" s="58"/>
    </row>
    <row r="11" spans="1:7" ht="12">
      <c r="A11" s="70">
        <v>4011</v>
      </c>
      <c r="B11" s="132" t="s">
        <v>1062</v>
      </c>
      <c r="C11" s="78">
        <v>91473</v>
      </c>
      <c r="D11" s="578">
        <v>92780</v>
      </c>
      <c r="E11" s="578">
        <v>89539</v>
      </c>
      <c r="F11" s="574">
        <f>SUM(E11/D11)</f>
        <v>0.965067902565208</v>
      </c>
      <c r="G11" s="579"/>
    </row>
    <row r="12" spans="1:7" ht="12">
      <c r="A12" s="70"/>
      <c r="B12" s="621" t="s">
        <v>244</v>
      </c>
      <c r="C12" s="78"/>
      <c r="D12" s="622">
        <v>92167</v>
      </c>
      <c r="E12" s="622">
        <v>88926</v>
      </c>
      <c r="F12" s="944">
        <f aca="true" t="shared" si="0" ref="F12:F75">SUM(E12/D12)</f>
        <v>0.9648355702149359</v>
      </c>
      <c r="G12" s="579"/>
    </row>
    <row r="13" spans="1:7" ht="12">
      <c r="A13" s="70"/>
      <c r="B13" s="621" t="s">
        <v>245</v>
      </c>
      <c r="C13" s="78"/>
      <c r="D13" s="622">
        <v>613</v>
      </c>
      <c r="E13" s="622">
        <v>613</v>
      </c>
      <c r="F13" s="944">
        <f t="shared" si="0"/>
        <v>1</v>
      </c>
      <c r="G13" s="579"/>
    </row>
    <row r="14" spans="1:7" ht="12">
      <c r="A14" s="70">
        <v>4012</v>
      </c>
      <c r="B14" s="132" t="s">
        <v>996</v>
      </c>
      <c r="C14" s="78"/>
      <c r="D14" s="78"/>
      <c r="E14" s="78"/>
      <c r="F14" s="574"/>
      <c r="G14" s="58"/>
    </row>
    <row r="15" spans="1:7" s="64" customFormat="1" ht="12">
      <c r="A15" s="22">
        <v>4010</v>
      </c>
      <c r="B15" s="23" t="s">
        <v>1046</v>
      </c>
      <c r="C15" s="134">
        <f>SUM(C11:C14)</f>
        <v>91473</v>
      </c>
      <c r="D15" s="134">
        <f>SUM(D11)</f>
        <v>92780</v>
      </c>
      <c r="E15" s="134">
        <f>SUM(E11)</f>
        <v>89539</v>
      </c>
      <c r="F15" s="573">
        <f t="shared" si="0"/>
        <v>0.965067902565208</v>
      </c>
      <c r="G15" s="200"/>
    </row>
    <row r="16" spans="1:7" s="64" customFormat="1" ht="12">
      <c r="A16" s="15"/>
      <c r="B16" s="79" t="s">
        <v>860</v>
      </c>
      <c r="C16" s="222"/>
      <c r="D16" s="222"/>
      <c r="E16" s="222"/>
      <c r="F16" s="574"/>
      <c r="G16" s="65"/>
    </row>
    <row r="17" spans="1:7" s="64" customFormat="1" ht="12">
      <c r="A17" s="84">
        <v>4021</v>
      </c>
      <c r="B17" s="219" t="s">
        <v>931</v>
      </c>
      <c r="C17" s="220">
        <v>10000</v>
      </c>
      <c r="D17" s="220">
        <v>10000</v>
      </c>
      <c r="E17" s="220">
        <v>612</v>
      </c>
      <c r="F17" s="574">
        <f t="shared" si="0"/>
        <v>0.0612</v>
      </c>
      <c r="G17" s="65"/>
    </row>
    <row r="18" spans="1:7" s="64" customFormat="1" ht="12">
      <c r="A18" s="84"/>
      <c r="B18" s="621" t="s">
        <v>244</v>
      </c>
      <c r="C18" s="220"/>
      <c r="D18" s="663">
        <v>9388</v>
      </c>
      <c r="E18" s="663"/>
      <c r="F18" s="574">
        <f t="shared" si="0"/>
        <v>0</v>
      </c>
      <c r="G18" s="65"/>
    </row>
    <row r="19" spans="1:7" s="64" customFormat="1" ht="12">
      <c r="A19" s="84"/>
      <c r="B19" s="621" t="s">
        <v>245</v>
      </c>
      <c r="C19" s="220"/>
      <c r="D19" s="663">
        <v>612</v>
      </c>
      <c r="E19" s="663">
        <v>612</v>
      </c>
      <c r="F19" s="944">
        <f t="shared" si="0"/>
        <v>1</v>
      </c>
      <c r="G19" s="65"/>
    </row>
    <row r="20" spans="1:7" s="64" customFormat="1" ht="12">
      <c r="A20" s="22">
        <v>4020</v>
      </c>
      <c r="B20" s="239" t="s">
        <v>1046</v>
      </c>
      <c r="C20" s="134">
        <f>SUM(C17:C17)</f>
        <v>10000</v>
      </c>
      <c r="D20" s="134">
        <f>SUM(D17:D17)</f>
        <v>10000</v>
      </c>
      <c r="E20" s="134">
        <f>SUM(E17:E17)</f>
        <v>612</v>
      </c>
      <c r="F20" s="573">
        <f t="shared" si="0"/>
        <v>0.0612</v>
      </c>
      <c r="G20" s="106"/>
    </row>
    <row r="21" spans="1:7" s="64" customFormat="1" ht="12">
      <c r="A21" s="15"/>
      <c r="B21" s="26" t="s">
        <v>926</v>
      </c>
      <c r="C21" s="158"/>
      <c r="D21" s="158"/>
      <c r="E21" s="158"/>
      <c r="F21" s="574"/>
      <c r="G21" s="70"/>
    </row>
    <row r="22" spans="1:7" s="64" customFormat="1" ht="12.75">
      <c r="A22" s="70">
        <v>4033</v>
      </c>
      <c r="B22" s="132" t="s">
        <v>1106</v>
      </c>
      <c r="C22" s="158">
        <v>5000</v>
      </c>
      <c r="D22" s="158">
        <v>17939</v>
      </c>
      <c r="E22" s="158">
        <v>7700</v>
      </c>
      <c r="F22" s="574">
        <f t="shared" si="0"/>
        <v>0.4292323986844306</v>
      </c>
      <c r="G22" s="123" t="s">
        <v>1010</v>
      </c>
    </row>
    <row r="23" spans="1:7" s="64" customFormat="1" ht="12.75">
      <c r="A23" s="70">
        <v>4034</v>
      </c>
      <c r="B23" s="132" t="s">
        <v>1134</v>
      </c>
      <c r="C23" s="158">
        <v>40000</v>
      </c>
      <c r="D23" s="158">
        <v>38600</v>
      </c>
      <c r="E23" s="158">
        <v>37944</v>
      </c>
      <c r="F23" s="574">
        <f t="shared" si="0"/>
        <v>0.9830051813471503</v>
      </c>
      <c r="G23" s="123"/>
    </row>
    <row r="24" spans="1:7" s="64" customFormat="1" ht="12.75">
      <c r="A24" s="70"/>
      <c r="B24" s="621" t="s">
        <v>244</v>
      </c>
      <c r="C24" s="158"/>
      <c r="D24" s="157">
        <v>38580</v>
      </c>
      <c r="E24" s="157">
        <v>37924</v>
      </c>
      <c r="F24" s="944">
        <f t="shared" si="0"/>
        <v>0.9829963711767755</v>
      </c>
      <c r="G24" s="123"/>
    </row>
    <row r="25" spans="1:7" s="64" customFormat="1" ht="12.75">
      <c r="A25" s="70"/>
      <c r="B25" s="621" t="s">
        <v>245</v>
      </c>
      <c r="C25" s="158"/>
      <c r="D25" s="157">
        <v>20</v>
      </c>
      <c r="E25" s="157">
        <v>20</v>
      </c>
      <c r="F25" s="944">
        <f t="shared" si="0"/>
        <v>1</v>
      </c>
      <c r="G25" s="123"/>
    </row>
    <row r="26" spans="1:7" s="64" customFormat="1" ht="12">
      <c r="A26" s="22">
        <v>4030</v>
      </c>
      <c r="B26" s="23" t="s">
        <v>1046</v>
      </c>
      <c r="C26" s="47">
        <f>SUM(C22:C23)</f>
        <v>45000</v>
      </c>
      <c r="D26" s="47">
        <f>SUM(D22:D23)</f>
        <v>56539</v>
      </c>
      <c r="E26" s="47">
        <f>SUM(E22:E23)</f>
        <v>45644</v>
      </c>
      <c r="F26" s="573">
        <f t="shared" si="0"/>
        <v>0.8073011549549868</v>
      </c>
      <c r="G26" s="201"/>
    </row>
    <row r="27" spans="1:7" s="64" customFormat="1" ht="12.75">
      <c r="A27" s="15"/>
      <c r="B27" s="240" t="s">
        <v>918</v>
      </c>
      <c r="C27" s="182"/>
      <c r="D27" s="182"/>
      <c r="E27" s="182"/>
      <c r="F27" s="574"/>
      <c r="G27" s="65"/>
    </row>
    <row r="28" spans="1:7" s="64" customFormat="1" ht="12">
      <c r="A28" s="161">
        <v>4111</v>
      </c>
      <c r="B28" s="241" t="s">
        <v>936</v>
      </c>
      <c r="C28" s="158">
        <v>578494</v>
      </c>
      <c r="D28" s="158">
        <v>581653</v>
      </c>
      <c r="E28" s="158">
        <v>581653</v>
      </c>
      <c r="F28" s="574">
        <f t="shared" si="0"/>
        <v>1</v>
      </c>
      <c r="G28" s="65"/>
    </row>
    <row r="29" spans="1:7" s="64" customFormat="1" ht="12">
      <c r="A29" s="161">
        <v>4112</v>
      </c>
      <c r="B29" s="241" t="s">
        <v>932</v>
      </c>
      <c r="C29" s="158">
        <v>202000</v>
      </c>
      <c r="D29" s="158">
        <v>202000</v>
      </c>
      <c r="E29" s="158">
        <v>40335</v>
      </c>
      <c r="F29" s="574">
        <f t="shared" si="0"/>
        <v>0.1996782178217822</v>
      </c>
      <c r="G29" s="65"/>
    </row>
    <row r="30" spans="1:7" s="64" customFormat="1" ht="12">
      <c r="A30" s="161">
        <v>4113</v>
      </c>
      <c r="B30" s="241" t="s">
        <v>933</v>
      </c>
      <c r="C30" s="158">
        <v>75900</v>
      </c>
      <c r="D30" s="158"/>
      <c r="E30" s="158"/>
      <c r="F30" s="574"/>
      <c r="G30" s="65"/>
    </row>
    <row r="31" spans="1:7" s="64" customFormat="1" ht="12">
      <c r="A31" s="161">
        <v>4114</v>
      </c>
      <c r="B31" s="241" t="s">
        <v>934</v>
      </c>
      <c r="C31" s="158">
        <v>131897</v>
      </c>
      <c r="D31" s="158">
        <v>133772</v>
      </c>
      <c r="E31" s="158">
        <v>132264</v>
      </c>
      <c r="F31" s="574">
        <f t="shared" si="0"/>
        <v>0.9887270878808719</v>
      </c>
      <c r="G31" s="65"/>
    </row>
    <row r="32" spans="1:7" s="64" customFormat="1" ht="12">
      <c r="A32" s="161"/>
      <c r="B32" s="621" t="s">
        <v>246</v>
      </c>
      <c r="C32" s="158"/>
      <c r="D32" s="157">
        <v>133309</v>
      </c>
      <c r="E32" s="157">
        <v>131801</v>
      </c>
      <c r="F32" s="944">
        <f t="shared" si="0"/>
        <v>0.9886879355482375</v>
      </c>
      <c r="G32" s="65"/>
    </row>
    <row r="33" spans="1:7" s="64" customFormat="1" ht="12">
      <c r="A33" s="161"/>
      <c r="B33" s="621" t="s">
        <v>245</v>
      </c>
      <c r="C33" s="158"/>
      <c r="D33" s="157">
        <v>463</v>
      </c>
      <c r="E33" s="157">
        <v>463</v>
      </c>
      <c r="F33" s="944">
        <f t="shared" si="0"/>
        <v>1</v>
      </c>
      <c r="G33" s="65"/>
    </row>
    <row r="34" spans="1:7" s="64" customFormat="1" ht="12">
      <c r="A34" s="161">
        <v>4115</v>
      </c>
      <c r="B34" s="241" t="s">
        <v>935</v>
      </c>
      <c r="C34" s="158">
        <v>248920</v>
      </c>
      <c r="D34" s="158">
        <v>198920</v>
      </c>
      <c r="E34" s="158">
        <v>46902</v>
      </c>
      <c r="F34" s="574">
        <f t="shared" si="0"/>
        <v>0.23578322943897045</v>
      </c>
      <c r="G34" s="65"/>
    </row>
    <row r="35" spans="1:7" s="64" customFormat="1" ht="12">
      <c r="A35" s="161">
        <v>4116</v>
      </c>
      <c r="B35" s="241" t="s">
        <v>1192</v>
      </c>
      <c r="C35" s="158">
        <v>94500</v>
      </c>
      <c r="D35" s="158"/>
      <c r="E35" s="158"/>
      <c r="F35" s="574"/>
      <c r="G35" s="65"/>
    </row>
    <row r="36" spans="1:7" s="64" customFormat="1" ht="12">
      <c r="A36" s="161">
        <v>4117</v>
      </c>
      <c r="B36" s="241" t="s">
        <v>211</v>
      </c>
      <c r="C36" s="158"/>
      <c r="D36" s="158">
        <v>10995</v>
      </c>
      <c r="E36" s="158">
        <v>10715</v>
      </c>
      <c r="F36" s="574">
        <f t="shared" si="0"/>
        <v>0.9745338790359254</v>
      </c>
      <c r="G36" s="65"/>
    </row>
    <row r="37" spans="1:7" s="64" customFormat="1" ht="12">
      <c r="A37" s="161"/>
      <c r="B37" s="621" t="s">
        <v>246</v>
      </c>
      <c r="C37" s="158"/>
      <c r="D37" s="157">
        <v>7231</v>
      </c>
      <c r="E37" s="157">
        <v>6951</v>
      </c>
      <c r="F37" s="944">
        <f t="shared" si="0"/>
        <v>0.9612778315585673</v>
      </c>
      <c r="G37" s="65"/>
    </row>
    <row r="38" spans="1:7" s="64" customFormat="1" ht="12">
      <c r="A38" s="161"/>
      <c r="B38" s="621" t="s">
        <v>245</v>
      </c>
      <c r="C38" s="158"/>
      <c r="D38" s="157">
        <v>3764</v>
      </c>
      <c r="E38" s="157">
        <v>3764</v>
      </c>
      <c r="F38" s="944">
        <f t="shared" si="0"/>
        <v>1</v>
      </c>
      <c r="G38" s="65"/>
    </row>
    <row r="39" spans="1:7" s="64" customFormat="1" ht="12">
      <c r="A39" s="161"/>
      <c r="B39" s="568" t="s">
        <v>186</v>
      </c>
      <c r="C39" s="158"/>
      <c r="D39" s="158"/>
      <c r="E39" s="158"/>
      <c r="F39" s="574"/>
      <c r="G39" s="65"/>
    </row>
    <row r="40" spans="1:7" s="50" customFormat="1" ht="12">
      <c r="A40" s="70">
        <v>4121</v>
      </c>
      <c r="B40" s="206" t="s">
        <v>937</v>
      </c>
      <c r="C40" s="78">
        <v>50000</v>
      </c>
      <c r="D40" s="78">
        <v>47180</v>
      </c>
      <c r="E40" s="78">
        <v>14071</v>
      </c>
      <c r="F40" s="574">
        <f t="shared" si="0"/>
        <v>0.2982407799915218</v>
      </c>
      <c r="G40" s="58"/>
    </row>
    <row r="41" spans="1:7" s="50" customFormat="1" ht="12">
      <c r="A41" s="70"/>
      <c r="B41" s="621" t="s">
        <v>246</v>
      </c>
      <c r="C41" s="78"/>
      <c r="D41" s="590">
        <v>46667</v>
      </c>
      <c r="E41" s="590">
        <v>13532</v>
      </c>
      <c r="F41" s="944">
        <f t="shared" si="0"/>
        <v>0.2899693573617331</v>
      </c>
      <c r="G41" s="58"/>
    </row>
    <row r="42" spans="1:7" s="50" customFormat="1" ht="12">
      <c r="A42" s="70"/>
      <c r="B42" s="621" t="s">
        <v>245</v>
      </c>
      <c r="C42" s="78"/>
      <c r="D42" s="590">
        <v>513</v>
      </c>
      <c r="E42" s="590">
        <v>539</v>
      </c>
      <c r="F42" s="944">
        <f t="shared" si="0"/>
        <v>1.050682261208577</v>
      </c>
      <c r="G42" s="58"/>
    </row>
    <row r="43" spans="1:7" s="50" customFormat="1" ht="12">
      <c r="A43" s="70">
        <v>4122</v>
      </c>
      <c r="B43" s="150" t="s">
        <v>1078</v>
      </c>
      <c r="C43" s="158">
        <v>70000</v>
      </c>
      <c r="D43" s="158">
        <v>76830</v>
      </c>
      <c r="E43" s="158">
        <v>51651</v>
      </c>
      <c r="F43" s="574">
        <f t="shared" si="0"/>
        <v>0.6722764545099571</v>
      </c>
      <c r="G43" s="58"/>
    </row>
    <row r="44" spans="1:7" s="50" customFormat="1" ht="12">
      <c r="A44" s="70"/>
      <c r="B44" s="621" t="s">
        <v>246</v>
      </c>
      <c r="C44" s="158"/>
      <c r="D44" s="157">
        <v>73843</v>
      </c>
      <c r="E44" s="157">
        <v>48664</v>
      </c>
      <c r="F44" s="944">
        <f t="shared" si="0"/>
        <v>0.6590198123044838</v>
      </c>
      <c r="G44" s="58"/>
    </row>
    <row r="45" spans="1:7" s="50" customFormat="1" ht="12">
      <c r="A45" s="70"/>
      <c r="B45" s="621" t="s">
        <v>247</v>
      </c>
      <c r="C45" s="158"/>
      <c r="D45" s="158">
        <v>77</v>
      </c>
      <c r="E45" s="158">
        <v>77</v>
      </c>
      <c r="F45" s="944">
        <f t="shared" si="0"/>
        <v>1</v>
      </c>
      <c r="G45" s="58"/>
    </row>
    <row r="46" spans="1:7" s="50" customFormat="1" ht="12">
      <c r="A46" s="70"/>
      <c r="B46" s="621" t="s">
        <v>245</v>
      </c>
      <c r="C46" s="158"/>
      <c r="D46" s="157">
        <v>2910</v>
      </c>
      <c r="E46" s="157">
        <v>2910</v>
      </c>
      <c r="F46" s="944">
        <f t="shared" si="0"/>
        <v>1</v>
      </c>
      <c r="G46" s="58"/>
    </row>
    <row r="47" spans="1:7" s="50" customFormat="1" ht="12">
      <c r="A47" s="70">
        <v>4123</v>
      </c>
      <c r="B47" s="241" t="s">
        <v>274</v>
      </c>
      <c r="C47" s="158"/>
      <c r="D47" s="158">
        <v>25200</v>
      </c>
      <c r="E47" s="158">
        <v>10744</v>
      </c>
      <c r="F47" s="574">
        <f t="shared" si="0"/>
        <v>0.42634920634920637</v>
      </c>
      <c r="G47" s="58"/>
    </row>
    <row r="48" spans="1:7" s="50" customFormat="1" ht="12">
      <c r="A48" s="75"/>
      <c r="B48" s="623" t="s">
        <v>986</v>
      </c>
      <c r="C48" s="283">
        <f>SUM(C28:C43)</f>
        <v>1451711</v>
      </c>
      <c r="D48" s="283">
        <f>SUM(D28+D29+D31+D34+D36+D40+D43+D47)</f>
        <v>1276550</v>
      </c>
      <c r="E48" s="283">
        <f>SUM(E28+E29+E31+E34+E36+E40+E43+E47)</f>
        <v>888335</v>
      </c>
      <c r="F48" s="582">
        <f t="shared" si="0"/>
        <v>0.6958873526301359</v>
      </c>
      <c r="G48" s="71"/>
    </row>
    <row r="49" spans="1:7" s="50" customFormat="1" ht="12">
      <c r="A49" s="70">
        <v>4131</v>
      </c>
      <c r="B49" s="206" t="s">
        <v>1109</v>
      </c>
      <c r="C49" s="158">
        <v>45000</v>
      </c>
      <c r="D49" s="158">
        <v>50000</v>
      </c>
      <c r="E49" s="158">
        <v>48234</v>
      </c>
      <c r="F49" s="574">
        <f t="shared" si="0"/>
        <v>0.96468</v>
      </c>
      <c r="G49" s="58"/>
    </row>
    <row r="50" spans="1:7" s="50" customFormat="1" ht="12">
      <c r="A50" s="70"/>
      <c r="B50" s="621" t="s">
        <v>246</v>
      </c>
      <c r="C50" s="158"/>
      <c r="D50" s="157">
        <v>47647</v>
      </c>
      <c r="E50" s="157">
        <v>45881</v>
      </c>
      <c r="F50" s="944">
        <f t="shared" si="0"/>
        <v>0.9629357567108108</v>
      </c>
      <c r="G50" s="58"/>
    </row>
    <row r="51" spans="1:7" s="50" customFormat="1" ht="12">
      <c r="A51" s="70"/>
      <c r="B51" s="621" t="s">
        <v>245</v>
      </c>
      <c r="C51" s="158"/>
      <c r="D51" s="157">
        <v>2353</v>
      </c>
      <c r="E51" s="157">
        <v>2353</v>
      </c>
      <c r="F51" s="944">
        <f t="shared" si="0"/>
        <v>1</v>
      </c>
      <c r="G51" s="58"/>
    </row>
    <row r="52" spans="1:7" s="50" customFormat="1" ht="12" customHeight="1">
      <c r="A52" s="75">
        <v>4132</v>
      </c>
      <c r="B52" s="660" t="s">
        <v>922</v>
      </c>
      <c r="C52" s="169">
        <v>30000</v>
      </c>
      <c r="D52" s="169">
        <v>31176</v>
      </c>
      <c r="E52" s="169">
        <v>21587</v>
      </c>
      <c r="F52" s="575">
        <f t="shared" si="0"/>
        <v>0.6924236592250449</v>
      </c>
      <c r="G52" s="71"/>
    </row>
    <row r="53" spans="1:7" s="50" customFormat="1" ht="12.75" customHeight="1">
      <c r="A53" s="70">
        <v>4133</v>
      </c>
      <c r="B53" s="206" t="s">
        <v>1110</v>
      </c>
      <c r="C53" s="158">
        <v>150000</v>
      </c>
      <c r="D53" s="158">
        <v>232923</v>
      </c>
      <c r="E53" s="158">
        <v>134118</v>
      </c>
      <c r="F53" s="574">
        <f t="shared" si="0"/>
        <v>0.5758040210713412</v>
      </c>
      <c r="G53" s="58"/>
    </row>
    <row r="54" spans="1:7" s="50" customFormat="1" ht="12.75" customHeight="1">
      <c r="A54" s="70"/>
      <c r="B54" s="621" t="s">
        <v>246</v>
      </c>
      <c r="C54" s="158"/>
      <c r="D54" s="157">
        <v>230876</v>
      </c>
      <c r="E54" s="157">
        <v>132071</v>
      </c>
      <c r="F54" s="944">
        <f t="shared" si="0"/>
        <v>0.5720430014380014</v>
      </c>
      <c r="G54" s="58"/>
    </row>
    <row r="55" spans="1:7" s="50" customFormat="1" ht="12.75" customHeight="1">
      <c r="A55" s="70"/>
      <c r="B55" s="621" t="s">
        <v>245</v>
      </c>
      <c r="C55" s="158"/>
      <c r="D55" s="157">
        <v>2047</v>
      </c>
      <c r="E55" s="157">
        <v>2047</v>
      </c>
      <c r="F55" s="944">
        <f t="shared" si="0"/>
        <v>1</v>
      </c>
      <c r="G55" s="58"/>
    </row>
    <row r="56" spans="1:7" s="50" customFormat="1" ht="12.75">
      <c r="A56" s="70">
        <v>4134</v>
      </c>
      <c r="B56" s="206" t="s">
        <v>994</v>
      </c>
      <c r="C56" s="158">
        <v>150000</v>
      </c>
      <c r="D56" s="158">
        <v>150000</v>
      </c>
      <c r="E56" s="158">
        <v>149853</v>
      </c>
      <c r="F56" s="574">
        <f t="shared" si="0"/>
        <v>0.99902</v>
      </c>
      <c r="G56" s="123" t="s">
        <v>1010</v>
      </c>
    </row>
    <row r="57" spans="1:7" s="50" customFormat="1" ht="12">
      <c r="A57" s="70">
        <v>4135</v>
      </c>
      <c r="B57" s="206" t="s">
        <v>1111</v>
      </c>
      <c r="C57" s="158">
        <v>95000</v>
      </c>
      <c r="D57" s="158">
        <v>157000</v>
      </c>
      <c r="E57" s="158">
        <v>82525</v>
      </c>
      <c r="F57" s="574">
        <f t="shared" si="0"/>
        <v>0.5256369426751593</v>
      </c>
      <c r="G57" s="70" t="s">
        <v>1013</v>
      </c>
    </row>
    <row r="58" spans="1:7" s="50" customFormat="1" ht="12">
      <c r="A58" s="70">
        <v>4136</v>
      </c>
      <c r="B58" s="206" t="s">
        <v>294</v>
      </c>
      <c r="C58" s="158"/>
      <c r="D58" s="158">
        <v>8817</v>
      </c>
      <c r="E58" s="158">
        <v>8817</v>
      </c>
      <c r="F58" s="574">
        <f t="shared" si="0"/>
        <v>1</v>
      </c>
      <c r="G58" s="70"/>
    </row>
    <row r="59" spans="1:7" s="50" customFormat="1" ht="12">
      <c r="A59" s="70"/>
      <c r="B59" s="568" t="s">
        <v>295</v>
      </c>
      <c r="C59" s="158"/>
      <c r="D59" s="157">
        <v>8817</v>
      </c>
      <c r="E59" s="157">
        <v>8817</v>
      </c>
      <c r="F59" s="944">
        <f t="shared" si="0"/>
        <v>1</v>
      </c>
      <c r="G59" s="70"/>
    </row>
    <row r="60" spans="1:7" s="50" customFormat="1" ht="12">
      <c r="A60" s="70">
        <v>4137</v>
      </c>
      <c r="B60" s="206" t="s">
        <v>189</v>
      </c>
      <c r="C60" s="158">
        <v>149771</v>
      </c>
      <c r="D60" s="158">
        <v>198545</v>
      </c>
      <c r="E60" s="158">
        <v>94180</v>
      </c>
      <c r="F60" s="574">
        <f t="shared" si="0"/>
        <v>0.47435090281800096</v>
      </c>
      <c r="G60" s="70"/>
    </row>
    <row r="61" spans="1:7" s="50" customFormat="1" ht="12">
      <c r="A61" s="70" t="s">
        <v>1098</v>
      </c>
      <c r="B61" s="621" t="s">
        <v>246</v>
      </c>
      <c r="C61" s="158"/>
      <c r="D61" s="157">
        <v>188360</v>
      </c>
      <c r="E61" s="157">
        <v>83995</v>
      </c>
      <c r="F61" s="574">
        <f t="shared" si="0"/>
        <v>0.44592801019324696</v>
      </c>
      <c r="G61" s="70"/>
    </row>
    <row r="62" spans="1:7" s="50" customFormat="1" ht="12">
      <c r="A62" s="70"/>
      <c r="B62" s="621" t="s">
        <v>296</v>
      </c>
      <c r="C62" s="158"/>
      <c r="D62" s="157">
        <v>1953</v>
      </c>
      <c r="E62" s="157">
        <v>1953</v>
      </c>
      <c r="F62" s="944">
        <f t="shared" si="0"/>
        <v>1</v>
      </c>
      <c r="G62" s="70"/>
    </row>
    <row r="63" spans="1:7" s="50" customFormat="1" ht="12">
      <c r="A63" s="70"/>
      <c r="B63" s="621" t="s">
        <v>245</v>
      </c>
      <c r="C63" s="158"/>
      <c r="D63" s="157">
        <v>8232</v>
      </c>
      <c r="E63" s="157">
        <v>8232</v>
      </c>
      <c r="F63" s="934">
        <f t="shared" si="0"/>
        <v>1</v>
      </c>
      <c r="G63" s="70"/>
    </row>
    <row r="64" spans="1:7" s="50" customFormat="1" ht="12">
      <c r="A64" s="22">
        <v>4100</v>
      </c>
      <c r="B64" s="23" t="s">
        <v>1046</v>
      </c>
      <c r="C64" s="47">
        <f>SUM(C48:C60)</f>
        <v>2071482</v>
      </c>
      <c r="D64" s="47">
        <f>SUM(D48+D49+D52+D53+D56+D57+D60+D58)</f>
        <v>2105011</v>
      </c>
      <c r="E64" s="47">
        <f>SUM(E48+E49+E52+E53+E56+E57+E60+E58)</f>
        <v>1427649</v>
      </c>
      <c r="F64" s="582">
        <f t="shared" si="0"/>
        <v>0.6782145081427128</v>
      </c>
      <c r="G64" s="214"/>
    </row>
    <row r="65" spans="1:7" s="50" customFormat="1" ht="12">
      <c r="A65" s="51"/>
      <c r="B65" s="24" t="s">
        <v>928</v>
      </c>
      <c r="C65" s="158"/>
      <c r="D65" s="158"/>
      <c r="E65" s="158"/>
      <c r="F65" s="574"/>
      <c r="G65" s="58"/>
    </row>
    <row r="66" spans="1:7" s="50" customFormat="1" ht="12">
      <c r="A66" s="161">
        <v>4211</v>
      </c>
      <c r="B66" s="221" t="s">
        <v>938</v>
      </c>
      <c r="C66" s="158">
        <v>700</v>
      </c>
      <c r="D66" s="158">
        <v>2253</v>
      </c>
      <c r="E66" s="158">
        <v>913</v>
      </c>
      <c r="F66" s="574">
        <f t="shared" si="0"/>
        <v>0.40523746116289394</v>
      </c>
      <c r="G66" s="58"/>
    </row>
    <row r="67" spans="1:7" s="50" customFormat="1" ht="12">
      <c r="A67" s="161">
        <v>4213</v>
      </c>
      <c r="B67" s="221" t="s">
        <v>940</v>
      </c>
      <c r="C67" s="158">
        <v>5500</v>
      </c>
      <c r="D67" s="158">
        <v>5495</v>
      </c>
      <c r="E67" s="158">
        <v>5321</v>
      </c>
      <c r="F67" s="574">
        <f t="shared" si="0"/>
        <v>0.9683348498635123</v>
      </c>
      <c r="G67" s="58"/>
    </row>
    <row r="68" spans="1:7" s="50" customFormat="1" ht="12">
      <c r="A68" s="161">
        <v>4215</v>
      </c>
      <c r="B68" s="221" t="s">
        <v>212</v>
      </c>
      <c r="C68" s="158"/>
      <c r="D68" s="158">
        <v>485</v>
      </c>
      <c r="E68" s="158">
        <v>254</v>
      </c>
      <c r="F68" s="574">
        <f t="shared" si="0"/>
        <v>0.5237113402061856</v>
      </c>
      <c r="G68" s="58"/>
    </row>
    <row r="69" spans="1:7" s="50" customFormat="1" ht="12">
      <c r="A69" s="161">
        <v>4219</v>
      </c>
      <c r="B69" s="221" t="s">
        <v>941</v>
      </c>
      <c r="C69" s="158">
        <v>7500</v>
      </c>
      <c r="D69" s="158">
        <v>8988</v>
      </c>
      <c r="E69" s="158">
        <v>8831</v>
      </c>
      <c r="F69" s="574">
        <f t="shared" si="0"/>
        <v>0.9825322652425457</v>
      </c>
      <c r="G69" s="58"/>
    </row>
    <row r="70" spans="1:7" s="50" customFormat="1" ht="12">
      <c r="A70" s="161">
        <v>4221</v>
      </c>
      <c r="B70" s="221" t="s">
        <v>939</v>
      </c>
      <c r="C70" s="158">
        <v>950</v>
      </c>
      <c r="D70" s="158">
        <v>3162</v>
      </c>
      <c r="E70" s="158">
        <v>3187</v>
      </c>
      <c r="F70" s="574">
        <f t="shared" si="0"/>
        <v>1.0079063883617962</v>
      </c>
      <c r="G70" s="58"/>
    </row>
    <row r="71" spans="1:7" s="50" customFormat="1" ht="12">
      <c r="A71" s="161">
        <v>4223</v>
      </c>
      <c r="B71" s="221" t="s">
        <v>945</v>
      </c>
      <c r="C71" s="158">
        <v>240</v>
      </c>
      <c r="D71" s="158">
        <v>254</v>
      </c>
      <c r="E71" s="158">
        <v>242</v>
      </c>
      <c r="F71" s="574">
        <f t="shared" si="0"/>
        <v>0.952755905511811</v>
      </c>
      <c r="G71" s="58"/>
    </row>
    <row r="72" spans="1:7" s="50" customFormat="1" ht="12">
      <c r="A72" s="161">
        <v>4225</v>
      </c>
      <c r="B72" s="221" t="s">
        <v>946</v>
      </c>
      <c r="C72" s="158">
        <v>450</v>
      </c>
      <c r="D72" s="158">
        <v>2513</v>
      </c>
      <c r="E72" s="158">
        <v>1318</v>
      </c>
      <c r="F72" s="574">
        <f t="shared" si="0"/>
        <v>0.5244727417429367</v>
      </c>
      <c r="G72" s="58"/>
    </row>
    <row r="73" spans="1:7" s="50" customFormat="1" ht="12">
      <c r="A73" s="161">
        <v>4227</v>
      </c>
      <c r="B73" s="221" t="s">
        <v>947</v>
      </c>
      <c r="C73" s="158">
        <v>3800</v>
      </c>
      <c r="D73" s="158">
        <v>3736</v>
      </c>
      <c r="E73" s="158">
        <v>3487</v>
      </c>
      <c r="F73" s="574">
        <f t="shared" si="0"/>
        <v>0.9333511777301927</v>
      </c>
      <c r="G73" s="58"/>
    </row>
    <row r="74" spans="1:7" s="50" customFormat="1" ht="12">
      <c r="A74" s="161">
        <v>4231</v>
      </c>
      <c r="B74" s="221" t="s">
        <v>948</v>
      </c>
      <c r="C74" s="158">
        <v>13790</v>
      </c>
      <c r="D74" s="158">
        <v>16355</v>
      </c>
      <c r="E74" s="158">
        <v>16292</v>
      </c>
      <c r="F74" s="574">
        <f t="shared" si="0"/>
        <v>0.9961479669825741</v>
      </c>
      <c r="G74" s="58"/>
    </row>
    <row r="75" spans="1:7" s="50" customFormat="1" ht="12">
      <c r="A75" s="161">
        <v>4233</v>
      </c>
      <c r="B75" s="221" t="s">
        <v>949</v>
      </c>
      <c r="C75" s="158"/>
      <c r="D75" s="158">
        <v>5992</v>
      </c>
      <c r="E75" s="158">
        <v>5991</v>
      </c>
      <c r="F75" s="574">
        <f t="shared" si="0"/>
        <v>0.9998331108144193</v>
      </c>
      <c r="G75" s="58"/>
    </row>
    <row r="76" spans="1:7" s="50" customFormat="1" ht="12">
      <c r="A76" s="161"/>
      <c r="B76" s="621" t="s">
        <v>246</v>
      </c>
      <c r="C76" s="158"/>
      <c r="D76" s="157">
        <v>5838</v>
      </c>
      <c r="E76" s="157">
        <v>5837</v>
      </c>
      <c r="F76" s="944">
        <f aca="true" t="shared" si="1" ref="F76:F138">SUM(E76/D76)</f>
        <v>0.9998287084618019</v>
      </c>
      <c r="G76" s="58"/>
    </row>
    <row r="77" spans="1:7" s="50" customFormat="1" ht="12">
      <c r="A77" s="161"/>
      <c r="B77" s="621" t="s">
        <v>245</v>
      </c>
      <c r="C77" s="158"/>
      <c r="D77" s="157">
        <v>154</v>
      </c>
      <c r="E77" s="157">
        <v>154</v>
      </c>
      <c r="F77" s="944">
        <f t="shared" si="1"/>
        <v>1</v>
      </c>
      <c r="G77" s="58"/>
    </row>
    <row r="78" spans="1:7" s="50" customFormat="1" ht="12">
      <c r="A78" s="161">
        <v>4237</v>
      </c>
      <c r="B78" s="221" t="s">
        <v>952</v>
      </c>
      <c r="C78" s="158">
        <v>6300</v>
      </c>
      <c r="D78" s="158">
        <v>6388</v>
      </c>
      <c r="E78" s="158">
        <v>6042</v>
      </c>
      <c r="F78" s="574">
        <f t="shared" si="1"/>
        <v>0.945835942391985</v>
      </c>
      <c r="G78" s="58"/>
    </row>
    <row r="79" spans="1:7" s="50" customFormat="1" ht="12">
      <c r="A79" s="161">
        <v>4238</v>
      </c>
      <c r="B79" s="221" t="s">
        <v>224</v>
      </c>
      <c r="C79" s="158"/>
      <c r="D79" s="158">
        <v>54331</v>
      </c>
      <c r="E79" s="158">
        <v>54359</v>
      </c>
      <c r="F79" s="574">
        <f t="shared" si="1"/>
        <v>1.0005153595553182</v>
      </c>
      <c r="G79" s="58"/>
    </row>
    <row r="80" spans="1:7" s="50" customFormat="1" ht="12">
      <c r="A80" s="161"/>
      <c r="B80" s="621" t="s">
        <v>246</v>
      </c>
      <c r="C80" s="158"/>
      <c r="D80" s="158"/>
      <c r="E80" s="157">
        <v>54059</v>
      </c>
      <c r="F80" s="574"/>
      <c r="G80" s="58"/>
    </row>
    <row r="81" spans="1:7" s="50" customFormat="1" ht="12">
      <c r="A81" s="161"/>
      <c r="B81" s="621" t="s">
        <v>245</v>
      </c>
      <c r="C81" s="158"/>
      <c r="D81" s="158"/>
      <c r="E81" s="157">
        <v>300</v>
      </c>
      <c r="F81" s="574"/>
      <c r="G81" s="58"/>
    </row>
    <row r="82" spans="1:7" s="50" customFormat="1" ht="12">
      <c r="A82" s="161">
        <v>4239</v>
      </c>
      <c r="B82" s="221" t="s">
        <v>950</v>
      </c>
      <c r="C82" s="158">
        <v>6300</v>
      </c>
      <c r="D82" s="158">
        <v>6350</v>
      </c>
      <c r="E82" s="158">
        <v>6057</v>
      </c>
      <c r="F82" s="574">
        <f t="shared" si="1"/>
        <v>0.9538582677165355</v>
      </c>
      <c r="G82" s="58"/>
    </row>
    <row r="83" spans="1:7" s="50" customFormat="1" ht="12">
      <c r="A83" s="161"/>
      <c r="B83" s="621" t="s">
        <v>246</v>
      </c>
      <c r="C83" s="158"/>
      <c r="D83" s="157">
        <v>6162</v>
      </c>
      <c r="E83" s="157">
        <v>5869</v>
      </c>
      <c r="F83" s="944">
        <f t="shared" si="1"/>
        <v>0.9524505030834145</v>
      </c>
      <c r="G83" s="58"/>
    </row>
    <row r="84" spans="1:7" s="50" customFormat="1" ht="12">
      <c r="A84" s="161"/>
      <c r="B84" s="621" t="s">
        <v>245</v>
      </c>
      <c r="C84" s="158"/>
      <c r="D84" s="157">
        <v>188</v>
      </c>
      <c r="E84" s="157">
        <v>188</v>
      </c>
      <c r="F84" s="944">
        <f t="shared" si="1"/>
        <v>1</v>
      </c>
      <c r="G84" s="58"/>
    </row>
    <row r="85" spans="1:7" s="50" customFormat="1" ht="12">
      <c r="A85" s="161">
        <v>4241</v>
      </c>
      <c r="B85" s="221" t="s">
        <v>951</v>
      </c>
      <c r="C85" s="158">
        <v>2300</v>
      </c>
      <c r="D85" s="158">
        <v>1844</v>
      </c>
      <c r="E85" s="158">
        <v>1756</v>
      </c>
      <c r="F85" s="574">
        <f t="shared" si="1"/>
        <v>0.9522776572668112</v>
      </c>
      <c r="G85" s="58"/>
    </row>
    <row r="86" spans="1:7" s="50" customFormat="1" ht="12">
      <c r="A86" s="161">
        <v>4243</v>
      </c>
      <c r="B86" s="221" t="s">
        <v>953</v>
      </c>
      <c r="C86" s="158">
        <v>5500</v>
      </c>
      <c r="D86" s="158">
        <v>5517</v>
      </c>
      <c r="E86" s="158">
        <v>5500</v>
      </c>
      <c r="F86" s="574">
        <f t="shared" si="1"/>
        <v>0.9969186151894145</v>
      </c>
      <c r="G86" s="58"/>
    </row>
    <row r="87" spans="1:7" s="50" customFormat="1" ht="12">
      <c r="A87" s="161">
        <v>4251</v>
      </c>
      <c r="B87" s="221" t="s">
        <v>297</v>
      </c>
      <c r="C87" s="158">
        <v>1550</v>
      </c>
      <c r="D87" s="158">
        <v>730</v>
      </c>
      <c r="E87" s="158">
        <v>523</v>
      </c>
      <c r="F87" s="574">
        <f t="shared" si="1"/>
        <v>0.7164383561643836</v>
      </c>
      <c r="G87" s="58"/>
    </row>
    <row r="88" spans="1:7" s="50" customFormat="1" ht="12">
      <c r="A88" s="161">
        <v>4253</v>
      </c>
      <c r="B88" s="221" t="s">
        <v>954</v>
      </c>
      <c r="C88" s="158">
        <v>12700</v>
      </c>
      <c r="D88" s="158">
        <v>12700</v>
      </c>
      <c r="E88" s="158">
        <v>12662</v>
      </c>
      <c r="F88" s="574">
        <f t="shared" si="1"/>
        <v>0.9970078740157481</v>
      </c>
      <c r="G88" s="58"/>
    </row>
    <row r="89" spans="1:7" s="50" customFormat="1" ht="12">
      <c r="A89" s="161">
        <v>4255</v>
      </c>
      <c r="B89" s="221" t="s">
        <v>955</v>
      </c>
      <c r="C89" s="158">
        <v>1800</v>
      </c>
      <c r="D89" s="158">
        <v>7275</v>
      </c>
      <c r="E89" s="158">
        <v>275</v>
      </c>
      <c r="F89" s="574">
        <f t="shared" si="1"/>
        <v>0.037800687285223365</v>
      </c>
      <c r="G89" s="58"/>
    </row>
    <row r="90" spans="1:7" s="50" customFormat="1" ht="12">
      <c r="A90" s="161"/>
      <c r="B90" s="621" t="s">
        <v>246</v>
      </c>
      <c r="C90" s="158"/>
      <c r="D90" s="157">
        <v>7000</v>
      </c>
      <c r="E90" s="157"/>
      <c r="F90" s="574">
        <f t="shared" si="1"/>
        <v>0</v>
      </c>
      <c r="G90" s="58"/>
    </row>
    <row r="91" spans="1:7" s="50" customFormat="1" ht="12">
      <c r="A91" s="161"/>
      <c r="B91" s="621" t="s">
        <v>245</v>
      </c>
      <c r="C91" s="158"/>
      <c r="D91" s="157">
        <v>275</v>
      </c>
      <c r="E91" s="157">
        <v>275</v>
      </c>
      <c r="F91" s="944">
        <f t="shared" si="1"/>
        <v>1</v>
      </c>
      <c r="G91" s="58"/>
    </row>
    <row r="92" spans="1:7" s="50" customFormat="1" ht="12">
      <c r="A92" s="161">
        <v>4261</v>
      </c>
      <c r="B92" s="221" t="s">
        <v>956</v>
      </c>
      <c r="C92" s="158">
        <v>4800</v>
      </c>
      <c r="D92" s="158">
        <v>4017</v>
      </c>
      <c r="E92" s="158">
        <v>3513</v>
      </c>
      <c r="F92" s="574">
        <f t="shared" si="1"/>
        <v>0.8745332337565347</v>
      </c>
      <c r="G92" s="58"/>
    </row>
    <row r="93" spans="1:7" s="50" customFormat="1" ht="12">
      <c r="A93" s="585"/>
      <c r="B93" s="621" t="s">
        <v>246</v>
      </c>
      <c r="C93" s="158"/>
      <c r="D93" s="157">
        <v>3384</v>
      </c>
      <c r="E93" s="157">
        <v>2880</v>
      </c>
      <c r="F93" s="944">
        <f t="shared" si="1"/>
        <v>0.851063829787234</v>
      </c>
      <c r="G93" s="58"/>
    </row>
    <row r="94" spans="1:7" s="50" customFormat="1" ht="12">
      <c r="A94" s="585"/>
      <c r="B94" s="621" t="s">
        <v>245</v>
      </c>
      <c r="C94" s="158"/>
      <c r="D94" s="157">
        <v>633</v>
      </c>
      <c r="E94" s="157">
        <v>633</v>
      </c>
      <c r="F94" s="944">
        <f t="shared" si="1"/>
        <v>1</v>
      </c>
      <c r="G94" s="58"/>
    </row>
    <row r="95" spans="1:7" s="50" customFormat="1" ht="12">
      <c r="A95" s="585">
        <v>4262</v>
      </c>
      <c r="B95" s="586" t="s">
        <v>208</v>
      </c>
      <c r="C95" s="158"/>
      <c r="D95" s="158"/>
      <c r="E95" s="158"/>
      <c r="F95" s="574"/>
      <c r="G95" s="58"/>
    </row>
    <row r="96" spans="1:7" s="50" customFormat="1" ht="12">
      <c r="A96" s="585">
        <v>4271</v>
      </c>
      <c r="B96" s="586" t="s">
        <v>213</v>
      </c>
      <c r="C96" s="158"/>
      <c r="D96" s="158">
        <v>11</v>
      </c>
      <c r="E96" s="158"/>
      <c r="F96" s="574">
        <f t="shared" si="1"/>
        <v>0</v>
      </c>
      <c r="G96" s="58"/>
    </row>
    <row r="97" spans="1:7" s="50" customFormat="1" ht="12">
      <c r="A97" s="585">
        <v>4281</v>
      </c>
      <c r="B97" s="586" t="s">
        <v>248</v>
      </c>
      <c r="C97" s="158"/>
      <c r="D97" s="158">
        <v>10937</v>
      </c>
      <c r="E97" s="158">
        <v>8165</v>
      </c>
      <c r="F97" s="574">
        <f t="shared" si="1"/>
        <v>0.7465484136417665</v>
      </c>
      <c r="G97" s="58"/>
    </row>
    <row r="98" spans="1:7" s="50" customFormat="1" ht="12">
      <c r="A98" s="585">
        <v>4285</v>
      </c>
      <c r="B98" s="586" t="s">
        <v>206</v>
      </c>
      <c r="C98" s="158"/>
      <c r="D98" s="158">
        <v>11221</v>
      </c>
      <c r="E98" s="158">
        <v>10289</v>
      </c>
      <c r="F98" s="574">
        <f t="shared" si="1"/>
        <v>0.9169414490687104</v>
      </c>
      <c r="G98" s="58"/>
    </row>
    <row r="99" spans="1:7" s="50" customFormat="1" ht="12">
      <c r="A99" s="585"/>
      <c r="B99" s="621" t="s">
        <v>246</v>
      </c>
      <c r="C99" s="158"/>
      <c r="D99" s="157">
        <v>10909</v>
      </c>
      <c r="E99" s="157">
        <v>9724</v>
      </c>
      <c r="F99" s="574">
        <f t="shared" si="1"/>
        <v>0.8913740947841232</v>
      </c>
      <c r="G99" s="58"/>
    </row>
    <row r="100" spans="1:7" s="50" customFormat="1" ht="12">
      <c r="A100" s="585"/>
      <c r="B100" s="621" t="s">
        <v>245</v>
      </c>
      <c r="C100" s="158"/>
      <c r="D100" s="157">
        <v>312</v>
      </c>
      <c r="E100" s="157">
        <v>565</v>
      </c>
      <c r="F100" s="944">
        <f t="shared" si="1"/>
        <v>1.810897435897436</v>
      </c>
      <c r="G100" s="58"/>
    </row>
    <row r="101" spans="1:7" s="50" customFormat="1" ht="12">
      <c r="A101" s="585">
        <v>4286</v>
      </c>
      <c r="B101" s="586" t="s">
        <v>259</v>
      </c>
      <c r="C101" s="158"/>
      <c r="D101" s="158">
        <v>6800</v>
      </c>
      <c r="E101" s="158">
        <v>6002</v>
      </c>
      <c r="F101" s="574">
        <f t="shared" si="1"/>
        <v>0.8826470588235295</v>
      </c>
      <c r="G101" s="58"/>
    </row>
    <row r="102" spans="1:7" s="50" customFormat="1" ht="12">
      <c r="A102" s="161"/>
      <c r="B102" s="621" t="s">
        <v>246</v>
      </c>
      <c r="C102" s="158"/>
      <c r="D102" s="158"/>
      <c r="E102" s="157">
        <v>4198</v>
      </c>
      <c r="F102" s="574"/>
      <c r="G102" s="58"/>
    </row>
    <row r="103" spans="1:7" s="50" customFormat="1" ht="12">
      <c r="A103" s="244"/>
      <c r="B103" s="626" t="s">
        <v>245</v>
      </c>
      <c r="C103" s="169"/>
      <c r="D103" s="169"/>
      <c r="E103" s="162">
        <v>1804</v>
      </c>
      <c r="F103" s="575"/>
      <c r="G103" s="71"/>
    </row>
    <row r="104" spans="1:7" s="50" customFormat="1" ht="12">
      <c r="A104" s="237">
        <v>4200</v>
      </c>
      <c r="B104" s="202" t="s">
        <v>1046</v>
      </c>
      <c r="C104" s="89">
        <f>SUM(C66:C92)</f>
        <v>74180</v>
      </c>
      <c r="D104" s="89">
        <f>SUM(D66:D101)-D77-D84-D91-D94-D100-D76-D83-D90-D99-D93</f>
        <v>177354</v>
      </c>
      <c r="E104" s="89">
        <f>SUM(E66+E67+E68+E69+E70+E71+E72+E73+E74+E75+E78+E79+E82+E85+E86+E87+E88+E89+E92+E97+E98+E101)</f>
        <v>160979</v>
      </c>
      <c r="F104" s="573">
        <f t="shared" si="1"/>
        <v>0.9076705346369408</v>
      </c>
      <c r="G104" s="242"/>
    </row>
    <row r="105" spans="1:7" s="64" customFormat="1" ht="12">
      <c r="A105" s="15"/>
      <c r="B105" s="24" t="s">
        <v>905</v>
      </c>
      <c r="C105" s="158"/>
      <c r="D105" s="158"/>
      <c r="E105" s="158"/>
      <c r="F105" s="574"/>
      <c r="G105" s="65"/>
    </row>
    <row r="106" spans="1:7" s="50" customFormat="1" ht="12">
      <c r="A106" s="70">
        <v>4310</v>
      </c>
      <c r="B106" s="132" t="s">
        <v>1041</v>
      </c>
      <c r="C106" s="158">
        <v>20000</v>
      </c>
      <c r="D106" s="158">
        <v>32500</v>
      </c>
      <c r="E106" s="158">
        <v>30533</v>
      </c>
      <c r="F106" s="574">
        <f t="shared" si="1"/>
        <v>0.9394769230769231</v>
      </c>
      <c r="G106" s="58"/>
    </row>
    <row r="107" spans="1:7" s="50" customFormat="1" ht="12">
      <c r="A107" s="70">
        <v>4315</v>
      </c>
      <c r="B107" s="132" t="s">
        <v>1239</v>
      </c>
      <c r="C107" s="158"/>
      <c r="D107" s="158">
        <v>5120</v>
      </c>
      <c r="E107" s="158">
        <v>5105</v>
      </c>
      <c r="F107" s="574">
        <f t="shared" si="1"/>
        <v>0.9970703125</v>
      </c>
      <c r="G107" s="58"/>
    </row>
    <row r="108" spans="1:7" s="50" customFormat="1" ht="12">
      <c r="A108" s="70">
        <v>4321</v>
      </c>
      <c r="B108" s="132" t="s">
        <v>172</v>
      </c>
      <c r="C108" s="158">
        <v>6600</v>
      </c>
      <c r="D108" s="158">
        <v>11796</v>
      </c>
      <c r="E108" s="158">
        <v>10156</v>
      </c>
      <c r="F108" s="574">
        <f t="shared" si="1"/>
        <v>0.8609698202780603</v>
      </c>
      <c r="G108" s="58"/>
    </row>
    <row r="109" spans="1:7" s="50" customFormat="1" ht="12">
      <c r="A109" s="70">
        <v>4322</v>
      </c>
      <c r="B109" s="132" t="s">
        <v>173</v>
      </c>
      <c r="C109" s="158">
        <v>19900</v>
      </c>
      <c r="D109" s="158">
        <v>22043</v>
      </c>
      <c r="E109" s="158">
        <v>20414</v>
      </c>
      <c r="F109" s="574">
        <f t="shared" si="1"/>
        <v>0.9260989883409699</v>
      </c>
      <c r="G109" s="58"/>
    </row>
    <row r="110" spans="1:7" s="50" customFormat="1" ht="12">
      <c r="A110" s="70">
        <v>4340</v>
      </c>
      <c r="B110" s="132" t="s">
        <v>1240</v>
      </c>
      <c r="C110" s="158">
        <v>16649</v>
      </c>
      <c r="D110" s="158">
        <v>26737</v>
      </c>
      <c r="E110" s="158">
        <v>1760</v>
      </c>
      <c r="F110" s="574">
        <f t="shared" si="1"/>
        <v>0.06582638291506153</v>
      </c>
      <c r="G110" s="58"/>
    </row>
    <row r="111" spans="1:7" s="50" customFormat="1" ht="12">
      <c r="A111" s="70"/>
      <c r="B111" s="621" t="s">
        <v>246</v>
      </c>
      <c r="C111" s="158"/>
      <c r="D111" s="157">
        <v>26425</v>
      </c>
      <c r="E111" s="157">
        <v>1524</v>
      </c>
      <c r="F111" s="944">
        <f t="shared" si="1"/>
        <v>0.05767265846736046</v>
      </c>
      <c r="G111" s="58"/>
    </row>
    <row r="112" spans="1:7" s="50" customFormat="1" ht="12">
      <c r="A112" s="70"/>
      <c r="B112" s="621" t="s">
        <v>245</v>
      </c>
      <c r="C112" s="158"/>
      <c r="D112" s="157">
        <v>312</v>
      </c>
      <c r="E112" s="157">
        <v>236</v>
      </c>
      <c r="F112" s="944">
        <f t="shared" si="1"/>
        <v>0.7564102564102564</v>
      </c>
      <c r="G112" s="58"/>
    </row>
    <row r="113" spans="1:7" s="64" customFormat="1" ht="12">
      <c r="A113" s="214">
        <v>4300</v>
      </c>
      <c r="B113" s="23" t="s">
        <v>1046</v>
      </c>
      <c r="C113" s="170">
        <f>SUM(C106:C110)</f>
        <v>63149</v>
      </c>
      <c r="D113" s="170">
        <f>SUM(D106:D110)</f>
        <v>98196</v>
      </c>
      <c r="E113" s="170">
        <f>SUM(E106:E110)</f>
        <v>67968</v>
      </c>
      <c r="F113" s="573">
        <f t="shared" si="1"/>
        <v>0.6921666870340951</v>
      </c>
      <c r="G113" s="106"/>
    </row>
    <row r="114" spans="1:7" s="64" customFormat="1" ht="12">
      <c r="A114" s="214"/>
      <c r="B114" s="24" t="s">
        <v>214</v>
      </c>
      <c r="C114" s="170"/>
      <c r="D114" s="170"/>
      <c r="E114" s="170"/>
      <c r="F114" s="933"/>
      <c r="G114" s="106"/>
    </row>
    <row r="115" spans="1:7" s="64" customFormat="1" ht="12">
      <c r="A115" s="624">
        <v>4412</v>
      </c>
      <c r="B115" s="625" t="s">
        <v>215</v>
      </c>
      <c r="C115" s="172"/>
      <c r="D115" s="553">
        <v>27410</v>
      </c>
      <c r="E115" s="158">
        <v>27410</v>
      </c>
      <c r="F115" s="574">
        <f t="shared" si="1"/>
        <v>1</v>
      </c>
      <c r="G115" s="127"/>
    </row>
    <row r="116" spans="1:7" s="64" customFormat="1" ht="12">
      <c r="A116" s="161"/>
      <c r="B116" s="621" t="s">
        <v>249</v>
      </c>
      <c r="C116" s="243"/>
      <c r="D116" s="157">
        <v>789</v>
      </c>
      <c r="E116" s="157">
        <v>789</v>
      </c>
      <c r="F116" s="944">
        <f t="shared" si="1"/>
        <v>1</v>
      </c>
      <c r="G116" s="65"/>
    </row>
    <row r="117" spans="1:7" s="64" customFormat="1" ht="12">
      <c r="A117" s="161"/>
      <c r="B117" s="621" t="s">
        <v>250</v>
      </c>
      <c r="C117" s="243"/>
      <c r="D117" s="157">
        <v>205</v>
      </c>
      <c r="E117" s="157">
        <v>205</v>
      </c>
      <c r="F117" s="944">
        <f t="shared" si="1"/>
        <v>1</v>
      </c>
      <c r="G117" s="65"/>
    </row>
    <row r="118" spans="1:7" s="64" customFormat="1" ht="12">
      <c r="A118" s="244"/>
      <c r="B118" s="626" t="s">
        <v>251</v>
      </c>
      <c r="C118" s="171"/>
      <c r="D118" s="162">
        <v>26416</v>
      </c>
      <c r="E118" s="157">
        <v>26416</v>
      </c>
      <c r="F118" s="944">
        <f t="shared" si="1"/>
        <v>1</v>
      </c>
      <c r="G118" s="76"/>
    </row>
    <row r="119" spans="1:7" s="64" customFormat="1" ht="12">
      <c r="A119" s="214">
        <v>4300</v>
      </c>
      <c r="B119" s="23" t="s">
        <v>1046</v>
      </c>
      <c r="C119" s="170"/>
      <c r="D119" s="170">
        <f>SUM(D115)</f>
        <v>27410</v>
      </c>
      <c r="E119" s="170">
        <f>SUM(E115)</f>
        <v>27410</v>
      </c>
      <c r="F119" s="573">
        <f t="shared" si="1"/>
        <v>1</v>
      </c>
      <c r="G119" s="106"/>
    </row>
    <row r="120" spans="1:7" s="64" customFormat="1" ht="12.75">
      <c r="A120" s="22"/>
      <c r="B120" s="335" t="s">
        <v>1195</v>
      </c>
      <c r="C120" s="5"/>
      <c r="D120" s="5"/>
      <c r="E120" s="5"/>
      <c r="F120" s="933"/>
      <c r="G120" s="214"/>
    </row>
    <row r="121" spans="1:7" s="64" customFormat="1" ht="12">
      <c r="A121" s="334"/>
      <c r="B121" s="26" t="s">
        <v>926</v>
      </c>
      <c r="C121" s="243"/>
      <c r="D121" s="243"/>
      <c r="E121" s="243"/>
      <c r="F121" s="574"/>
      <c r="G121" s="65"/>
    </row>
    <row r="122" spans="1:7" s="64" customFormat="1" ht="12">
      <c r="A122" s="70">
        <v>4501</v>
      </c>
      <c r="B122" s="132" t="s">
        <v>1040</v>
      </c>
      <c r="C122" s="158">
        <v>135000</v>
      </c>
      <c r="D122" s="158">
        <v>114000</v>
      </c>
      <c r="E122" s="158">
        <v>113443</v>
      </c>
      <c r="F122" s="574">
        <f t="shared" si="1"/>
        <v>0.9951140350877193</v>
      </c>
      <c r="G122" s="70"/>
    </row>
    <row r="123" spans="1:7" s="64" customFormat="1" ht="12">
      <c r="A123" s="70">
        <v>4502</v>
      </c>
      <c r="B123" s="132" t="s">
        <v>225</v>
      </c>
      <c r="C123" s="158"/>
      <c r="D123" s="158">
        <v>38000</v>
      </c>
      <c r="E123" s="158">
        <v>881</v>
      </c>
      <c r="F123" s="574">
        <f t="shared" si="1"/>
        <v>0.02318421052631579</v>
      </c>
      <c r="G123" s="70"/>
    </row>
    <row r="124" spans="1:7" s="64" customFormat="1" ht="12">
      <c r="A124" s="23">
        <v>4500</v>
      </c>
      <c r="B124" s="23" t="s">
        <v>1046</v>
      </c>
      <c r="C124" s="170">
        <f>SUM(C122)</f>
        <v>135000</v>
      </c>
      <c r="D124" s="170">
        <f>SUM(D122:D123)</f>
        <v>152000</v>
      </c>
      <c r="E124" s="170">
        <f>SUM(E122:E123)</f>
        <v>114324</v>
      </c>
      <c r="F124" s="573">
        <f t="shared" si="1"/>
        <v>0.7521315789473684</v>
      </c>
      <c r="G124" s="106"/>
    </row>
    <row r="125" spans="1:7" s="64" customFormat="1" ht="12">
      <c r="A125" s="81"/>
      <c r="B125" s="271" t="s">
        <v>867</v>
      </c>
      <c r="C125" s="83"/>
      <c r="D125" s="83"/>
      <c r="E125" s="83"/>
      <c r="F125" s="574"/>
      <c r="G125" s="65"/>
    </row>
    <row r="126" spans="1:7" s="64" customFormat="1" ht="12">
      <c r="A126" s="81"/>
      <c r="B126" s="158" t="s">
        <v>1269</v>
      </c>
      <c r="C126" s="83"/>
      <c r="D126" s="295">
        <f>SUM(D116)</f>
        <v>789</v>
      </c>
      <c r="E126" s="295">
        <f>SUM(E116)</f>
        <v>789</v>
      </c>
      <c r="F126" s="574">
        <f t="shared" si="1"/>
        <v>1</v>
      </c>
      <c r="G126" s="65"/>
    </row>
    <row r="127" spans="1:7" s="64" customFormat="1" ht="12">
      <c r="A127" s="81"/>
      <c r="B127" s="158" t="s">
        <v>252</v>
      </c>
      <c r="C127" s="83"/>
      <c r="D127" s="295">
        <f>SUM(D117)</f>
        <v>205</v>
      </c>
      <c r="E127" s="295">
        <f>SUM(E117)</f>
        <v>205</v>
      </c>
      <c r="F127" s="574">
        <f t="shared" si="1"/>
        <v>1</v>
      </c>
      <c r="G127" s="65"/>
    </row>
    <row r="128" spans="1:7" s="50" customFormat="1" ht="12">
      <c r="A128" s="81"/>
      <c r="B128" s="36" t="s">
        <v>1128</v>
      </c>
      <c r="C128" s="295">
        <f>SUM(C57)</f>
        <v>95000</v>
      </c>
      <c r="D128" s="295">
        <f>SUM(D57+D97+D13+D19+D25+D33+D38+D42+D46+D51+D55+D63+D77+D84+D91+D94+D100+D112)</f>
        <v>191338</v>
      </c>
      <c r="E128" s="295">
        <f>SUM(E57+E97+E13+E19+E25+E33+E38+E42+E46+E51+E55+E63+E77+E84+E91+E94+E100+E112+E81+E103)</f>
        <v>116398</v>
      </c>
      <c r="F128" s="574">
        <f t="shared" si="1"/>
        <v>0.6083370788865777</v>
      </c>
      <c r="G128" s="58"/>
    </row>
    <row r="129" spans="1:7" ht="12" customHeight="1">
      <c r="A129" s="84"/>
      <c r="B129" s="36" t="s">
        <v>1116</v>
      </c>
      <c r="C129" s="182"/>
      <c r="D129" s="158">
        <f>SUM(D62)</f>
        <v>1953</v>
      </c>
      <c r="E129" s="158">
        <f>SUM(E62)</f>
        <v>1953</v>
      </c>
      <c r="F129" s="574">
        <f t="shared" si="1"/>
        <v>1</v>
      </c>
      <c r="G129" s="58"/>
    </row>
    <row r="130" spans="1:7" ht="12" customHeight="1">
      <c r="A130" s="84"/>
      <c r="B130" s="243" t="s">
        <v>868</v>
      </c>
      <c r="C130" s="243">
        <f>SUM(C128:C129)</f>
        <v>95000</v>
      </c>
      <c r="D130" s="243">
        <f>SUM(D126:D129)</f>
        <v>194285</v>
      </c>
      <c r="E130" s="243">
        <f>SUM(E126:E129)</f>
        <v>119345</v>
      </c>
      <c r="F130" s="943">
        <f t="shared" si="1"/>
        <v>0.6142779936690944</v>
      </c>
      <c r="G130" s="58"/>
    </row>
    <row r="131" spans="1:7" ht="12" customHeight="1">
      <c r="A131" s="84"/>
      <c r="B131" s="274" t="s">
        <v>869</v>
      </c>
      <c r="C131" s="182"/>
      <c r="D131" s="182"/>
      <c r="E131" s="182"/>
      <c r="F131" s="574"/>
      <c r="G131" s="58"/>
    </row>
    <row r="132" spans="1:7" ht="12">
      <c r="A132" s="84"/>
      <c r="B132" s="36" t="s">
        <v>870</v>
      </c>
      <c r="C132" s="158">
        <f>SUM(C15+C20+C26+C64+C104+C113)-C128-C129+C124-C22-C56-C52</f>
        <v>2210284</v>
      </c>
      <c r="D132" s="158">
        <f>SUM(D15+D20+D26+D64+D104+D113+D119+D124)-D126-D127-D128-D129-D134-D135-D137</f>
        <v>2316996</v>
      </c>
      <c r="E132" s="158">
        <f>SUM(E15+E20+E26+E64+E104+E113+E119+E124)-E126-E127-E128-E129-E134-E135-E137</f>
        <v>1626746</v>
      </c>
      <c r="F132" s="574">
        <f t="shared" si="1"/>
        <v>0.7020927096982472</v>
      </c>
      <c r="G132" s="58"/>
    </row>
    <row r="133" spans="1:7" ht="12">
      <c r="A133" s="84"/>
      <c r="B133" s="157" t="s">
        <v>892</v>
      </c>
      <c r="C133" s="157">
        <v>333350</v>
      </c>
      <c r="D133" s="157">
        <v>333350</v>
      </c>
      <c r="E133" s="157">
        <v>319220</v>
      </c>
      <c r="F133" s="574">
        <f t="shared" si="1"/>
        <v>0.9576121193940303</v>
      </c>
      <c r="G133" s="58"/>
    </row>
    <row r="134" spans="1:7" ht="12">
      <c r="A134" s="84"/>
      <c r="B134" s="36" t="s">
        <v>871</v>
      </c>
      <c r="C134" s="157"/>
      <c r="D134" s="157">
        <f>SUM(D45)</f>
        <v>77</v>
      </c>
      <c r="E134" s="157">
        <f>SUM(E45)</f>
        <v>77</v>
      </c>
      <c r="F134" s="574">
        <f t="shared" si="1"/>
        <v>1</v>
      </c>
      <c r="G134" s="58"/>
    </row>
    <row r="135" spans="1:7" ht="12">
      <c r="A135" s="84"/>
      <c r="B135" s="36" t="s">
        <v>872</v>
      </c>
      <c r="C135" s="158">
        <f>SUM(C22+C56)</f>
        <v>155000</v>
      </c>
      <c r="D135" s="158">
        <f>SUM(D22+D56+D59)</f>
        <v>176756</v>
      </c>
      <c r="E135" s="158">
        <f>SUM(E22+E56+E59)</f>
        <v>166370</v>
      </c>
      <c r="F135" s="574">
        <f t="shared" si="1"/>
        <v>0.9412410328362262</v>
      </c>
      <c r="G135" s="58"/>
    </row>
    <row r="136" spans="1:7" ht="12">
      <c r="A136" s="84"/>
      <c r="B136" s="243" t="s">
        <v>874</v>
      </c>
      <c r="C136" s="243">
        <f>SUM(C132:C135)-C133</f>
        <v>2365284</v>
      </c>
      <c r="D136" s="243">
        <f>SUM(D132:D135)-D133</f>
        <v>2493829</v>
      </c>
      <c r="E136" s="243">
        <f>SUM(E132:E135)-E133</f>
        <v>1793193</v>
      </c>
      <c r="F136" s="943">
        <f t="shared" si="1"/>
        <v>0.71905210822394</v>
      </c>
      <c r="G136" s="58"/>
    </row>
    <row r="137" spans="1:7" ht="12">
      <c r="A137" s="142"/>
      <c r="B137" s="242" t="s">
        <v>893</v>
      </c>
      <c r="C137" s="171">
        <f>SUM(C52)</f>
        <v>30000</v>
      </c>
      <c r="D137" s="171">
        <f>SUM(D52)</f>
        <v>31176</v>
      </c>
      <c r="E137" s="171">
        <f>SUM(E52)</f>
        <v>21587</v>
      </c>
      <c r="F137" s="943">
        <f t="shared" si="1"/>
        <v>0.6924236592250449</v>
      </c>
      <c r="G137" s="71"/>
    </row>
    <row r="138" spans="1:7" ht="12" customHeight="1">
      <c r="A138" s="142"/>
      <c r="B138" s="242" t="s">
        <v>890</v>
      </c>
      <c r="C138" s="171">
        <f>SUM(C130+C136+C137)</f>
        <v>2490284</v>
      </c>
      <c r="D138" s="171">
        <f>SUM(D130+D136+D137)</f>
        <v>2719290</v>
      </c>
      <c r="E138" s="171">
        <f>SUM(E130+E136+E137)</f>
        <v>1934125</v>
      </c>
      <c r="F138" s="573">
        <f t="shared" si="1"/>
        <v>0.7112610276947291</v>
      </c>
      <c r="G138" s="71"/>
    </row>
    <row r="139" spans="1:6" ht="12">
      <c r="A139" s="49"/>
      <c r="C139" s="109"/>
      <c r="D139" s="109"/>
      <c r="E139" s="109"/>
      <c r="F139" s="109"/>
    </row>
    <row r="140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1811023622047245" footer="0"/>
  <pageSetup firstPageNumber="51" useFirstPageNumber="1" horizontalDpi="600" verticalDpi="600" orientation="landscape" paperSize="9" scale="80" r:id="rId1"/>
  <headerFooter alignWithMargins="0">
    <oddFooter>&amp;C&amp;P. oldal</oddFooter>
  </headerFooter>
  <rowBreaks count="2" manualBreakCount="2">
    <brk id="5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2013-04-29T07:06:28Z</cp:lastPrinted>
  <dcterms:created xsi:type="dcterms:W3CDTF">2004-02-02T11:10:51Z</dcterms:created>
  <dcterms:modified xsi:type="dcterms:W3CDTF">2013-04-30T06:01:06Z</dcterms:modified>
  <cp:category/>
  <cp:version/>
  <cp:contentType/>
  <cp:contentStatus/>
</cp:coreProperties>
</file>